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24226"/>
  <mc:AlternateContent xmlns:mc="http://schemas.openxmlformats.org/markup-compatibility/2006">
    <mc:Choice Requires="x15">
      <x15ac:absPath xmlns:x15ac="http://schemas.microsoft.com/office/spreadsheetml/2010/11/ac" url="/Users/milesalderman/Downloads/snvc224b (1)/"/>
    </mc:Choice>
  </mc:AlternateContent>
  <xr:revisionPtr revIDLastSave="0" documentId="13_ncr:1_{819AB9DB-8E44-3647-BE76-2CA2F2564954}" xr6:coauthVersionLast="47" xr6:coauthVersionMax="47" xr10:uidLastSave="{00000000-0000-0000-0000-000000000000}"/>
  <workbookProtection workbookAlgorithmName="SHA-512" workbookHashValue="gc34FGggw3Ir8zQVSgaZChUqrVvVKYZwhSXpduqtPUD6nQuIaEe42JJKFmE/OmtpkzYp1ZfCj82eR88ZFlGbkQ==" workbookSaltValue="MvI2n84VClkXRpVOZBZk3g==" workbookSpinCount="100000" lockStructure="1"/>
  <bookViews>
    <workbookView xWindow="0" yWindow="760" windowWidth="30240" windowHeight="18880"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Licenses" sheetId="10" r:id="rId9"/>
    <sheet name="Sheet1" sheetId="9" state="hidden" r:id="rId10"/>
  </sheets>
  <externalReferences>
    <externalReference r:id="rId11"/>
  </externalReferences>
  <definedNames>
    <definedName name="Acs">Constants!$B$30</definedName>
    <definedName name="Adc">Loop_Modeling!$B$35</definedName>
    <definedName name="Adc_ea">Loop_Modeling!$B$61</definedName>
    <definedName name="ADC_VINmin">Variable_Management!$B$189</definedName>
    <definedName name="CCOMP">Variable_Management!$B$230</definedName>
    <definedName name="CComp_calc">Variable_Management!$B$229</definedName>
    <definedName name="CHF">Variable_Management!$B$232</definedName>
    <definedName name="Comp_calc">Variable_Management!$B$229</definedName>
    <definedName name="CondMode">OFFSET(Lists!$B$9,0,0,COUNTIF(Lists!$B$9:$B$11,"?CM*"),1)</definedName>
    <definedName name="Cout">Variable_Management!$B$155</definedName>
    <definedName name="Cout_min">Variable_Management!$B$153</definedName>
    <definedName name="D_limit_max">Constants!$B$18</definedName>
    <definedName name="D_limit_min">Constants!$B$16</definedName>
    <definedName name="D_limit_nom">Constants!$B$17</definedName>
    <definedName name="Dc_CCM_VIN_max">Variable_Management!$B$50</definedName>
    <definedName name="Dc_CCM_VIN_min">Variable_Management!$B$42</definedName>
    <definedName name="Dc_CCM_VIN_nom">Variable_Management!$B$46</definedName>
    <definedName name="Dc_DCM_VIN_nom">Variable_Management!$B$62</definedName>
    <definedName name="Dc_max_IC">Variable_Management!$B$21</definedName>
    <definedName name="Dc_max_ideal">Variable_Management!$A$20</definedName>
    <definedName name="Dc_Mode">Variable_Management!$B$36</definedName>
    <definedName name="Dc_Mode_Loop">Loop_Modeling!$B$14</definedName>
    <definedName name="Dc_rip_max">Variable_Management!$B$79</definedName>
    <definedName name="Dc_VIN_max">Variable_Management!$B$31</definedName>
    <definedName name="Dc_VIN_min">Variable_Management!$B$23</definedName>
    <definedName name="Dc_VIN_nom">Variable_Management!$B$27</definedName>
    <definedName name="display_SCH">INDIRECT(Plot_Management_Sch!$A$1)</definedName>
    <definedName name="EFF_est">Variable_Management!$B$17</definedName>
    <definedName name="Eff_vs_IOUT">Plot_Management_Eff!$C$3</definedName>
    <definedName name="fcross">Variable_Management!$B$213</definedName>
    <definedName name="fcross_est">Variable_Management!$B$212</definedName>
    <definedName name="FIR_BYPASSED">'[1]Digital Filter'!$T$84</definedName>
    <definedName name="fp_ea_est">Variable_Management!$B$223</definedName>
    <definedName name="Fsw">Variable_Management!$B$10</definedName>
    <definedName name="fz_ea_est">Variable_Management!$B$221</definedName>
    <definedName name="fz_rhp">Variable_Management!$B$198</definedName>
    <definedName name="Gcomp">Constants!$B$29</definedName>
    <definedName name="Gea_mid_calc">Variable_Management!$B$217</definedName>
    <definedName name="gfs">Variable_Management!$B$249</definedName>
    <definedName name="gm_ea">Constants!$B$34</definedName>
    <definedName name="Gplant_fc_dB">Loop_Modeling!$AD$7</definedName>
    <definedName name="IIN_33">Variable_Management!$B$81</definedName>
    <definedName name="IL_avg_VIN_max">Variable_Management!$B$33</definedName>
    <definedName name="IL_avg_VIN_min">Variable_Management!$B$25</definedName>
    <definedName name="IL_avg_VIN_nom">Variable_Management!$B$29</definedName>
    <definedName name="IL_pk">Variable_Management!$B$142</definedName>
    <definedName name="IL_pk_max">Variable_Management!$B$143</definedName>
    <definedName name="ILp_VINmax">Variable_Management!$B$119</definedName>
    <definedName name="ILp_VINmin">Variable_Management!$B$113</definedName>
    <definedName name="ILp_VINnom">Variable_Management!$B$116</definedName>
    <definedName name="ILrip">Variable_Management!$B$71</definedName>
    <definedName name="ILrip_VINmax">Variable_Management!$B$118</definedName>
    <definedName name="ILrip_VINmin">Variable_Management!$B$112</definedName>
    <definedName name="ILrip_VINnom">Variable_Management!$B$115</definedName>
    <definedName name="IOUT">Variable_Management!$B$14</definedName>
    <definedName name="Ipk_margin">Variable_Management!$B$122</definedName>
    <definedName name="Ipk_selected">Variable_Management!$B$123</definedName>
    <definedName name="IQ">Constants!$B$48</definedName>
    <definedName name="IRMS_COUT">Variable_Management!$B$154</definedName>
    <definedName name="Isl">Constants!$B$25</definedName>
    <definedName name="Iss">Constants!$B$37</definedName>
    <definedName name="Kslope">Variable_Management!$B$130</definedName>
    <definedName name="L_DCM">Variable_Management!$B$89</definedName>
    <definedName name="Lm">Variable_Management!$B$84</definedName>
    <definedName name="Lopt">Variable_Management!$B$76</definedName>
    <definedName name="Lopt_2">Variable_Management!$B$82</definedName>
    <definedName name="POUT">Variable_Management!$B$16</definedName>
    <definedName name="_xlnm.Print_Area" localSheetId="0">'Design Converter'!$A$1:$Z$100</definedName>
    <definedName name="Q">Loop_Modeling!$B$49</definedName>
    <definedName name="Q_VINmin">Variable_Management!$B$206</definedName>
    <definedName name="Qg_tot">Variable_Management!$B$244</definedName>
    <definedName name="Qgd">Variable_Management!$B$245</definedName>
    <definedName name="Qgs">Variable_Management!$B$246</definedName>
    <definedName name="Qrr">Variable_Management!$B$239</definedName>
    <definedName name="R_cs">Variable_Management!$B$138</definedName>
    <definedName name="R_sl">Variable_Management!$B$139</definedName>
    <definedName name="RCOMP">Variable_Management!$B$228</definedName>
    <definedName name="Rcomp_calc">Variable_Management!$B$227</definedName>
    <definedName name="Rcs_max">Variable_Management!$B$127</definedName>
    <definedName name="Rcs_w_sl">Variable_Management!$B$131</definedName>
    <definedName name="Rcs_wo_sl">Variable_Management!$B$128</definedName>
    <definedName name="Rdcr">Variable_Management!$B$85</definedName>
    <definedName name="RDS_on">Variable_Management!$B$243</definedName>
    <definedName name="Resr">Variable_Management!$B$156</definedName>
    <definedName name="RFBB">Variable_Management!$B$184</definedName>
    <definedName name="RFBB_calc">Variable_Management!$B$183</definedName>
    <definedName name="RFBT">Variable_Management!$B$182</definedName>
    <definedName name="Rgate">Variable_Management!$B$247</definedName>
    <definedName name="ROUT">Variable_Management!$B$15</definedName>
    <definedName name="Rsl_int">Constants!$B$26</definedName>
    <definedName name="Rsl_max">Constants!$B$28</definedName>
    <definedName name="RT">Variable_Management!$B$11</definedName>
    <definedName name="Ruvlo_bottom_calc">Variable_Management!$B$173</definedName>
    <definedName name="Ruvlo_top">Variable_Management!$B$172</definedName>
    <definedName name="Ruvlo_top_calc">Variable_Management!$B$171</definedName>
    <definedName name="SCH_1">Plot_Management_Sch!$B$2</definedName>
    <definedName name="SCH_2">Plot_Management_Sch!$B$4</definedName>
    <definedName name="Se_VINmin">Variable_Management!$B$202</definedName>
    <definedName name="Sn_VINmin">Variable_Management!$B$203</definedName>
    <definedName name="tf_sw">Variable_Management!$B$256</definedName>
    <definedName name="tr_sw">Variable_Management!$B$255</definedName>
    <definedName name="tss">Variable_Management!$B$162</definedName>
    <definedName name="UV_fall">Constants!$B$41</definedName>
    <definedName name="UV_I_hyst">Constants!$B$42</definedName>
    <definedName name="UV_rise">Constants!$B$40</definedName>
    <definedName name="Vcc">Constants!$B$45</definedName>
    <definedName name="Vcl">Constants!$B$27</definedName>
    <definedName name="Vd_rect">Variable_Management!$B$238</definedName>
    <definedName name="VIN_33">Variable_Management!$B$80</definedName>
    <definedName name="VIN_max">Variable_Management!$B$9</definedName>
    <definedName name="VIN_min">Variable_Management!$B$7</definedName>
    <definedName name="VIN_nom">Variable_Management!$B$8</definedName>
    <definedName name="VIN_op_max">Constants!$B$52</definedName>
    <definedName name="VIN_op_max_56">Constants!$B$53</definedName>
    <definedName name="VIN_op_min">Constants!$B$51</definedName>
    <definedName name="VIN_var">Variable_Management!$B$8</definedName>
    <definedName name="VOUT">Variable_Management!$B$13</definedName>
    <definedName name="Vout_rip_sel">Variable_Management!$B$152</definedName>
    <definedName name="Vref">Constants!$B$33</definedName>
    <definedName name="Vth">Variable_Management!$B$250</definedName>
    <definedName name="Vuvlo_off">Variable_Management!$B$167</definedName>
    <definedName name="Vuvlo_on">Variable_Management!$B$166</definedName>
    <definedName name="wp_hf">Loop_Modeling!$B$50</definedName>
    <definedName name="wp_lf">Loop_Modeling!$B$36</definedName>
    <definedName name="wp_lf_VINmin">Variable_Management!$B$191</definedName>
    <definedName name="wp0_ea">Loop_Modeling!$B$63</definedName>
    <definedName name="wp1_ea">Loop_Modeling!$B$64</definedName>
    <definedName name="wsl">Loop_Modeling!$B$48</definedName>
    <definedName name="wsl_VINmin">Variable_Management!$B$205</definedName>
    <definedName name="wz_ea">Loop_Modeling!$B$62</definedName>
    <definedName name="wz_esr">Loop_Modeling!$B$42</definedName>
    <definedName name="wz_esr_VINmin">Variable_Management!$B$194</definedName>
    <definedName name="wz_rhp">Loop_Modeling!$B$39</definedName>
    <definedName name="wz_RHP_VINmin">Variable_Management!$B$197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7" l="1"/>
  <c r="B36" i="2" l="1"/>
  <c r="M126" i="2"/>
  <c r="B2" i="6"/>
  <c r="B48" i="3"/>
  <c r="B251" i="2"/>
  <c r="B250" i="2"/>
  <c r="B249" i="2"/>
  <c r="B247" i="2"/>
  <c r="B246" i="2"/>
  <c r="B245" i="2"/>
  <c r="B244" i="2"/>
  <c r="B243" i="2"/>
  <c r="B239" i="2"/>
  <c r="B238" i="2"/>
  <c r="B172" i="2"/>
  <c r="B42" i="3"/>
  <c r="B170" i="2" s="1"/>
  <c r="B169" i="2"/>
  <c r="B168" i="2"/>
  <c r="B167" i="2"/>
  <c r="B166" i="2"/>
  <c r="B162" i="2"/>
  <c r="B37" i="3"/>
  <c r="B160" i="2" s="1"/>
  <c r="B213" i="2"/>
  <c r="B34" i="3"/>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O8" i="5"/>
  <c r="B29" i="3"/>
  <c r="B31" i="5" s="1"/>
  <c r="B182" i="2"/>
  <c r="B55" i="5" s="1"/>
  <c r="B184" i="2"/>
  <c r="B56" i="5" s="1"/>
  <c r="B230" i="2"/>
  <c r="B232" i="2"/>
  <c r="B59" i="5"/>
  <c r="B228" i="2"/>
  <c r="B28" i="5"/>
  <c r="B156" i="2"/>
  <c r="B155" i="2"/>
  <c r="B152" i="2"/>
  <c r="B144" i="2"/>
  <c r="B139" i="2"/>
  <c r="B27" i="5" s="1"/>
  <c r="B138" i="2"/>
  <c r="B26" i="5" s="1"/>
  <c r="B27" i="3"/>
  <c r="B25" i="3"/>
  <c r="B122" i="2"/>
  <c r="B85" i="2"/>
  <c r="B84" i="2"/>
  <c r="B22" i="3"/>
  <c r="B71" i="2"/>
  <c r="B10" i="2"/>
  <c r="AP87" i="4" s="1"/>
  <c r="B14" i="3"/>
  <c r="B12" i="3"/>
  <c r="B10" i="3"/>
  <c r="B17" i="2"/>
  <c r="B14" i="2"/>
  <c r="H85" i="1" s="1"/>
  <c r="B13" i="2"/>
  <c r="B9" i="2"/>
  <c r="B5" i="8" s="1"/>
  <c r="B8" i="2"/>
  <c r="T121" i="4" s="1"/>
  <c r="B7" i="2"/>
  <c r="B21" i="5" l="1"/>
  <c r="B10" i="5"/>
  <c r="B89" i="2"/>
  <c r="B194" i="2"/>
  <c r="B195" i="2" s="1"/>
  <c r="B63" i="5"/>
  <c r="AG85" i="5" s="1"/>
  <c r="T130" i="4"/>
  <c r="AQ130" i="4" s="1"/>
  <c r="T118" i="4"/>
  <c r="AQ118" i="4" s="1"/>
  <c r="T29" i="4"/>
  <c r="AQ29" i="4" s="1"/>
  <c r="T31" i="4"/>
  <c r="AQ31" i="4" s="1"/>
  <c r="T63" i="4"/>
  <c r="AQ63" i="4" s="1"/>
  <c r="T138" i="4"/>
  <c r="AQ138" i="4" s="1"/>
  <c r="T126" i="4"/>
  <c r="AQ126" i="4" s="1"/>
  <c r="T49" i="4"/>
  <c r="AQ49" i="4" s="1"/>
  <c r="T19" i="4"/>
  <c r="AQ19" i="4" s="1"/>
  <c r="T74" i="4"/>
  <c r="AQ74" i="4" s="1"/>
  <c r="T54" i="4"/>
  <c r="AQ54" i="4" s="1"/>
  <c r="T28" i="4"/>
  <c r="AQ28" i="4" s="1"/>
  <c r="T132" i="4"/>
  <c r="AQ132" i="4" s="1"/>
  <c r="T13" i="4"/>
  <c r="AQ13" i="4" s="1"/>
  <c r="T144" i="4"/>
  <c r="AQ144" i="4" s="1"/>
  <c r="T124" i="4"/>
  <c r="AQ124" i="4" s="1"/>
  <c r="T151" i="4"/>
  <c r="AQ151" i="4" s="1"/>
  <c r="T88" i="4"/>
  <c r="AQ88" i="4" s="1"/>
  <c r="T76" i="4"/>
  <c r="AQ76" i="4" s="1"/>
  <c r="R84" i="4"/>
  <c r="B36" i="5"/>
  <c r="Q96" i="5" s="1"/>
  <c r="T33" i="4"/>
  <c r="AQ33" i="4" s="1"/>
  <c r="B35" i="5"/>
  <c r="T79" i="4"/>
  <c r="AG446" i="5"/>
  <c r="AI446" i="5" s="1"/>
  <c r="AG532" i="5"/>
  <c r="AG479" i="5"/>
  <c r="AI479" i="5" s="1"/>
  <c r="AG471" i="5"/>
  <c r="AH471" i="5" s="1"/>
  <c r="AG475" i="5"/>
  <c r="AI475" i="5" s="1"/>
  <c r="AG489" i="5"/>
  <c r="AG271" i="5"/>
  <c r="AG282" i="5"/>
  <c r="AI282" i="5" s="1"/>
  <c r="AG295" i="5"/>
  <c r="AI295" i="5" s="1"/>
  <c r="AG236" i="5"/>
  <c r="AI236" i="5" s="1"/>
  <c r="AG207" i="5"/>
  <c r="AH207" i="5" s="1"/>
  <c r="AG172" i="5"/>
  <c r="AH172" i="5" s="1"/>
  <c r="AG68" i="5"/>
  <c r="AH68" i="5" s="1"/>
  <c r="AG39" i="5"/>
  <c r="AH39" i="5" s="1"/>
  <c r="AG537" i="5"/>
  <c r="AG555" i="5"/>
  <c r="AG204" i="5"/>
  <c r="AH204" i="5" s="1"/>
  <c r="AG468" i="5"/>
  <c r="AG429" i="5"/>
  <c r="AG174" i="5"/>
  <c r="AG269" i="5"/>
  <c r="AG279" i="5"/>
  <c r="AG293" i="5"/>
  <c r="AH293" i="5" s="1"/>
  <c r="AG230" i="5"/>
  <c r="AI230" i="5" s="1"/>
  <c r="AG115" i="5"/>
  <c r="AI115" i="5" s="1"/>
  <c r="AG90" i="5"/>
  <c r="AH90" i="5" s="1"/>
  <c r="AG62" i="5"/>
  <c r="AG46" i="5"/>
  <c r="AG511" i="5"/>
  <c r="AH511" i="5" s="1"/>
  <c r="AG484" i="5"/>
  <c r="AH484" i="5" s="1"/>
  <c r="AG385" i="5"/>
  <c r="AG367" i="5"/>
  <c r="AI367" i="5" s="1"/>
  <c r="AG415" i="5"/>
  <c r="AG349" i="5"/>
  <c r="AG253" i="5"/>
  <c r="AG266" i="5"/>
  <c r="AI266" i="5" s="1"/>
  <c r="AG179" i="5"/>
  <c r="AG106" i="5"/>
  <c r="AG114" i="5"/>
  <c r="AG86" i="5"/>
  <c r="AG60" i="5"/>
  <c r="AG33" i="5"/>
  <c r="AG357" i="5"/>
  <c r="AG445" i="5"/>
  <c r="AG373" i="5"/>
  <c r="AI373" i="5" s="1"/>
  <c r="AG362" i="5"/>
  <c r="AG401" i="5"/>
  <c r="AG343" i="5"/>
  <c r="AG215" i="5"/>
  <c r="AI215" i="5" s="1"/>
  <c r="AG111" i="5"/>
  <c r="AI111" i="5" s="1"/>
  <c r="AG171" i="5"/>
  <c r="AG156" i="5"/>
  <c r="AG108" i="5"/>
  <c r="AG76" i="5"/>
  <c r="AI76" i="5" s="1"/>
  <c r="AG539" i="5"/>
  <c r="AG514" i="5"/>
  <c r="AI514" i="5" s="1"/>
  <c r="AG515" i="5"/>
  <c r="AI515" i="5" s="1"/>
  <c r="AG518" i="5"/>
  <c r="AH518" i="5" s="1"/>
  <c r="AG427" i="5"/>
  <c r="AH427" i="5" s="1"/>
  <c r="AG339" i="5"/>
  <c r="AI339" i="5" s="1"/>
  <c r="AG203" i="5"/>
  <c r="AH203" i="5" s="1"/>
  <c r="AG254" i="5"/>
  <c r="AG188" i="5"/>
  <c r="AG198" i="5"/>
  <c r="AG170" i="5"/>
  <c r="AG147" i="5"/>
  <c r="AG83" i="5"/>
  <c r="AG75" i="5"/>
  <c r="AH75" i="5" s="1"/>
  <c r="AG67" i="5"/>
  <c r="AH67" i="5" s="1"/>
  <c r="AG35" i="5"/>
  <c r="AH35" i="5" s="1"/>
  <c r="AG27" i="5"/>
  <c r="AG195" i="5"/>
  <c r="AH195" i="5" s="1"/>
  <c r="AG251" i="5"/>
  <c r="AG243" i="5"/>
  <c r="AI243" i="5" s="1"/>
  <c r="AG235" i="5"/>
  <c r="AG395" i="5"/>
  <c r="AG509" i="5"/>
  <c r="AG505" i="5"/>
  <c r="AI505" i="5" s="1"/>
  <c r="AG268" i="5"/>
  <c r="AI268" i="5" s="1"/>
  <c r="AG366" i="5"/>
  <c r="AG307" i="5"/>
  <c r="AH307" i="5" s="1"/>
  <c r="AG308" i="5"/>
  <c r="AG322" i="5"/>
  <c r="AG249" i="5"/>
  <c r="AH249" i="5" s="1"/>
  <c r="AG71" i="5"/>
  <c r="AI71" i="5" s="1"/>
  <c r="AG102" i="5"/>
  <c r="AG63" i="5"/>
  <c r="AG49" i="5"/>
  <c r="B58" i="5"/>
  <c r="AG500" i="5"/>
  <c r="AI500" i="5" s="1"/>
  <c r="AG502" i="5"/>
  <c r="AG334" i="5"/>
  <c r="AG407" i="5"/>
  <c r="AI407" i="5" s="1"/>
  <c r="AG180" i="5"/>
  <c r="AH180" i="5" s="1"/>
  <c r="AG310" i="5"/>
  <c r="AG303" i="5"/>
  <c r="AG186" i="5"/>
  <c r="AH186" i="5" s="1"/>
  <c r="AG161" i="5"/>
  <c r="AH161" i="5" s="1"/>
  <c r="AG84" i="5"/>
  <c r="AH84" i="5" s="1"/>
  <c r="AG145" i="5"/>
  <c r="AG98" i="5"/>
  <c r="AG59" i="5"/>
  <c r="AG201" i="5"/>
  <c r="AG193" i="5"/>
  <c r="AG185" i="5"/>
  <c r="AG177" i="5"/>
  <c r="AI177" i="5" s="1"/>
  <c r="AG169" i="5"/>
  <c r="AG297" i="5"/>
  <c r="AI297" i="5" s="1"/>
  <c r="R62" i="4"/>
  <c r="B15" i="2"/>
  <c r="R143" i="4"/>
  <c r="B16" i="2"/>
  <c r="H15" i="1" s="1"/>
  <c r="B20" i="5"/>
  <c r="R79" i="4"/>
  <c r="R105" i="4"/>
  <c r="R34" i="4"/>
  <c r="B45" i="5"/>
  <c r="B11" i="2"/>
  <c r="H13" i="1" s="1"/>
  <c r="B19" i="3"/>
  <c r="B20" i="3" s="1"/>
  <c r="B21" i="2" s="1"/>
  <c r="H16" i="1" s="1"/>
  <c r="B13" i="5"/>
  <c r="AP56" i="4"/>
  <c r="K21" i="2"/>
  <c r="AP30" i="4"/>
  <c r="AP116" i="4"/>
  <c r="AP115" i="4"/>
  <c r="AP66" i="4"/>
  <c r="AP49" i="4"/>
  <c r="O12" i="4"/>
  <c r="T30" i="4"/>
  <c r="AQ30" i="4" s="1"/>
  <c r="T152" i="4"/>
  <c r="AQ152" i="4" s="1"/>
  <c r="T82" i="4"/>
  <c r="AQ82" i="4" s="1"/>
  <c r="T27" i="4"/>
  <c r="AQ27" i="4" s="1"/>
  <c r="T137" i="4"/>
  <c r="AQ137" i="4" s="1"/>
  <c r="T105" i="4"/>
  <c r="T80" i="4"/>
  <c r="T24" i="4"/>
  <c r="AQ24" i="4" s="1"/>
  <c r="T62" i="4"/>
  <c r="AQ62" i="4" s="1"/>
  <c r="T93" i="4"/>
  <c r="AQ93" i="4" s="1"/>
  <c r="R141" i="4"/>
  <c r="R133" i="4"/>
  <c r="R98" i="4"/>
  <c r="R155" i="4"/>
  <c r="R76" i="4"/>
  <c r="T136" i="4"/>
  <c r="AQ136" i="4" s="1"/>
  <c r="T21" i="4"/>
  <c r="AQ21" i="4" s="1"/>
  <c r="T110" i="4"/>
  <c r="AQ110" i="4" s="1"/>
  <c r="T133" i="4"/>
  <c r="AQ133" i="4" s="1"/>
  <c r="T59" i="4"/>
  <c r="AQ59" i="4" s="1"/>
  <c r="B39" i="5"/>
  <c r="W161" i="5" s="1"/>
  <c r="Y161" i="5" s="1"/>
  <c r="T128" i="4"/>
  <c r="AQ128" i="4" s="1"/>
  <c r="T64" i="4"/>
  <c r="AQ64" i="4" s="1"/>
  <c r="T15" i="4"/>
  <c r="AQ15" i="4" s="1"/>
  <c r="T122" i="4"/>
  <c r="AQ122" i="4" s="1"/>
  <c r="T58" i="4"/>
  <c r="AQ58" i="4" s="1"/>
  <c r="T108" i="4"/>
  <c r="AQ108" i="4" s="1"/>
  <c r="T60" i="4"/>
  <c r="AQ60" i="4" s="1"/>
  <c r="T16" i="4"/>
  <c r="AQ16" i="4" s="1"/>
  <c r="T102" i="4"/>
  <c r="AQ102" i="4" s="1"/>
  <c r="T40" i="4"/>
  <c r="AQ40" i="4" s="1"/>
  <c r="T9" i="4"/>
  <c r="AQ9" i="4" s="1"/>
  <c r="T147" i="4"/>
  <c r="AQ147" i="4" s="1"/>
  <c r="T131" i="4"/>
  <c r="AQ131" i="4" s="1"/>
  <c r="T115" i="4"/>
  <c r="AQ115" i="4" s="1"/>
  <c r="T101" i="4"/>
  <c r="AQ101" i="4" s="1"/>
  <c r="T87" i="4"/>
  <c r="AQ87" i="4" s="1"/>
  <c r="T73" i="4"/>
  <c r="T57" i="4"/>
  <c r="AQ57" i="4" s="1"/>
  <c r="T43" i="4"/>
  <c r="AQ43" i="4" s="1"/>
  <c r="T103" i="4"/>
  <c r="AQ103" i="4" s="1"/>
  <c r="T77" i="4"/>
  <c r="AQ77" i="4" s="1"/>
  <c r="T25" i="4"/>
  <c r="AQ25" i="4" s="1"/>
  <c r="T72" i="4"/>
  <c r="AQ72" i="4" s="1"/>
  <c r="T66" i="4"/>
  <c r="AQ66" i="4" s="1"/>
  <c r="T20" i="4"/>
  <c r="AQ20" i="4" s="1"/>
  <c r="T149" i="4"/>
  <c r="AQ149" i="4" s="1"/>
  <c r="T75" i="4"/>
  <c r="AQ75" i="4" s="1"/>
  <c r="T120" i="4"/>
  <c r="AQ120" i="4" s="1"/>
  <c r="T56" i="4"/>
  <c r="AQ56" i="4" s="1"/>
  <c r="T12" i="4"/>
  <c r="AQ12" i="4" s="1"/>
  <c r="T114" i="4"/>
  <c r="AQ114" i="4" s="1"/>
  <c r="T50" i="4"/>
  <c r="AQ50" i="4" s="1"/>
  <c r="T14" i="4"/>
  <c r="AQ14" i="4" s="1"/>
  <c r="T52" i="4"/>
  <c r="AQ52" i="4" s="1"/>
  <c r="T8" i="4"/>
  <c r="AQ8" i="4" s="1"/>
  <c r="T94" i="4"/>
  <c r="AQ94" i="4" s="1"/>
  <c r="T37" i="4"/>
  <c r="AQ37" i="4" s="1"/>
  <c r="T145" i="4"/>
  <c r="AQ145" i="4" s="1"/>
  <c r="T129" i="4"/>
  <c r="AQ129" i="4" s="1"/>
  <c r="T113" i="4"/>
  <c r="AQ113" i="4" s="1"/>
  <c r="T99" i="4"/>
  <c r="AQ99" i="4" s="1"/>
  <c r="T71" i="4"/>
  <c r="AQ71" i="4" s="1"/>
  <c r="T55" i="4"/>
  <c r="AQ55" i="4" s="1"/>
  <c r="T41" i="4"/>
  <c r="AQ41" i="4" s="1"/>
  <c r="T17" i="4"/>
  <c r="AQ17" i="4" s="1"/>
  <c r="T89" i="4"/>
  <c r="AQ89" i="4" s="1"/>
  <c r="O9" i="4"/>
  <c r="T112" i="4"/>
  <c r="AQ112" i="4" s="1"/>
  <c r="T48" i="4"/>
  <c r="AQ48" i="4" s="1"/>
  <c r="T106" i="4"/>
  <c r="AQ106" i="4" s="1"/>
  <c r="T42" i="4"/>
  <c r="AQ42" i="4" s="1"/>
  <c r="T156" i="4"/>
  <c r="AQ156" i="4" s="1"/>
  <c r="T100" i="4"/>
  <c r="AQ100" i="4" s="1"/>
  <c r="T44" i="4"/>
  <c r="AQ44" i="4" s="1"/>
  <c r="T150" i="4"/>
  <c r="AQ150" i="4" s="1"/>
  <c r="T86" i="4"/>
  <c r="AQ86" i="4" s="1"/>
  <c r="T26" i="4"/>
  <c r="AQ26" i="4" s="1"/>
  <c r="T157" i="4"/>
  <c r="AQ157" i="4" s="1"/>
  <c r="T143" i="4"/>
  <c r="AQ143" i="4" s="1"/>
  <c r="T127" i="4"/>
  <c r="AQ127" i="4" s="1"/>
  <c r="T111" i="4"/>
  <c r="AQ111" i="4" s="1"/>
  <c r="T97" i="4"/>
  <c r="AQ97" i="4" s="1"/>
  <c r="T85" i="4"/>
  <c r="AQ85" i="4" s="1"/>
  <c r="T69" i="4"/>
  <c r="AQ69" i="4" s="1"/>
  <c r="T38" i="4"/>
  <c r="AQ38" i="4" s="1"/>
  <c r="T135" i="4"/>
  <c r="AQ135" i="4" s="1"/>
  <c r="T91" i="4"/>
  <c r="AQ91" i="4" s="1"/>
  <c r="T47" i="4"/>
  <c r="AQ47" i="4" s="1"/>
  <c r="B46" i="5"/>
  <c r="T68" i="4"/>
  <c r="AQ68" i="4" s="1"/>
  <c r="T11" i="4"/>
  <c r="AQ11" i="4" s="1"/>
  <c r="T45" i="4"/>
  <c r="AQ45" i="4" s="1"/>
  <c r="T7" i="4"/>
  <c r="AQ7" i="4" s="1"/>
  <c r="T10" i="4"/>
  <c r="AQ10" i="4" s="1"/>
  <c r="T104" i="4"/>
  <c r="AQ104" i="4" s="1"/>
  <c r="T36" i="4"/>
  <c r="AQ36" i="4" s="1"/>
  <c r="T154" i="4"/>
  <c r="AQ154" i="4" s="1"/>
  <c r="T98" i="4"/>
  <c r="AQ98" i="4" s="1"/>
  <c r="T39" i="4"/>
  <c r="AQ39" i="4" s="1"/>
  <c r="T148" i="4"/>
  <c r="AQ148" i="4" s="1"/>
  <c r="T92" i="4"/>
  <c r="AQ92" i="4" s="1"/>
  <c r="T142" i="4"/>
  <c r="AQ142" i="4" s="1"/>
  <c r="T78" i="4"/>
  <c r="AQ78" i="4" s="1"/>
  <c r="T23" i="4"/>
  <c r="AQ23" i="4" s="1"/>
  <c r="T155" i="4"/>
  <c r="AQ155" i="4" s="1"/>
  <c r="T141" i="4"/>
  <c r="T125" i="4"/>
  <c r="AQ125" i="4" s="1"/>
  <c r="T109" i="4"/>
  <c r="AQ109" i="4" s="1"/>
  <c r="T95" i="4"/>
  <c r="AQ95" i="4" s="1"/>
  <c r="T83" i="4"/>
  <c r="AQ83" i="4" s="1"/>
  <c r="T67" i="4"/>
  <c r="AQ67" i="4" s="1"/>
  <c r="T53" i="4"/>
  <c r="AQ53" i="4" s="1"/>
  <c r="B11" i="5"/>
  <c r="T119" i="4"/>
  <c r="AQ119" i="4" s="1"/>
  <c r="T61" i="4"/>
  <c r="AQ61" i="4" s="1"/>
  <c r="T18" i="4"/>
  <c r="AQ18" i="4" s="1"/>
  <c r="T116" i="4"/>
  <c r="AQ116" i="4" s="1"/>
  <c r="T46" i="4"/>
  <c r="AQ46" i="4" s="1"/>
  <c r="T117" i="4"/>
  <c r="AQ117" i="4" s="1"/>
  <c r="T22" i="4"/>
  <c r="AQ22" i="4" s="1"/>
  <c r="B17" i="5"/>
  <c r="P15" i="5" s="1"/>
  <c r="T96" i="4"/>
  <c r="AQ96" i="4" s="1"/>
  <c r="T32" i="4"/>
  <c r="AQ32" i="4" s="1"/>
  <c r="T146" i="4"/>
  <c r="AQ146" i="4" s="1"/>
  <c r="T90" i="4"/>
  <c r="AQ90" i="4" s="1"/>
  <c r="T35" i="4"/>
  <c r="AQ35" i="4" s="1"/>
  <c r="T140" i="4"/>
  <c r="AQ140" i="4" s="1"/>
  <c r="T84" i="4"/>
  <c r="AQ84" i="4" s="1"/>
  <c r="T34" i="4"/>
  <c r="AQ34" i="4" s="1"/>
  <c r="T134" i="4"/>
  <c r="T70" i="4"/>
  <c r="AQ70" i="4" s="1"/>
  <c r="T153" i="4"/>
  <c r="AQ153" i="4" s="1"/>
  <c r="T139" i="4"/>
  <c r="AQ139" i="4" s="1"/>
  <c r="T123" i="4"/>
  <c r="AQ123" i="4" s="1"/>
  <c r="T107" i="4"/>
  <c r="AQ107" i="4" s="1"/>
  <c r="T81" i="4"/>
  <c r="AQ81" i="4" s="1"/>
  <c r="T65" i="4"/>
  <c r="AQ65" i="4" s="1"/>
  <c r="T51" i="4"/>
  <c r="AQ51" i="4" s="1"/>
  <c r="L126" i="2"/>
  <c r="K38" i="5"/>
  <c r="B24" i="5"/>
  <c r="AH295" i="5"/>
  <c r="AI68" i="5"/>
  <c r="AI207" i="5"/>
  <c r="AI518" i="5"/>
  <c r="AH282" i="5"/>
  <c r="AG88" i="5"/>
  <c r="AH88" i="5" s="1"/>
  <c r="AG80" i="5"/>
  <c r="AG40" i="5"/>
  <c r="AG32" i="5"/>
  <c r="AI32" i="5" s="1"/>
  <c r="AG208" i="5"/>
  <c r="AG120" i="5"/>
  <c r="AG288" i="5"/>
  <c r="AG272" i="5"/>
  <c r="AI272" i="5" s="1"/>
  <c r="AG248" i="5"/>
  <c r="AH248" i="5" s="1"/>
  <c r="AG224" i="5"/>
  <c r="AH224" i="5" s="1"/>
  <c r="AG416" i="5"/>
  <c r="AG344" i="5"/>
  <c r="AG336" i="5"/>
  <c r="AH336" i="5" s="1"/>
  <c r="AG320" i="5"/>
  <c r="AG504" i="5"/>
  <c r="AG480" i="5"/>
  <c r="AG472" i="5"/>
  <c r="AG526" i="5"/>
  <c r="AI526" i="5" s="1"/>
  <c r="AG546" i="5"/>
  <c r="AI546" i="5" s="1"/>
  <c r="AG538" i="5"/>
  <c r="AG554" i="5"/>
  <c r="R134" i="4"/>
  <c r="R96" i="4"/>
  <c r="R71" i="4"/>
  <c r="R20" i="4"/>
  <c r="AP109" i="4"/>
  <c r="AP59" i="4"/>
  <c r="AP25" i="4"/>
  <c r="B57" i="5"/>
  <c r="B62" i="5"/>
  <c r="AM272" i="5" s="1"/>
  <c r="R126" i="4"/>
  <c r="R77" i="4"/>
  <c r="R24" i="4"/>
  <c r="R39" i="4"/>
  <c r="AP45" i="4"/>
  <c r="AP104" i="4"/>
  <c r="R91" i="4"/>
  <c r="R69" i="4"/>
  <c r="R148" i="4"/>
  <c r="R21" i="4"/>
  <c r="AP37" i="4"/>
  <c r="AP111" i="4"/>
  <c r="R70" i="4"/>
  <c r="R12" i="4"/>
  <c r="R140" i="4"/>
  <c r="AP128" i="4"/>
  <c r="AP156" i="4"/>
  <c r="B42" i="2"/>
  <c r="B3" i="8"/>
  <c r="AP33" i="4"/>
  <c r="AP58" i="4"/>
  <c r="AP127" i="4"/>
  <c r="AP123" i="4"/>
  <c r="AP148" i="4"/>
  <c r="AP53" i="4"/>
  <c r="AP94" i="4"/>
  <c r="B199" i="2"/>
  <c r="AP81" i="4"/>
  <c r="AP74" i="4"/>
  <c r="AP120" i="4"/>
  <c r="AP20" i="4"/>
  <c r="AP15" i="4"/>
  <c r="AP117" i="4"/>
  <c r="AP142" i="4"/>
  <c r="AP89" i="4"/>
  <c r="AP130" i="4"/>
  <c r="AP11" i="4"/>
  <c r="AP28" i="4"/>
  <c r="AP64" i="4"/>
  <c r="AP133" i="4"/>
  <c r="AP150" i="4"/>
  <c r="AP97" i="4"/>
  <c r="AP138" i="4"/>
  <c r="AP43" i="4"/>
  <c r="AP36" i="4"/>
  <c r="AP88" i="4"/>
  <c r="AP14" i="4"/>
  <c r="AP7" i="4"/>
  <c r="AP153" i="4"/>
  <c r="AP154" i="4"/>
  <c r="AP51" i="4"/>
  <c r="AP92" i="4"/>
  <c r="AP144" i="4"/>
  <c r="AP22" i="4"/>
  <c r="AP32" i="4"/>
  <c r="R10" i="4"/>
  <c r="R135" i="4"/>
  <c r="AP110" i="4"/>
  <c r="AP100" i="4"/>
  <c r="AP26" i="4"/>
  <c r="AP86" i="4"/>
  <c r="AP139" i="4"/>
  <c r="AP10" i="4"/>
  <c r="R19" i="4"/>
  <c r="R30" i="4"/>
  <c r="R100" i="4"/>
  <c r="R14" i="4"/>
  <c r="R95" i="4"/>
  <c r="R9" i="4"/>
  <c r="R93" i="4"/>
  <c r="R157" i="4"/>
  <c r="R86" i="4"/>
  <c r="R150" i="4"/>
  <c r="B191" i="2"/>
  <c r="B192" i="2" s="1"/>
  <c r="B220" i="2" s="1"/>
  <c r="B221" i="2" s="1"/>
  <c r="R23" i="4"/>
  <c r="R44" i="4"/>
  <c r="R108" i="4"/>
  <c r="R38" i="4"/>
  <c r="R103" i="4"/>
  <c r="R18" i="4"/>
  <c r="R101" i="4"/>
  <c r="R22" i="4"/>
  <c r="R94" i="4"/>
  <c r="R8" i="4"/>
  <c r="R27" i="4"/>
  <c r="R52" i="4"/>
  <c r="R116" i="4"/>
  <c r="R47" i="4"/>
  <c r="R111" i="4"/>
  <c r="R45" i="4"/>
  <c r="R109" i="4"/>
  <c r="R40" i="4"/>
  <c r="R102" i="4"/>
  <c r="R35" i="4"/>
  <c r="R68" i="4"/>
  <c r="R132" i="4"/>
  <c r="R63" i="4"/>
  <c r="R127" i="4"/>
  <c r="R61" i="4"/>
  <c r="R125" i="4"/>
  <c r="R54" i="4"/>
  <c r="R118" i="4"/>
  <c r="R7" i="4"/>
  <c r="R37" i="4"/>
  <c r="R73" i="4"/>
  <c r="R137" i="4"/>
  <c r="R66" i="4"/>
  <c r="R130" i="4"/>
  <c r="R64" i="4"/>
  <c r="R128" i="4"/>
  <c r="R59" i="4"/>
  <c r="R123" i="4"/>
  <c r="B42" i="5"/>
  <c r="T64" i="5" s="1"/>
  <c r="AG44" i="5"/>
  <c r="AG36" i="5"/>
  <c r="AG28" i="5"/>
  <c r="B183" i="2"/>
  <c r="H61" i="1" s="1"/>
  <c r="AG319" i="5"/>
  <c r="AG403" i="5"/>
  <c r="AI403" i="5" s="1"/>
  <c r="AG443" i="5"/>
  <c r="AI443" i="5" s="1"/>
  <c r="AG519" i="5"/>
  <c r="AI519" i="5" s="1"/>
  <c r="AG529" i="5"/>
  <c r="AI529" i="5" s="1"/>
  <c r="AG549" i="5"/>
  <c r="AI549" i="5" s="1"/>
  <c r="AG409" i="5"/>
  <c r="AI409" i="5" s="1"/>
  <c r="AG377" i="5"/>
  <c r="AI377" i="5" s="1"/>
  <c r="AG425" i="5"/>
  <c r="AG547" i="5"/>
  <c r="B62" i="2"/>
  <c r="B66" i="2"/>
  <c r="Q51" i="1"/>
  <c r="B127" i="2"/>
  <c r="B141" i="2"/>
  <c r="K141" i="2" s="1"/>
  <c r="B254" i="2"/>
  <c r="B256" i="2" s="1"/>
  <c r="B163" i="2"/>
  <c r="H47" i="1" s="1"/>
  <c r="K8" i="2"/>
  <c r="B60" i="2"/>
  <c r="B58" i="2"/>
  <c r="B203" i="2"/>
  <c r="AQ80" i="4"/>
  <c r="AH71" i="5"/>
  <c r="H57" i="1"/>
  <c r="B179" i="2" s="1"/>
  <c r="AG96" i="5"/>
  <c r="AG72" i="5"/>
  <c r="AG64" i="5"/>
  <c r="AG56" i="5"/>
  <c r="AG48" i="5"/>
  <c r="AG24" i="5"/>
  <c r="AG160" i="5"/>
  <c r="AG144" i="5"/>
  <c r="AG128" i="5"/>
  <c r="AG312" i="5"/>
  <c r="AG304" i="5"/>
  <c r="AG296" i="5"/>
  <c r="AG232" i="5"/>
  <c r="AG392" i="5"/>
  <c r="AG384" i="5"/>
  <c r="AG368" i="5"/>
  <c r="AG360" i="5"/>
  <c r="AG328" i="5"/>
  <c r="AG448" i="5"/>
  <c r="AG432" i="5"/>
  <c r="O7" i="5"/>
  <c r="B219" i="2"/>
  <c r="AQ121" i="4"/>
  <c r="AQ105" i="4"/>
  <c r="B48" i="2"/>
  <c r="B50" i="2"/>
  <c r="B31" i="2" s="1"/>
  <c r="B12" i="5"/>
  <c r="AP41" i="4"/>
  <c r="AP105" i="4"/>
  <c r="AP18" i="4"/>
  <c r="AP82" i="4"/>
  <c r="AP146" i="4"/>
  <c r="AP143" i="4"/>
  <c r="AP136" i="4"/>
  <c r="AP67" i="4"/>
  <c r="AP131" i="4"/>
  <c r="AP44" i="4"/>
  <c r="AP108" i="4"/>
  <c r="AP47" i="4"/>
  <c r="AP112" i="4"/>
  <c r="AP61" i="4"/>
  <c r="AP125" i="4"/>
  <c r="AP38" i="4"/>
  <c r="AP102" i="4"/>
  <c r="AP23" i="4"/>
  <c r="AP96" i="4"/>
  <c r="B48" i="5"/>
  <c r="B205" i="2"/>
  <c r="AP57" i="4"/>
  <c r="AP121" i="4"/>
  <c r="AP34" i="4"/>
  <c r="AP98" i="4"/>
  <c r="AP31" i="4"/>
  <c r="AP24" i="4"/>
  <c r="AP19" i="4"/>
  <c r="AP83" i="4"/>
  <c r="AP147" i="4"/>
  <c r="AP60" i="4"/>
  <c r="AP124" i="4"/>
  <c r="AP103" i="4"/>
  <c r="AP13" i="4"/>
  <c r="AP77" i="4"/>
  <c r="AP141" i="4"/>
  <c r="AP54" i="4"/>
  <c r="AP118" i="4"/>
  <c r="AP63" i="4"/>
  <c r="AP152" i="4"/>
  <c r="O15" i="4"/>
  <c r="K126" i="2"/>
  <c r="M8" i="4"/>
  <c r="AP65" i="4"/>
  <c r="AP129" i="4"/>
  <c r="AP42" i="4"/>
  <c r="AP106" i="4"/>
  <c r="AP55" i="4"/>
  <c r="AP48" i="4"/>
  <c r="AP27" i="4"/>
  <c r="AP91" i="4"/>
  <c r="AP155" i="4"/>
  <c r="AP68" i="4"/>
  <c r="AP132" i="4"/>
  <c r="AP135" i="4"/>
  <c r="AP21" i="4"/>
  <c r="AP85" i="4"/>
  <c r="AP149" i="4"/>
  <c r="AP62" i="4"/>
  <c r="AP126" i="4"/>
  <c r="AP95" i="4"/>
  <c r="J125" i="2"/>
  <c r="AP9" i="4"/>
  <c r="AP73" i="4"/>
  <c r="AP137" i="4"/>
  <c r="AP50" i="4"/>
  <c r="AP114" i="4"/>
  <c r="AP71" i="4"/>
  <c r="AP72" i="4"/>
  <c r="AP35" i="4"/>
  <c r="AP99" i="4"/>
  <c r="AP12" i="4"/>
  <c r="AP76" i="4"/>
  <c r="AP140" i="4"/>
  <c r="AP8" i="4"/>
  <c r="AP29" i="4"/>
  <c r="AP93" i="4"/>
  <c r="AP157" i="4"/>
  <c r="AP70" i="4"/>
  <c r="AP134" i="4"/>
  <c r="AP119" i="4"/>
  <c r="AH475" i="5"/>
  <c r="AI322" i="5"/>
  <c r="AH322" i="5"/>
  <c r="T73" i="5"/>
  <c r="T308" i="5"/>
  <c r="T65" i="5"/>
  <c r="AG87" i="5"/>
  <c r="AG79" i="5"/>
  <c r="AG55" i="5"/>
  <c r="AG47" i="5"/>
  <c r="T31" i="5"/>
  <c r="AG31" i="5"/>
  <c r="AG143" i="5"/>
  <c r="AG135" i="5"/>
  <c r="AM135" i="5"/>
  <c r="AG127" i="5"/>
  <c r="AG219" i="5"/>
  <c r="AG287" i="5"/>
  <c r="AG359" i="5"/>
  <c r="AG351" i="5"/>
  <c r="AG335" i="5"/>
  <c r="AG327" i="5"/>
  <c r="AG419" i="5"/>
  <c r="AG447" i="5"/>
  <c r="AG439" i="5"/>
  <c r="AG533" i="5"/>
  <c r="AM525" i="5"/>
  <c r="AG525" i="5"/>
  <c r="AG545" i="5"/>
  <c r="AH272" i="5"/>
  <c r="AP151" i="4"/>
  <c r="AP78" i="4"/>
  <c r="AP101" i="4"/>
  <c r="AP40" i="4"/>
  <c r="AP84" i="4"/>
  <c r="AP107" i="4"/>
  <c r="AP80" i="4"/>
  <c r="AP122" i="4"/>
  <c r="AP145" i="4"/>
  <c r="AP17" i="4"/>
  <c r="B39" i="2"/>
  <c r="H17" i="1" s="1"/>
  <c r="B189" i="2"/>
  <c r="P7" i="5" s="1"/>
  <c r="B197" i="2"/>
  <c r="B198" i="2" s="1"/>
  <c r="R25" i="4"/>
  <c r="R41" i="4"/>
  <c r="R49" i="4"/>
  <c r="R81" i="4"/>
  <c r="R113" i="4"/>
  <c r="R145" i="4"/>
  <c r="R42" i="4"/>
  <c r="R74" i="4"/>
  <c r="R106" i="4"/>
  <c r="R138" i="4"/>
  <c r="R32" i="4"/>
  <c r="R72" i="4"/>
  <c r="R104" i="4"/>
  <c r="R136" i="4"/>
  <c r="R26" i="4"/>
  <c r="R67" i="4"/>
  <c r="R99" i="4"/>
  <c r="R131" i="4"/>
  <c r="R13" i="4"/>
  <c r="B44" i="2"/>
  <c r="R29" i="4"/>
  <c r="R28" i="4"/>
  <c r="R57" i="4"/>
  <c r="R89" i="4"/>
  <c r="R121" i="4"/>
  <c r="R153" i="4"/>
  <c r="R50" i="4"/>
  <c r="R82" i="4"/>
  <c r="R114" i="4"/>
  <c r="R146" i="4"/>
  <c r="R48" i="4"/>
  <c r="R80" i="4"/>
  <c r="R112" i="4"/>
  <c r="R144" i="4"/>
  <c r="R43" i="4"/>
  <c r="R75" i="4"/>
  <c r="R107" i="4"/>
  <c r="R139" i="4"/>
  <c r="B52" i="2"/>
  <c r="B33" i="2" s="1"/>
  <c r="R15" i="4"/>
  <c r="R31" i="4"/>
  <c r="R36" i="4"/>
  <c r="R60" i="4"/>
  <c r="R92" i="4"/>
  <c r="R124" i="4"/>
  <c r="R156" i="4"/>
  <c r="R55" i="4"/>
  <c r="R87" i="4"/>
  <c r="R119" i="4"/>
  <c r="R151" i="4"/>
  <c r="R53" i="4"/>
  <c r="R85" i="4"/>
  <c r="R117" i="4"/>
  <c r="R149" i="4"/>
  <c r="R46" i="4"/>
  <c r="R78" i="4"/>
  <c r="R110" i="4"/>
  <c r="R142" i="4"/>
  <c r="B161" i="2"/>
  <c r="H45" i="1" s="1"/>
  <c r="B55" i="2"/>
  <c r="B68" i="2"/>
  <c r="R17" i="4"/>
  <c r="R33" i="4"/>
  <c r="R16" i="4"/>
  <c r="R65" i="4"/>
  <c r="R97" i="4"/>
  <c r="R129" i="4"/>
  <c r="R11" i="4"/>
  <c r="R58" i="4"/>
  <c r="R90" i="4"/>
  <c r="R122" i="4"/>
  <c r="R154" i="4"/>
  <c r="R56" i="4"/>
  <c r="R88" i="4"/>
  <c r="R120" i="4"/>
  <c r="R152" i="4"/>
  <c r="R51" i="4"/>
  <c r="R83" i="4"/>
  <c r="R115" i="4"/>
  <c r="R147" i="4"/>
  <c r="B185" i="2"/>
  <c r="AH271" i="5"/>
  <c r="AI271" i="5"/>
  <c r="J126" i="2"/>
  <c r="B29" i="5"/>
  <c r="B202" i="2"/>
  <c r="AQ79" i="4"/>
  <c r="AP39" i="4"/>
  <c r="AP46" i="4"/>
  <c r="AP69" i="4"/>
  <c r="AP79" i="4"/>
  <c r="AP52" i="4"/>
  <c r="AP75" i="4"/>
  <c r="AP16" i="4"/>
  <c r="AP90" i="4"/>
  <c r="AP113" i="4"/>
  <c r="AM105" i="5"/>
  <c r="AM332" i="5"/>
  <c r="AM530" i="5"/>
  <c r="AM234" i="5"/>
  <c r="AM508" i="5"/>
  <c r="AM258" i="5"/>
  <c r="AM365" i="5"/>
  <c r="AM498" i="5"/>
  <c r="AM486" i="5"/>
  <c r="AM66" i="5"/>
  <c r="AM540" i="5"/>
  <c r="AM445" i="5"/>
  <c r="AG38" i="5"/>
  <c r="AG42" i="5"/>
  <c r="AG54" i="5"/>
  <c r="AG65" i="5"/>
  <c r="AG66" i="5"/>
  <c r="AG121" i="5"/>
  <c r="AG89" i="5"/>
  <c r="AG92" i="5"/>
  <c r="AG130" i="5"/>
  <c r="AG110" i="5"/>
  <c r="AG153" i="5"/>
  <c r="AG165" i="5"/>
  <c r="AG133" i="5"/>
  <c r="AG218" i="5"/>
  <c r="AG229" i="5"/>
  <c r="AG233" i="5"/>
  <c r="AG273" i="5"/>
  <c r="AG301" i="5"/>
  <c r="AG324" i="5"/>
  <c r="AG250" i="5"/>
  <c r="AG286" i="5"/>
  <c r="AG316" i="5"/>
  <c r="AG237" i="5"/>
  <c r="AG313" i="5"/>
  <c r="AG345" i="5"/>
  <c r="AG284" i="5"/>
  <c r="AG378" i="5"/>
  <c r="AG436" i="5"/>
  <c r="AG321" i="5"/>
  <c r="AG396" i="5"/>
  <c r="AG417" i="5"/>
  <c r="AG346" i="5"/>
  <c r="AG510" i="5"/>
  <c r="AG370" i="5"/>
  <c r="AG516" i="5"/>
  <c r="AG474" i="5"/>
  <c r="AG548" i="5"/>
  <c r="AG380" i="5"/>
  <c r="AG492" i="5"/>
  <c r="AG542" i="5"/>
  <c r="AG536" i="5"/>
  <c r="AG523" i="5"/>
  <c r="AG449" i="5"/>
  <c r="AG544" i="5"/>
  <c r="AG45" i="5"/>
  <c r="AG26" i="5"/>
  <c r="AG94" i="5"/>
  <c r="AG101" i="5"/>
  <c r="AG134" i="5"/>
  <c r="AG158" i="5"/>
  <c r="AG212" i="5"/>
  <c r="AG252" i="5"/>
  <c r="AG274" i="5"/>
  <c r="AG306" i="5"/>
  <c r="AG332" i="5"/>
  <c r="AG258" i="5"/>
  <c r="AG244" i="5"/>
  <c r="AG285" i="5"/>
  <c r="AG318" i="5"/>
  <c r="AG290" i="5"/>
  <c r="AG382" i="5"/>
  <c r="AG406" i="5"/>
  <c r="AG437" i="5"/>
  <c r="AG326" i="5"/>
  <c r="AG372" i="5"/>
  <c r="AG405" i="5"/>
  <c r="AG418" i="5"/>
  <c r="AG350" i="5"/>
  <c r="AG517" i="5"/>
  <c r="AG452" i="5"/>
  <c r="AG477" i="5"/>
  <c r="AG506" i="5"/>
  <c r="AG540" i="5"/>
  <c r="AG428" i="5"/>
  <c r="AG470" i="5"/>
  <c r="AG21" i="5"/>
  <c r="AG20" i="5"/>
  <c r="AG77" i="5"/>
  <c r="AG126" i="5"/>
  <c r="AG109" i="5"/>
  <c r="AG138" i="5"/>
  <c r="AG173" i="5"/>
  <c r="AG181" i="5"/>
  <c r="AG157" i="5"/>
  <c r="AG189" i="5"/>
  <c r="AG154" i="5"/>
  <c r="AG238" i="5"/>
  <c r="AG205" i="5"/>
  <c r="AG270" i="5"/>
  <c r="AG354" i="5"/>
  <c r="AG330" i="5"/>
  <c r="AG394" i="5"/>
  <c r="AG420" i="5"/>
  <c r="AG226" i="5"/>
  <c r="AG333" i="5"/>
  <c r="AG390" i="5"/>
  <c r="AG450" i="5"/>
  <c r="AG493" i="5"/>
  <c r="AG522" i="5"/>
  <c r="AG422" i="5"/>
  <c r="AG458" i="5"/>
  <c r="AG302" i="5"/>
  <c r="AG524" i="5"/>
  <c r="AG551" i="5"/>
  <c r="AG365" i="5"/>
  <c r="AG556" i="5"/>
  <c r="AG29" i="5"/>
  <c r="AG34" i="5"/>
  <c r="AG69" i="5"/>
  <c r="AG78" i="5"/>
  <c r="AG141" i="5"/>
  <c r="AG142" i="5"/>
  <c r="AG118" i="5"/>
  <c r="AG190" i="5"/>
  <c r="AG221" i="5"/>
  <c r="AG314" i="5"/>
  <c r="AG210" i="5"/>
  <c r="AG276" i="5"/>
  <c r="AG261" i="5"/>
  <c r="AG356" i="5"/>
  <c r="AG341" i="5"/>
  <c r="AG397" i="5"/>
  <c r="AG262" i="5"/>
  <c r="AG340" i="5"/>
  <c r="AG386" i="5"/>
  <c r="AG410" i="5"/>
  <c r="AG402" i="5"/>
  <c r="AG412" i="5"/>
  <c r="AG494" i="5"/>
  <c r="AG530" i="5"/>
  <c r="AG460" i="5"/>
  <c r="AG528" i="5"/>
  <c r="AG444" i="5"/>
  <c r="AG454" i="5"/>
  <c r="AG558" i="5"/>
  <c r="AG30" i="5"/>
  <c r="AG37" i="5"/>
  <c r="AG58" i="5"/>
  <c r="AG70" i="5"/>
  <c r="AG82" i="5"/>
  <c r="AG146" i="5"/>
  <c r="AG178" i="5"/>
  <c r="AG149" i="5"/>
  <c r="AG162" i="5"/>
  <c r="AG194" i="5"/>
  <c r="AG245" i="5"/>
  <c r="AG166" i="5"/>
  <c r="AG222" i="5"/>
  <c r="AG214" i="5"/>
  <c r="AG278" i="5"/>
  <c r="AG117" i="5"/>
  <c r="AG300" i="5"/>
  <c r="AG338" i="5"/>
  <c r="AG364" i="5"/>
  <c r="AG398" i="5"/>
  <c r="AG202" i="5"/>
  <c r="AG404" i="5"/>
  <c r="AG466" i="5"/>
  <c r="AG434" i="5"/>
  <c r="AG462" i="5"/>
  <c r="AG498" i="5"/>
  <c r="AG531" i="5"/>
  <c r="AG476" i="5"/>
  <c r="AG552" i="5"/>
  <c r="AG389" i="5"/>
  <c r="AG461" i="5"/>
  <c r="AG560" i="5"/>
  <c r="B4" i="8"/>
  <c r="B64" i="2"/>
  <c r="B46" i="2"/>
  <c r="B61" i="5"/>
  <c r="AM476" i="5"/>
  <c r="AH230" i="5"/>
  <c r="AI83" i="5"/>
  <c r="AH83" i="5"/>
  <c r="AH251" i="5"/>
  <c r="AI251" i="5"/>
  <c r="B171" i="2"/>
  <c r="H52" i="1" s="1"/>
  <c r="B173" i="2"/>
  <c r="AI84" i="5"/>
  <c r="AG527" i="5"/>
  <c r="AG535" i="5"/>
  <c r="AG557" i="5"/>
  <c r="AG363" i="5"/>
  <c r="AG497" i="5"/>
  <c r="AG499" i="5"/>
  <c r="AG305" i="5"/>
  <c r="AG387" i="5"/>
  <c r="AG355" i="5"/>
  <c r="AG267" i="5"/>
  <c r="AG119" i="5"/>
  <c r="AG113" i="5"/>
  <c r="AG97" i="5"/>
  <c r="AG81" i="5"/>
  <c r="T75" i="5"/>
  <c r="AG521" i="5"/>
  <c r="AG473" i="5"/>
  <c r="AG337" i="5"/>
  <c r="AG451" i="5"/>
  <c r="AG299" i="5"/>
  <c r="AG283" i="5"/>
  <c r="AG257" i="5"/>
  <c r="AG211" i="5"/>
  <c r="AG131" i="5"/>
  <c r="AG25" i="5"/>
  <c r="AM115" i="5"/>
  <c r="B64" i="5"/>
  <c r="AJ64" i="5" s="1"/>
  <c r="AJ307" i="5"/>
  <c r="AG457" i="5"/>
  <c r="AG491" i="5"/>
  <c r="AG379" i="5"/>
  <c r="AG291" i="5"/>
  <c r="AG259" i="5"/>
  <c r="AG217" i="5"/>
  <c r="AG129" i="5"/>
  <c r="AG51" i="5"/>
  <c r="AM449" i="5"/>
  <c r="AM519" i="5"/>
  <c r="T51" i="5"/>
  <c r="AJ521" i="5"/>
  <c r="AG99" i="5"/>
  <c r="AG91" i="5"/>
  <c r="AI85" i="5" l="1"/>
  <c r="AH85" i="5"/>
  <c r="AM362" i="5"/>
  <c r="AJ283" i="5"/>
  <c r="AM459" i="5"/>
  <c r="AM436" i="5"/>
  <c r="AM69" i="5"/>
  <c r="AM93" i="5"/>
  <c r="AG553" i="5"/>
  <c r="AG495" i="5"/>
  <c r="AG255" i="5"/>
  <c r="AG23" i="5"/>
  <c r="AI67" i="5"/>
  <c r="AG512" i="5"/>
  <c r="AG280" i="5"/>
  <c r="AG216" i="5"/>
  <c r="AG361" i="5"/>
  <c r="AG347" i="5"/>
  <c r="AI347" i="5" s="1"/>
  <c r="AG19" i="5"/>
  <c r="AG456" i="5"/>
  <c r="AG408" i="5"/>
  <c r="AG200" i="5"/>
  <c r="AI200" i="5" s="1"/>
  <c r="AG289" i="5"/>
  <c r="AG105" i="5"/>
  <c r="AG292" i="5"/>
  <c r="AG358" i="5"/>
  <c r="AI358" i="5" s="1"/>
  <c r="AG242" i="5"/>
  <c r="AG501" i="5"/>
  <c r="AG187" i="5"/>
  <c r="AH187" i="5" s="1"/>
  <c r="AG124" i="5"/>
  <c r="AG298" i="5"/>
  <c r="AG61" i="5"/>
  <c r="AG196" i="5"/>
  <c r="AH196" i="5" s="1"/>
  <c r="AG467" i="5"/>
  <c r="AG277" i="5"/>
  <c r="AI277" i="5" s="1"/>
  <c r="AG559" i="5"/>
  <c r="AG247" i="5"/>
  <c r="AG442" i="5"/>
  <c r="AG125" i="5"/>
  <c r="AG414" i="5"/>
  <c r="AG151" i="5"/>
  <c r="AM235" i="5"/>
  <c r="AI224" i="5"/>
  <c r="AJ187" i="5"/>
  <c r="AM370" i="5"/>
  <c r="AM482" i="5"/>
  <c r="AH479" i="5"/>
  <c r="AH367" i="5"/>
  <c r="AI186" i="5"/>
  <c r="AG455" i="5"/>
  <c r="AG383" i="5"/>
  <c r="AG159" i="5"/>
  <c r="AG103" i="5"/>
  <c r="AG464" i="5"/>
  <c r="AG240" i="5"/>
  <c r="AG176" i="5"/>
  <c r="AG104" i="5"/>
  <c r="AG441" i="5"/>
  <c r="AG459" i="5"/>
  <c r="AI459" i="5" s="1"/>
  <c r="AG534" i="5"/>
  <c r="AG352" i="5"/>
  <c r="AG136" i="5"/>
  <c r="AI195" i="5"/>
  <c r="AH514" i="5"/>
  <c r="AG209" i="5"/>
  <c r="AI209" i="5" s="1"/>
  <c r="AG220" i="5"/>
  <c r="AG490" i="5"/>
  <c r="AG123" i="5"/>
  <c r="AG317" i="5"/>
  <c r="AI317" i="5" s="1"/>
  <c r="AG275" i="5"/>
  <c r="AH275" i="5" s="1"/>
  <c r="AG50" i="5"/>
  <c r="AG311" i="5"/>
  <c r="AG413" i="5"/>
  <c r="AH413" i="5" s="1"/>
  <c r="AG213" i="5"/>
  <c r="AG423" i="5"/>
  <c r="AG155" i="5"/>
  <c r="AG469" i="5"/>
  <c r="AI469" i="5" s="1"/>
  <c r="AG122" i="5"/>
  <c r="AI122" i="5" s="1"/>
  <c r="AG391" i="5"/>
  <c r="AG74" i="5"/>
  <c r="AG231" i="5"/>
  <c r="AH231" i="5" s="1"/>
  <c r="AM133" i="5"/>
  <c r="AM251" i="5"/>
  <c r="AM41" i="5"/>
  <c r="AH515" i="5"/>
  <c r="AI293" i="5"/>
  <c r="AG294" i="5"/>
  <c r="AG260" i="5"/>
  <c r="AG148" i="5"/>
  <c r="AG486" i="5"/>
  <c r="AG421" i="5"/>
  <c r="AG182" i="5"/>
  <c r="AG520" i="5"/>
  <c r="AG381" i="5"/>
  <c r="AG234" i="5"/>
  <c r="AG22" i="5"/>
  <c r="AG485" i="5"/>
  <c r="AG348" i="5"/>
  <c r="AG140" i="5"/>
  <c r="AG426" i="5"/>
  <c r="AG438" i="5"/>
  <c r="AG281" i="5"/>
  <c r="AG164" i="5"/>
  <c r="AG93" i="5"/>
  <c r="AM285" i="5"/>
  <c r="AM348" i="5"/>
  <c r="AG463" i="5"/>
  <c r="AG223" i="5"/>
  <c r="AG175" i="5"/>
  <c r="AH268" i="5"/>
  <c r="AG488" i="5"/>
  <c r="AG256" i="5"/>
  <c r="AG184" i="5"/>
  <c r="AG112" i="5"/>
  <c r="AG513" i="5"/>
  <c r="AG483" i="5"/>
  <c r="AI483" i="5" s="1"/>
  <c r="AG503" i="5"/>
  <c r="AG424" i="5"/>
  <c r="AG376" i="5"/>
  <c r="AG152" i="5"/>
  <c r="AH152" i="5" s="1"/>
  <c r="AI471" i="5"/>
  <c r="AG41" i="5"/>
  <c r="AG228" i="5"/>
  <c r="AG478" i="5"/>
  <c r="AG163" i="5"/>
  <c r="AG371" i="5"/>
  <c r="AG315" i="5"/>
  <c r="AI315" i="5" s="1"/>
  <c r="AG73" i="5"/>
  <c r="AG323" i="5"/>
  <c r="AI323" i="5" s="1"/>
  <c r="AG100" i="5"/>
  <c r="AG265" i="5"/>
  <c r="AG550" i="5"/>
  <c r="AH550" i="5" s="1"/>
  <c r="AG227" i="5"/>
  <c r="AG435" i="5"/>
  <c r="AG183" i="5"/>
  <c r="AG411" i="5"/>
  <c r="AI411" i="5" s="1"/>
  <c r="AG132" i="5"/>
  <c r="AG433" i="5"/>
  <c r="AG206" i="5"/>
  <c r="AM395" i="5"/>
  <c r="AI511" i="5"/>
  <c r="AM189" i="5"/>
  <c r="AM253" i="5"/>
  <c r="AH529" i="5"/>
  <c r="AG487" i="5"/>
  <c r="AG239" i="5"/>
  <c r="AG199" i="5"/>
  <c r="AG496" i="5"/>
  <c r="AG264" i="5"/>
  <c r="AG192" i="5"/>
  <c r="AG8" i="5"/>
  <c r="AG353" i="5"/>
  <c r="AI353" i="5" s="1"/>
  <c r="AG507" i="5"/>
  <c r="AH507" i="5" s="1"/>
  <c r="AG375" i="5"/>
  <c r="AG440" i="5"/>
  <c r="AG400" i="5"/>
  <c r="AG168" i="5"/>
  <c r="AG57" i="5"/>
  <c r="AG309" i="5"/>
  <c r="AG482" i="5"/>
  <c r="AG197" i="5"/>
  <c r="AG508" i="5"/>
  <c r="AH508" i="5" s="1"/>
  <c r="AG139" i="5"/>
  <c r="AH139" i="5" s="1"/>
  <c r="AG107" i="5"/>
  <c r="AG374" i="5"/>
  <c r="AI374" i="5" s="1"/>
  <c r="AG116" i="5"/>
  <c r="AG246" i="5"/>
  <c r="AI246" i="5" s="1"/>
  <c r="AG465" i="5"/>
  <c r="AG225" i="5"/>
  <c r="AI225" i="5" s="1"/>
  <c r="AG453" i="5"/>
  <c r="AH453" i="5" s="1"/>
  <c r="AG167" i="5"/>
  <c r="AG481" i="5"/>
  <c r="AG137" i="5"/>
  <c r="AH137" i="5" s="1"/>
  <c r="AG393" i="5"/>
  <c r="AI393" i="5" s="1"/>
  <c r="AM549" i="5"/>
  <c r="AM409" i="5"/>
  <c r="AM113" i="5"/>
  <c r="AM347" i="5"/>
  <c r="AM500" i="5"/>
  <c r="AM485" i="5"/>
  <c r="AM334" i="5"/>
  <c r="AM238" i="5"/>
  <c r="AN238" i="5" s="1"/>
  <c r="AM29" i="5"/>
  <c r="AM426" i="5"/>
  <c r="AM322" i="5"/>
  <c r="AM53" i="5"/>
  <c r="AM454" i="5"/>
  <c r="AM286" i="5"/>
  <c r="AM186" i="5"/>
  <c r="AM62" i="5"/>
  <c r="AO62" i="5" s="1"/>
  <c r="AM493" i="5"/>
  <c r="AM222" i="5"/>
  <c r="AM492" i="5"/>
  <c r="AM326" i="5"/>
  <c r="AM68" i="5"/>
  <c r="AM487" i="5"/>
  <c r="AM496" i="5"/>
  <c r="AH377" i="5"/>
  <c r="AM263" i="5"/>
  <c r="AM554" i="5"/>
  <c r="AM243" i="5"/>
  <c r="AM388" i="5"/>
  <c r="AM520" i="5"/>
  <c r="AM346" i="5"/>
  <c r="AM173" i="5"/>
  <c r="AM550" i="5"/>
  <c r="AN550" i="5" s="1"/>
  <c r="AM458" i="5"/>
  <c r="AM298" i="5"/>
  <c r="AM38" i="5"/>
  <c r="AM484" i="5"/>
  <c r="AM389" i="5"/>
  <c r="AM204" i="5"/>
  <c r="AM28" i="5"/>
  <c r="AM397" i="5"/>
  <c r="AO397" i="5" s="1"/>
  <c r="AM141" i="5"/>
  <c r="AM394" i="5"/>
  <c r="AM161" i="5"/>
  <c r="AM431" i="5"/>
  <c r="AM495" i="5"/>
  <c r="AM359" i="5"/>
  <c r="AM546" i="5"/>
  <c r="AM24" i="5"/>
  <c r="AN24" i="5" s="1"/>
  <c r="AI172" i="5"/>
  <c r="AM457" i="5"/>
  <c r="AM129" i="5"/>
  <c r="AM211" i="5"/>
  <c r="AM410" i="5"/>
  <c r="AM270" i="5"/>
  <c r="AM430" i="5"/>
  <c r="AM58" i="5"/>
  <c r="AN58" i="5" s="1"/>
  <c r="AM198" i="5"/>
  <c r="AM31" i="5"/>
  <c r="AM72" i="5"/>
  <c r="AM289" i="5"/>
  <c r="AM155" i="5"/>
  <c r="AM83" i="5"/>
  <c r="AM299" i="5"/>
  <c r="AM396" i="5"/>
  <c r="AO396" i="5" s="1"/>
  <c r="AM434" i="5"/>
  <c r="AM306" i="5"/>
  <c r="AM122" i="5"/>
  <c r="AM437" i="5"/>
  <c r="AM354" i="5"/>
  <c r="AM282" i="5"/>
  <c r="AM26" i="5"/>
  <c r="AM462" i="5"/>
  <c r="AO462" i="5" s="1"/>
  <c r="AM293" i="5"/>
  <c r="AM205" i="5"/>
  <c r="AM42" i="5"/>
  <c r="AM374" i="5"/>
  <c r="AM149" i="5"/>
  <c r="AM422" i="5"/>
  <c r="AM194" i="5"/>
  <c r="AM311" i="5"/>
  <c r="AO311" i="5" s="1"/>
  <c r="AM175" i="5"/>
  <c r="AM32" i="5"/>
  <c r="AM465" i="5"/>
  <c r="AN465" i="5" s="1"/>
  <c r="AM145" i="5"/>
  <c r="AM324" i="5"/>
  <c r="AM556" i="5"/>
  <c r="AM438" i="5"/>
  <c r="AM61" i="5"/>
  <c r="AO61" i="5" s="1"/>
  <c r="AM418" i="5"/>
  <c r="AM514" i="5"/>
  <c r="AM157" i="5"/>
  <c r="AM423" i="5"/>
  <c r="AM128" i="5"/>
  <c r="AM225" i="5"/>
  <c r="AN225" i="5" s="1"/>
  <c r="AM369" i="5"/>
  <c r="AM450" i="5"/>
  <c r="AN450" i="5" s="1"/>
  <c r="AM506" i="5"/>
  <c r="AM262" i="5"/>
  <c r="AM109" i="5"/>
  <c r="AM536" i="5"/>
  <c r="AM349" i="5"/>
  <c r="AM261" i="5"/>
  <c r="AM372" i="5"/>
  <c r="AM412" i="5"/>
  <c r="AO412" i="5" s="1"/>
  <c r="AM404" i="5"/>
  <c r="AM162" i="5"/>
  <c r="AM552" i="5"/>
  <c r="AM413" i="5"/>
  <c r="AM85" i="5"/>
  <c r="AM340" i="5"/>
  <c r="AM197" i="5"/>
  <c r="AM447" i="5"/>
  <c r="AN447" i="5" s="1"/>
  <c r="AM383" i="5"/>
  <c r="AM360" i="5"/>
  <c r="AM48" i="5"/>
  <c r="AM435" i="5"/>
  <c r="AM130" i="5"/>
  <c r="AM302" i="5"/>
  <c r="AM228" i="5"/>
  <c r="AM444" i="5"/>
  <c r="AO444" i="5" s="1"/>
  <c r="AM136" i="5"/>
  <c r="AM185" i="5"/>
  <c r="AM131" i="5"/>
  <c r="AM195" i="5"/>
  <c r="AM281" i="5"/>
  <c r="AM169" i="5"/>
  <c r="AJ539" i="5"/>
  <c r="AM209" i="5"/>
  <c r="AN209" i="5" s="1"/>
  <c r="AM551" i="5"/>
  <c r="AM325" i="5"/>
  <c r="AM318" i="5"/>
  <c r="AM98" i="5"/>
  <c r="AM518" i="5"/>
  <c r="AM390" i="5"/>
  <c r="AM210" i="5"/>
  <c r="AM528" i="5"/>
  <c r="AN528" i="5" s="1"/>
  <c r="AM532" i="5"/>
  <c r="AM301" i="5"/>
  <c r="AM142" i="5"/>
  <c r="AM543" i="5"/>
  <c r="AM338" i="5"/>
  <c r="AM82" i="5"/>
  <c r="AM356" i="5"/>
  <c r="AM116" i="5"/>
  <c r="AN116" i="5" s="1"/>
  <c r="AI88" i="5"/>
  <c r="AM87" i="5"/>
  <c r="AM176" i="5"/>
  <c r="AM118" i="5"/>
  <c r="AM510" i="5"/>
  <c r="AM490" i="5"/>
  <c r="AM294" i="5"/>
  <c r="AM106" i="5"/>
  <c r="AN106" i="5" s="1"/>
  <c r="AM560" i="5"/>
  <c r="AM206" i="5"/>
  <c r="AM481" i="5"/>
  <c r="AM358" i="5"/>
  <c r="AM110" i="5"/>
  <c r="AM223" i="5"/>
  <c r="AM127" i="5"/>
  <c r="AM267" i="5"/>
  <c r="AO267" i="5" s="1"/>
  <c r="AM421" i="5"/>
  <c r="AM341" i="5"/>
  <c r="AM174" i="5"/>
  <c r="AM45" i="5"/>
  <c r="AM474" i="5"/>
  <c r="AM252" i="5"/>
  <c r="AN252" i="5" s="1"/>
  <c r="AM274" i="5"/>
  <c r="AM132" i="5"/>
  <c r="AN132" i="5" s="1"/>
  <c r="AM79" i="5"/>
  <c r="AH266" i="5"/>
  <c r="AM533" i="5"/>
  <c r="AM455" i="5"/>
  <c r="AM367" i="5"/>
  <c r="AM239" i="5"/>
  <c r="AN239" i="5" s="1"/>
  <c r="AM219" i="5"/>
  <c r="T167" i="5"/>
  <c r="U167" i="5" s="1"/>
  <c r="AM71" i="5"/>
  <c r="T153" i="5"/>
  <c r="T122" i="5"/>
  <c r="AM328" i="5"/>
  <c r="AM224" i="5"/>
  <c r="AM56" i="5"/>
  <c r="AN56" i="5" s="1"/>
  <c r="AH297" i="5"/>
  <c r="AM385" i="5"/>
  <c r="AO385" i="5" s="1"/>
  <c r="AM331" i="5"/>
  <c r="AM260" i="5"/>
  <c r="AM415" i="5"/>
  <c r="AM547" i="5"/>
  <c r="AM446" i="5"/>
  <c r="AM420" i="5"/>
  <c r="AO420" i="5" s="1"/>
  <c r="AM220" i="5"/>
  <c r="AM81" i="5"/>
  <c r="AO81" i="5" s="1"/>
  <c r="AM463" i="5"/>
  <c r="AM419" i="5"/>
  <c r="AM167" i="5"/>
  <c r="AM23" i="5"/>
  <c r="T198" i="5"/>
  <c r="T58" i="5"/>
  <c r="V58" i="5" s="1"/>
  <c r="AH526" i="5"/>
  <c r="AI336" i="5"/>
  <c r="AM232" i="5"/>
  <c r="AM296" i="5"/>
  <c r="AM168" i="5"/>
  <c r="AM8" i="5"/>
  <c r="AM276" i="5"/>
  <c r="AO276" i="5" s="1"/>
  <c r="AM39" i="5"/>
  <c r="AO39" i="5" s="1"/>
  <c r="AH339" i="5"/>
  <c r="AJ371" i="5"/>
  <c r="AK371" i="5" s="1"/>
  <c r="O12" i="5"/>
  <c r="AM477" i="5"/>
  <c r="AM314" i="5"/>
  <c r="AM125" i="5"/>
  <c r="AM505" i="5"/>
  <c r="AM406" i="5"/>
  <c r="AO406" i="5" s="1"/>
  <c r="AM249" i="5"/>
  <c r="AM221" i="5"/>
  <c r="AO221" i="5" s="1"/>
  <c r="AM70" i="5"/>
  <c r="AI508" i="5"/>
  <c r="AM537" i="5"/>
  <c r="AM335" i="5"/>
  <c r="AM287" i="5"/>
  <c r="AM199" i="5"/>
  <c r="AO199" i="5" s="1"/>
  <c r="AM47" i="5"/>
  <c r="AM103" i="5"/>
  <c r="AO103" i="5" s="1"/>
  <c r="T218" i="5"/>
  <c r="AH315" i="5"/>
  <c r="AM538" i="5"/>
  <c r="T184" i="5"/>
  <c r="AM40" i="5"/>
  <c r="AM88" i="5"/>
  <c r="AN88" i="5" s="1"/>
  <c r="AH393" i="5"/>
  <c r="AI275" i="5"/>
  <c r="AM137" i="5"/>
  <c r="AM451" i="5"/>
  <c r="AM259" i="5"/>
  <c r="AO259" i="5" s="1"/>
  <c r="AH122" i="5"/>
  <c r="AJ379" i="5"/>
  <c r="AM442" i="5"/>
  <c r="AO442" i="5" s="1"/>
  <c r="AM178" i="5"/>
  <c r="AM114" i="5"/>
  <c r="AN114" i="5" s="1"/>
  <c r="AM473" i="5"/>
  <c r="AM380" i="5"/>
  <c r="AM278" i="5"/>
  <c r="AM172" i="5"/>
  <c r="AM50" i="5"/>
  <c r="AI249" i="5"/>
  <c r="AM231" i="5"/>
  <c r="T219" i="5"/>
  <c r="U219" i="5" s="1"/>
  <c r="AM207" i="5"/>
  <c r="T111" i="5"/>
  <c r="T42" i="5"/>
  <c r="AM526" i="5"/>
  <c r="AM392" i="5"/>
  <c r="AM264" i="5"/>
  <c r="AN264" i="5" s="1"/>
  <c r="AM192" i="5"/>
  <c r="AM555" i="5"/>
  <c r="AN555" i="5" s="1"/>
  <c r="AM97" i="5"/>
  <c r="AN97" i="5" s="1"/>
  <c r="AM283" i="5"/>
  <c r="AN283" i="5" s="1"/>
  <c r="AI453" i="5"/>
  <c r="AI75" i="5"/>
  <c r="AM159" i="5"/>
  <c r="T23" i="5"/>
  <c r="U23" i="5" s="1"/>
  <c r="T71" i="5"/>
  <c r="AM111" i="5"/>
  <c r="AO111" i="5" s="1"/>
  <c r="T193" i="5"/>
  <c r="AM534" i="5"/>
  <c r="AM152" i="5"/>
  <c r="AM112" i="5"/>
  <c r="AM139" i="5"/>
  <c r="AI427" i="5"/>
  <c r="AH243" i="5"/>
  <c r="AH500" i="5"/>
  <c r="AI161" i="5"/>
  <c r="AI35" i="5"/>
  <c r="AM539" i="5"/>
  <c r="AM497" i="5"/>
  <c r="AM233" i="5"/>
  <c r="AM25" i="5"/>
  <c r="AO25" i="5" s="1"/>
  <c r="AM557" i="5"/>
  <c r="AO557" i="5" s="1"/>
  <c r="AM467" i="5"/>
  <c r="AO467" i="5" s="1"/>
  <c r="AM355" i="5"/>
  <c r="AO355" i="5" s="1"/>
  <c r="AM147" i="5"/>
  <c r="AN147" i="5" s="1"/>
  <c r="AM284" i="5"/>
  <c r="AM92" i="5"/>
  <c r="AI550" i="5"/>
  <c r="AM416" i="5"/>
  <c r="AN416" i="5" s="1"/>
  <c r="AH236" i="5"/>
  <c r="AI507" i="5"/>
  <c r="AH246" i="5"/>
  <c r="AH209" i="5"/>
  <c r="AH374" i="5"/>
  <c r="AH76" i="5"/>
  <c r="AI196" i="5"/>
  <c r="AM432" i="5"/>
  <c r="AN432" i="5" s="1"/>
  <c r="AM512" i="5"/>
  <c r="AM240" i="5"/>
  <c r="AO240" i="5" s="1"/>
  <c r="AM96" i="5"/>
  <c r="AM265" i="5"/>
  <c r="AM33" i="5"/>
  <c r="AM521" i="5"/>
  <c r="AN521" i="5" s="1"/>
  <c r="AM475" i="5"/>
  <c r="AO475" i="5" s="1"/>
  <c r="AM363" i="5"/>
  <c r="AO363" i="5" s="1"/>
  <c r="AM171" i="5"/>
  <c r="AM140" i="5"/>
  <c r="AO140" i="5" s="1"/>
  <c r="AM108" i="5"/>
  <c r="AM89" i="5"/>
  <c r="AI413" i="5"/>
  <c r="AI484" i="5"/>
  <c r="AJ51" i="5"/>
  <c r="AJ105" i="5"/>
  <c r="AL105" i="5" s="1"/>
  <c r="AM320" i="5"/>
  <c r="AM384" i="5"/>
  <c r="AO384" i="5" s="1"/>
  <c r="AM256" i="5"/>
  <c r="AM304" i="5"/>
  <c r="AM160" i="5"/>
  <c r="AM200" i="5"/>
  <c r="AM527" i="5"/>
  <c r="AM273" i="5"/>
  <c r="AO273" i="5" s="1"/>
  <c r="AM49" i="5"/>
  <c r="AN49" i="5" s="1"/>
  <c r="AM371" i="5"/>
  <c r="AN371" i="5" s="1"/>
  <c r="AM27" i="5"/>
  <c r="AM156" i="5"/>
  <c r="AH411" i="5"/>
  <c r="AI39" i="5"/>
  <c r="AH317" i="5"/>
  <c r="AM305" i="5"/>
  <c r="AN305" i="5" s="1"/>
  <c r="AM65" i="5"/>
  <c r="AO65" i="5" s="1"/>
  <c r="AM491" i="5"/>
  <c r="AN491" i="5" s="1"/>
  <c r="AM43" i="5"/>
  <c r="AO43" i="5" s="1"/>
  <c r="AM164" i="5"/>
  <c r="AM179" i="5"/>
  <c r="AH407" i="5"/>
  <c r="AJ273" i="5"/>
  <c r="AH549" i="5"/>
  <c r="AM312" i="5"/>
  <c r="AM433" i="5"/>
  <c r="AN433" i="5" s="1"/>
  <c r="AM313" i="5"/>
  <c r="AM73" i="5"/>
  <c r="AM427" i="5"/>
  <c r="AM499" i="5"/>
  <c r="AM51" i="5"/>
  <c r="AM212" i="5"/>
  <c r="AN212" i="5" s="1"/>
  <c r="AM343" i="5"/>
  <c r="AI180" i="5"/>
  <c r="AG43" i="5"/>
  <c r="AG191" i="5"/>
  <c r="AG431" i="5"/>
  <c r="AG329" i="5"/>
  <c r="AG263" i="5"/>
  <c r="AG331" i="5"/>
  <c r="AG342" i="5"/>
  <c r="AG541" i="5"/>
  <c r="AG150" i="5"/>
  <c r="AG95" i="5"/>
  <c r="AG241" i="5"/>
  <c r="AG399" i="5"/>
  <c r="AG52" i="5"/>
  <c r="AG388" i="5"/>
  <c r="AG430" i="5"/>
  <c r="AG325" i="5"/>
  <c r="AG543" i="5"/>
  <c r="AG53" i="5"/>
  <c r="AG369" i="5"/>
  <c r="B29" i="2"/>
  <c r="B25" i="2"/>
  <c r="B27" i="2"/>
  <c r="B23" i="2"/>
  <c r="B20" i="2"/>
  <c r="T90" i="5"/>
  <c r="T168" i="5"/>
  <c r="T132" i="5"/>
  <c r="T165" i="5"/>
  <c r="T189" i="5"/>
  <c r="AJ225" i="5"/>
  <c r="AK225" i="5" s="1"/>
  <c r="T143" i="5"/>
  <c r="V143" i="5" s="1"/>
  <c r="T103" i="5"/>
  <c r="U103" i="5" s="1"/>
  <c r="T217" i="5"/>
  <c r="T110" i="5"/>
  <c r="T277" i="5"/>
  <c r="T124" i="5"/>
  <c r="T46" i="5"/>
  <c r="U46" i="5" s="1"/>
  <c r="T158" i="5"/>
  <c r="T102" i="5"/>
  <c r="U102" i="5" s="1"/>
  <c r="AH373" i="5"/>
  <c r="T240" i="5"/>
  <c r="T200" i="5"/>
  <c r="AI307" i="5"/>
  <c r="T255" i="5"/>
  <c r="T220" i="5"/>
  <c r="U220" i="5" s="1"/>
  <c r="T97" i="5"/>
  <c r="U97" i="5" s="1"/>
  <c r="T213" i="5"/>
  <c r="U213" i="5" s="1"/>
  <c r="T108" i="5"/>
  <c r="U108" i="5" s="1"/>
  <c r="B43" i="5"/>
  <c r="T163" i="5"/>
  <c r="T81" i="5"/>
  <c r="T128" i="5"/>
  <c r="T48" i="5"/>
  <c r="U48" i="5" s="1"/>
  <c r="AI203" i="5"/>
  <c r="T99" i="5"/>
  <c r="U99" i="5" s="1"/>
  <c r="AH32" i="5"/>
  <c r="T127" i="5"/>
  <c r="T202" i="5"/>
  <c r="T78" i="5"/>
  <c r="T157" i="5"/>
  <c r="T60" i="5"/>
  <c r="U60" i="5" s="1"/>
  <c r="T238" i="5"/>
  <c r="U238" i="5" s="1"/>
  <c r="T178" i="5"/>
  <c r="V178" i="5" s="1"/>
  <c r="T77" i="5"/>
  <c r="V77" i="5" s="1"/>
  <c r="T144" i="5"/>
  <c r="T216" i="5"/>
  <c r="T96" i="5"/>
  <c r="AH323" i="5"/>
  <c r="T147" i="5"/>
  <c r="U147" i="5" s="1"/>
  <c r="AJ227" i="5"/>
  <c r="AK227" i="5" s="1"/>
  <c r="AH483" i="5"/>
  <c r="AH353" i="5"/>
  <c r="T179" i="5"/>
  <c r="T49" i="5"/>
  <c r="T197" i="5"/>
  <c r="T68" i="5"/>
  <c r="T234" i="5"/>
  <c r="U234" i="5" s="1"/>
  <c r="T148" i="5"/>
  <c r="T54" i="5"/>
  <c r="U54" i="5" s="1"/>
  <c r="AH409" i="5"/>
  <c r="AM163" i="5"/>
  <c r="AM488" i="5"/>
  <c r="AI187" i="5"/>
  <c r="AH115" i="5"/>
  <c r="T278" i="5"/>
  <c r="U278" i="5" s="1"/>
  <c r="T145" i="5"/>
  <c r="U145" i="5" s="1"/>
  <c r="T45" i="5"/>
  <c r="V45" i="5" s="1"/>
  <c r="T182" i="5"/>
  <c r="U182" i="5" s="1"/>
  <c r="T62" i="5"/>
  <c r="T209" i="5"/>
  <c r="T116" i="5"/>
  <c r="T29" i="5"/>
  <c r="T104" i="5"/>
  <c r="U104" i="5" s="1"/>
  <c r="AH215" i="5"/>
  <c r="T534" i="5"/>
  <c r="U534" i="5" s="1"/>
  <c r="T136" i="5"/>
  <c r="U136" i="5" s="1"/>
  <c r="AH358" i="5"/>
  <c r="AH446" i="5"/>
  <c r="AH277" i="5"/>
  <c r="T175" i="5"/>
  <c r="T257" i="5"/>
  <c r="V257" i="5" s="1"/>
  <c r="T129" i="5"/>
  <c r="V129" i="5" s="1"/>
  <c r="T21" i="5"/>
  <c r="U21" i="5" s="1"/>
  <c r="T86" i="5"/>
  <c r="V86" i="5" s="1"/>
  <c r="T20" i="5"/>
  <c r="T164" i="5"/>
  <c r="T113" i="5"/>
  <c r="T120" i="5"/>
  <c r="T40" i="5"/>
  <c r="V40" i="5" s="1"/>
  <c r="T72" i="5"/>
  <c r="AI204" i="5"/>
  <c r="AM504" i="5"/>
  <c r="AN504" i="5" s="1"/>
  <c r="AI151" i="5"/>
  <c r="AH151" i="5"/>
  <c r="B59" i="2"/>
  <c r="K26" i="2"/>
  <c r="B67" i="2"/>
  <c r="M26" i="2"/>
  <c r="B63" i="2"/>
  <c r="L26" i="2"/>
  <c r="AI490" i="5"/>
  <c r="AH490" i="5"/>
  <c r="AH308" i="5"/>
  <c r="AI308" i="5"/>
  <c r="AH50" i="5"/>
  <c r="AI50" i="5"/>
  <c r="AI33" i="5"/>
  <c r="AH33" i="5"/>
  <c r="AH505" i="5"/>
  <c r="AH177" i="5"/>
  <c r="AI185" i="5"/>
  <c r="AH185" i="5"/>
  <c r="AI98" i="5"/>
  <c r="AH98" i="5"/>
  <c r="AH478" i="5"/>
  <c r="AI478" i="5"/>
  <c r="AH509" i="5"/>
  <c r="AI509" i="5"/>
  <c r="AH73" i="5"/>
  <c r="AI73" i="5"/>
  <c r="AH60" i="5"/>
  <c r="AI60" i="5"/>
  <c r="AH269" i="5"/>
  <c r="AI269" i="5"/>
  <c r="AH433" i="5"/>
  <c r="AI433" i="5"/>
  <c r="AI309" i="5"/>
  <c r="AH309" i="5"/>
  <c r="AI362" i="5"/>
  <c r="AH362" i="5"/>
  <c r="AH279" i="5"/>
  <c r="AI279" i="5"/>
  <c r="AJ43" i="5"/>
  <c r="AJ147" i="5"/>
  <c r="AH111" i="5"/>
  <c r="B43" i="2"/>
  <c r="K35" i="2"/>
  <c r="AI193" i="5"/>
  <c r="AH193" i="5"/>
  <c r="AI145" i="5"/>
  <c r="AH145" i="5"/>
  <c r="AI303" i="5"/>
  <c r="AH303" i="5"/>
  <c r="AH482" i="5"/>
  <c r="AI482" i="5"/>
  <c r="AH123" i="5"/>
  <c r="AI123" i="5"/>
  <c r="AI366" i="5"/>
  <c r="AH366" i="5"/>
  <c r="AH395" i="5"/>
  <c r="AI395" i="5"/>
  <c r="AI107" i="5"/>
  <c r="AH107" i="5"/>
  <c r="AI116" i="5"/>
  <c r="AH116" i="5"/>
  <c r="AH213" i="5"/>
  <c r="AI213" i="5"/>
  <c r="AH445" i="5"/>
  <c r="AI445" i="5"/>
  <c r="AH86" i="5"/>
  <c r="AI86" i="5"/>
  <c r="AI174" i="5"/>
  <c r="AH174" i="5"/>
  <c r="AH555" i="5"/>
  <c r="AI555" i="5"/>
  <c r="AI59" i="5"/>
  <c r="AH59" i="5"/>
  <c r="AI102" i="5"/>
  <c r="AH102" i="5"/>
  <c r="AH254" i="5"/>
  <c r="AI254" i="5"/>
  <c r="AH468" i="5"/>
  <c r="AI468" i="5"/>
  <c r="AH532" i="5"/>
  <c r="AI532" i="5"/>
  <c r="AJ153" i="5"/>
  <c r="AL153" i="5" s="1"/>
  <c r="AJ169" i="5"/>
  <c r="AI90" i="5"/>
  <c r="AM64" i="5"/>
  <c r="AO64" i="5" s="1"/>
  <c r="AI201" i="5"/>
  <c r="AH201" i="5"/>
  <c r="AH310" i="5"/>
  <c r="AI310" i="5"/>
  <c r="AI235" i="5"/>
  <c r="AH235" i="5"/>
  <c r="AI27" i="5"/>
  <c r="AH27" i="5"/>
  <c r="AI539" i="5"/>
  <c r="AH539" i="5"/>
  <c r="AH357" i="5"/>
  <c r="AI357" i="5"/>
  <c r="AH114" i="5"/>
  <c r="AI114" i="5"/>
  <c r="AH253" i="5"/>
  <c r="AI253" i="5"/>
  <c r="AI559" i="5"/>
  <c r="AH559" i="5"/>
  <c r="AI183" i="5"/>
  <c r="AH183" i="5"/>
  <c r="AI429" i="5"/>
  <c r="AH429" i="5"/>
  <c r="AH537" i="5"/>
  <c r="AI537" i="5"/>
  <c r="AH443" i="5"/>
  <c r="AH225" i="5"/>
  <c r="L35" i="2"/>
  <c r="AI197" i="5"/>
  <c r="AH197" i="5"/>
  <c r="AI147" i="5"/>
  <c r="AH147" i="5"/>
  <c r="AI423" i="5"/>
  <c r="AH423" i="5"/>
  <c r="AI106" i="5"/>
  <c r="AH106" i="5"/>
  <c r="AH349" i="5"/>
  <c r="AI349" i="5"/>
  <c r="AH167" i="5"/>
  <c r="AI167" i="5"/>
  <c r="AI391" i="5"/>
  <c r="AH391" i="5"/>
  <c r="AH489" i="5"/>
  <c r="AI489" i="5"/>
  <c r="AM80" i="5"/>
  <c r="AI139" i="5"/>
  <c r="AI137" i="5"/>
  <c r="AH289" i="5"/>
  <c r="AI289" i="5"/>
  <c r="AH41" i="5"/>
  <c r="AI41" i="5"/>
  <c r="AH242" i="5"/>
  <c r="AI242" i="5"/>
  <c r="AI371" i="5"/>
  <c r="AH371" i="5"/>
  <c r="AH170" i="5"/>
  <c r="AI170" i="5"/>
  <c r="AI108" i="5"/>
  <c r="AH108" i="5"/>
  <c r="AI179" i="5"/>
  <c r="AH179" i="5"/>
  <c r="AH415" i="5"/>
  <c r="AI415" i="5"/>
  <c r="AJ483" i="5"/>
  <c r="AL483" i="5" s="1"/>
  <c r="AI231" i="5"/>
  <c r="AM472" i="5"/>
  <c r="T176" i="5"/>
  <c r="AI57" i="5"/>
  <c r="AH57" i="5"/>
  <c r="AH220" i="5"/>
  <c r="AI220" i="5"/>
  <c r="AI334" i="5"/>
  <c r="AH334" i="5"/>
  <c r="AH49" i="5"/>
  <c r="AI49" i="5"/>
  <c r="AH198" i="5"/>
  <c r="AI198" i="5"/>
  <c r="AH156" i="5"/>
  <c r="AI156" i="5"/>
  <c r="AH343" i="5"/>
  <c r="AI343" i="5"/>
  <c r="AI465" i="5"/>
  <c r="AH465" i="5"/>
  <c r="AI155" i="5"/>
  <c r="AH155" i="5"/>
  <c r="AI46" i="5"/>
  <c r="AH46" i="5"/>
  <c r="AO97" i="5"/>
  <c r="AH469" i="5"/>
  <c r="AM352" i="5"/>
  <c r="AO352" i="5" s="1"/>
  <c r="AH169" i="5"/>
  <c r="AI169" i="5"/>
  <c r="AH105" i="5"/>
  <c r="AI105" i="5"/>
  <c r="AI228" i="5"/>
  <c r="AH228" i="5"/>
  <c r="AH502" i="5"/>
  <c r="AI502" i="5"/>
  <c r="AH63" i="5"/>
  <c r="AI63" i="5"/>
  <c r="AI501" i="5"/>
  <c r="AH501" i="5"/>
  <c r="AH188" i="5"/>
  <c r="AI188" i="5"/>
  <c r="AI171" i="5"/>
  <c r="AH171" i="5"/>
  <c r="AH401" i="5"/>
  <c r="AI401" i="5"/>
  <c r="AH467" i="5"/>
  <c r="AI467" i="5"/>
  <c r="AH227" i="5"/>
  <c r="AI227" i="5"/>
  <c r="AH385" i="5"/>
  <c r="AI385" i="5"/>
  <c r="AH62" i="5"/>
  <c r="AI62" i="5"/>
  <c r="Q554" i="5"/>
  <c r="S554" i="5" s="1"/>
  <c r="Q312" i="5"/>
  <c r="S312" i="5" s="1"/>
  <c r="K35" i="5"/>
  <c r="W184" i="5"/>
  <c r="X184" i="5" s="1"/>
  <c r="W451" i="5"/>
  <c r="Y451" i="5" s="1"/>
  <c r="W319" i="5"/>
  <c r="Y319" i="5" s="1"/>
  <c r="Q344" i="5"/>
  <c r="R344" i="5" s="1"/>
  <c r="Q304" i="5"/>
  <c r="R304" i="5" s="1"/>
  <c r="W78" i="5"/>
  <c r="Y78" i="5" s="1"/>
  <c r="Q534" i="5"/>
  <c r="Q48" i="5"/>
  <c r="S48" i="5" s="1"/>
  <c r="Q320" i="5"/>
  <c r="S320" i="5" s="1"/>
  <c r="Q392" i="5"/>
  <c r="S392" i="5" s="1"/>
  <c r="Q400" i="5"/>
  <c r="S400" i="5" s="1"/>
  <c r="Q488" i="5"/>
  <c r="S488" i="5" s="1"/>
  <c r="Q8" i="5"/>
  <c r="R8" i="5" s="1"/>
  <c r="Q440" i="5"/>
  <c r="S440" i="5" s="1"/>
  <c r="Q200" i="5"/>
  <c r="Q72" i="5"/>
  <c r="S72" i="5" s="1"/>
  <c r="W301" i="5"/>
  <c r="X301" i="5" s="1"/>
  <c r="Q526" i="5"/>
  <c r="R526" i="5" s="1"/>
  <c r="Q456" i="5"/>
  <c r="S456" i="5" s="1"/>
  <c r="Q208" i="5"/>
  <c r="R208" i="5" s="1"/>
  <c r="Q512" i="5"/>
  <c r="S512" i="5" s="1"/>
  <c r="Q144" i="5"/>
  <c r="R144" i="5" s="1"/>
  <c r="B49" i="5"/>
  <c r="W272" i="5"/>
  <c r="W74" i="5"/>
  <c r="Y74" i="5" s="1"/>
  <c r="Q432" i="5"/>
  <c r="S432" i="5" s="1"/>
  <c r="Q168" i="5"/>
  <c r="S168" i="5" s="1"/>
  <c r="Q104" i="5"/>
  <c r="R104" i="5" s="1"/>
  <c r="Q448" i="5"/>
  <c r="R448" i="5" s="1"/>
  <c r="Q480" i="5"/>
  <c r="R480" i="5" s="1"/>
  <c r="Q384" i="5"/>
  <c r="S384" i="5" s="1"/>
  <c r="Q224" i="5"/>
  <c r="R224" i="5" s="1"/>
  <c r="Q152" i="5"/>
  <c r="S152" i="5" s="1"/>
  <c r="Q56" i="5"/>
  <c r="R56" i="5" s="1"/>
  <c r="Q112" i="5"/>
  <c r="R112" i="5" s="1"/>
  <c r="Q538" i="5"/>
  <c r="S538" i="5" s="1"/>
  <c r="Q496" i="5"/>
  <c r="S496" i="5" s="1"/>
  <c r="Q256" i="5"/>
  <c r="S256" i="5" s="1"/>
  <c r="Q120" i="5"/>
  <c r="R120" i="5" s="1"/>
  <c r="Q216" i="5"/>
  <c r="S216" i="5" s="1"/>
  <c r="Q80" i="5"/>
  <c r="S80" i="5" s="1"/>
  <c r="Q424" i="5"/>
  <c r="S424" i="5" s="1"/>
  <c r="Q464" i="5"/>
  <c r="S464" i="5" s="1"/>
  <c r="Q352" i="5"/>
  <c r="S352" i="5" s="1"/>
  <c r="Q264" i="5"/>
  <c r="S264" i="5" s="1"/>
  <c r="Q176" i="5"/>
  <c r="Q546" i="5"/>
  <c r="Q472" i="5"/>
  <c r="S472" i="5" s="1"/>
  <c r="Q416" i="5"/>
  <c r="R416" i="5" s="1"/>
  <c r="Q272" i="5"/>
  <c r="R272" i="5" s="1"/>
  <c r="Q40" i="5"/>
  <c r="S40" i="5" s="1"/>
  <c r="W515" i="5"/>
  <c r="Y515" i="5" s="1"/>
  <c r="W55" i="5"/>
  <c r="X55" i="5" s="1"/>
  <c r="W557" i="5"/>
  <c r="W453" i="5"/>
  <c r="Y453" i="5" s="1"/>
  <c r="W270" i="5"/>
  <c r="Y270" i="5" s="1"/>
  <c r="W100" i="5"/>
  <c r="Y100" i="5" s="1"/>
  <c r="W341" i="5"/>
  <c r="Y341" i="5" s="1"/>
  <c r="W375" i="5"/>
  <c r="Y375" i="5" s="1"/>
  <c r="W26" i="5"/>
  <c r="X26" i="5" s="1"/>
  <c r="Q296" i="5"/>
  <c r="R296" i="5" s="1"/>
  <c r="Q328" i="5"/>
  <c r="S328" i="5" s="1"/>
  <c r="Q360" i="5"/>
  <c r="S360" i="5" s="1"/>
  <c r="Q232" i="5"/>
  <c r="S232" i="5" s="1"/>
  <c r="Q128" i="5"/>
  <c r="R128" i="5" s="1"/>
  <c r="W160" i="5"/>
  <c r="Y160" i="5" s="1"/>
  <c r="Q184" i="5"/>
  <c r="S184" i="5" s="1"/>
  <c r="W24" i="5"/>
  <c r="Y24" i="5" s="1"/>
  <c r="Q64" i="5"/>
  <c r="R64" i="5" s="1"/>
  <c r="Q88" i="5"/>
  <c r="S88" i="5" s="1"/>
  <c r="W66" i="5"/>
  <c r="Y66" i="5" s="1"/>
  <c r="W281" i="5"/>
  <c r="X281" i="5" s="1"/>
  <c r="W28" i="5"/>
  <c r="X28" i="5" s="1"/>
  <c r="W490" i="5"/>
  <c r="X490" i="5" s="1"/>
  <c r="W372" i="5"/>
  <c r="Y372" i="5" s="1"/>
  <c r="W102" i="5"/>
  <c r="Y102" i="5" s="1"/>
  <c r="W86" i="5"/>
  <c r="Y86" i="5" s="1"/>
  <c r="W331" i="5"/>
  <c r="W441" i="5"/>
  <c r="X441" i="5" s="1"/>
  <c r="W204" i="5"/>
  <c r="Y204" i="5" s="1"/>
  <c r="W260" i="5"/>
  <c r="X260" i="5" s="1"/>
  <c r="W399" i="5"/>
  <c r="Y399" i="5" s="1"/>
  <c r="W492" i="5"/>
  <c r="X492" i="5" s="1"/>
  <c r="Q336" i="5"/>
  <c r="S336" i="5" s="1"/>
  <c r="Q368" i="5"/>
  <c r="Q408" i="5"/>
  <c r="S408" i="5" s="1"/>
  <c r="Q240" i="5"/>
  <c r="R240" i="5" s="1"/>
  <c r="Q280" i="5"/>
  <c r="S280" i="5" s="1"/>
  <c r="W136" i="5"/>
  <c r="Y136" i="5" s="1"/>
  <c r="Q160" i="5"/>
  <c r="S160" i="5" s="1"/>
  <c r="W192" i="5"/>
  <c r="Y192" i="5" s="1"/>
  <c r="Q24" i="5"/>
  <c r="S24" i="5" s="1"/>
  <c r="W282" i="5"/>
  <c r="W323" i="5"/>
  <c r="X323" i="5" s="1"/>
  <c r="W135" i="5"/>
  <c r="X135" i="5" s="1"/>
  <c r="W439" i="5"/>
  <c r="X439" i="5" s="1"/>
  <c r="W501" i="5"/>
  <c r="Y501" i="5" s="1"/>
  <c r="W210" i="5"/>
  <c r="Y210" i="5" s="1"/>
  <c r="W259" i="5"/>
  <c r="Y259" i="5" s="1"/>
  <c r="W98" i="5"/>
  <c r="X98" i="5" s="1"/>
  <c r="W110" i="5"/>
  <c r="W291" i="5"/>
  <c r="X291" i="5" s="1"/>
  <c r="W139" i="5"/>
  <c r="X139" i="5" s="1"/>
  <c r="W159" i="5"/>
  <c r="X159" i="5" s="1"/>
  <c r="W382" i="5"/>
  <c r="X382" i="5" s="1"/>
  <c r="W216" i="5"/>
  <c r="X216" i="5" s="1"/>
  <c r="W472" i="5"/>
  <c r="Y472" i="5" s="1"/>
  <c r="Q504" i="5"/>
  <c r="S504" i="5" s="1"/>
  <c r="Q376" i="5"/>
  <c r="Q248" i="5"/>
  <c r="R248" i="5" s="1"/>
  <c r="Q288" i="5"/>
  <c r="S288" i="5" s="1"/>
  <c r="Q136" i="5"/>
  <c r="R136" i="5" s="1"/>
  <c r="W168" i="5"/>
  <c r="Y168" i="5" s="1"/>
  <c r="Q192" i="5"/>
  <c r="S192" i="5" s="1"/>
  <c r="Q32" i="5"/>
  <c r="S32" i="5" s="1"/>
  <c r="W72" i="5"/>
  <c r="X72" i="5" s="1"/>
  <c r="W262" i="5"/>
  <c r="W29" i="5"/>
  <c r="Y29" i="5" s="1"/>
  <c r="W62" i="5"/>
  <c r="Y62" i="5" s="1"/>
  <c r="W365" i="5"/>
  <c r="X365" i="5" s="1"/>
  <c r="W497" i="5"/>
  <c r="Y497" i="5" s="1"/>
  <c r="W183" i="5"/>
  <c r="Y183" i="5" s="1"/>
  <c r="W239" i="5"/>
  <c r="X239" i="5" s="1"/>
  <c r="W334" i="5"/>
  <c r="Y334" i="5" s="1"/>
  <c r="W243" i="5"/>
  <c r="Y243" i="5" s="1"/>
  <c r="W212" i="5"/>
  <c r="W521" i="5"/>
  <c r="X521" i="5" s="1"/>
  <c r="W51" i="5"/>
  <c r="X51" i="5" s="1"/>
  <c r="W330" i="5"/>
  <c r="X330" i="5" s="1"/>
  <c r="W526" i="5"/>
  <c r="X526" i="5" s="1"/>
  <c r="W333" i="5"/>
  <c r="Y333" i="5" s="1"/>
  <c r="W321" i="5"/>
  <c r="X321" i="5" s="1"/>
  <c r="W481" i="5"/>
  <c r="Y481" i="5" s="1"/>
  <c r="W405" i="5"/>
  <c r="W65" i="5"/>
  <c r="X65" i="5" s="1"/>
  <c r="W274" i="5"/>
  <c r="Y274" i="5" s="1"/>
  <c r="W305" i="5"/>
  <c r="X305" i="5" s="1"/>
  <c r="W101" i="5"/>
  <c r="X101" i="5" s="1"/>
  <c r="W467" i="5"/>
  <c r="X467" i="5" s="1"/>
  <c r="W60" i="5"/>
  <c r="Y60" i="5" s="1"/>
  <c r="W366" i="5"/>
  <c r="W290" i="5"/>
  <c r="W189" i="5"/>
  <c r="X189" i="5" s="1"/>
  <c r="W554" i="5"/>
  <c r="X554" i="5" s="1"/>
  <c r="W80" i="5"/>
  <c r="X80" i="5" s="1"/>
  <c r="W75" i="5"/>
  <c r="X75" i="5" s="1"/>
  <c r="W438" i="5"/>
  <c r="Y438" i="5" s="1"/>
  <c r="W386" i="5"/>
  <c r="X386" i="5" s="1"/>
  <c r="W132" i="5"/>
  <c r="W343" i="5"/>
  <c r="W237" i="5"/>
  <c r="X237" i="5" s="1"/>
  <c r="W181" i="5"/>
  <c r="X181" i="5" s="1"/>
  <c r="W71" i="5"/>
  <c r="Y71" i="5" s="1"/>
  <c r="W422" i="5"/>
  <c r="X422" i="5" s="1"/>
  <c r="W197" i="5"/>
  <c r="X197" i="5" s="1"/>
  <c r="W549" i="5"/>
  <c r="Y549" i="5" s="1"/>
  <c r="W293" i="5"/>
  <c r="X293" i="5" s="1"/>
  <c r="W403" i="5"/>
  <c r="X161" i="5"/>
  <c r="W392" i="5"/>
  <c r="Y392" i="5" s="1"/>
  <c r="W394" i="5"/>
  <c r="Y394" i="5" s="1"/>
  <c r="W358" i="5"/>
  <c r="Y358" i="5" s="1"/>
  <c r="W517" i="5"/>
  <c r="X517" i="5" s="1"/>
  <c r="W125" i="5"/>
  <c r="W551" i="5"/>
  <c r="Y551" i="5" s="1"/>
  <c r="W106" i="5"/>
  <c r="X106" i="5" s="1"/>
  <c r="W255" i="5"/>
  <c r="X255" i="5" s="1"/>
  <c r="W436" i="5"/>
  <c r="X436" i="5" s="1"/>
  <c r="W535" i="5"/>
  <c r="Y535" i="5" s="1"/>
  <c r="W340" i="5"/>
  <c r="Y340" i="5" s="1"/>
  <c r="W154" i="5"/>
  <c r="W435" i="5"/>
  <c r="W158" i="5"/>
  <c r="X158" i="5" s="1"/>
  <c r="W27" i="5"/>
  <c r="Y27" i="5" s="1"/>
  <c r="W122" i="5"/>
  <c r="W348" i="5"/>
  <c r="Y348" i="5" s="1"/>
  <c r="W510" i="5"/>
  <c r="X510" i="5" s="1"/>
  <c r="W68" i="5"/>
  <c r="W507" i="5"/>
  <c r="Y507" i="5" s="1"/>
  <c r="W454" i="5"/>
  <c r="X454" i="5" s="1"/>
  <c r="W531" i="5"/>
  <c r="X531" i="5" s="1"/>
  <c r="W449" i="5"/>
  <c r="Y449" i="5" s="1"/>
  <c r="W267" i="5"/>
  <c r="X267" i="5" s="1"/>
  <c r="W177" i="5"/>
  <c r="Y177" i="5" s="1"/>
  <c r="W299" i="5"/>
  <c r="Y299" i="5" s="1"/>
  <c r="W351" i="5"/>
  <c r="Y351" i="5" s="1"/>
  <c r="W536" i="5"/>
  <c r="Y536" i="5" s="1"/>
  <c r="S19" i="4"/>
  <c r="AL19" i="4" s="1"/>
  <c r="S27" i="4"/>
  <c r="AL27" i="4" s="1"/>
  <c r="S35" i="4"/>
  <c r="AL35" i="4" s="1"/>
  <c r="S43" i="4"/>
  <c r="AL43" i="4" s="1"/>
  <c r="S51" i="4"/>
  <c r="AL51" i="4" s="1"/>
  <c r="S60" i="4"/>
  <c r="AL60" i="4" s="1"/>
  <c r="S134" i="4"/>
  <c r="AL134" i="4" s="1"/>
  <c r="S98" i="4"/>
  <c r="U98" i="4" s="1"/>
  <c r="S65" i="4"/>
  <c r="AL65" i="4" s="1"/>
  <c r="S92" i="4"/>
  <c r="AL92" i="4" s="1"/>
  <c r="S123" i="4"/>
  <c r="AL123" i="4" s="1"/>
  <c r="S149" i="4"/>
  <c r="AL149" i="4" s="1"/>
  <c r="S91" i="4"/>
  <c r="AL91" i="4" s="1"/>
  <c r="S133" i="4"/>
  <c r="AS133" i="4" s="1"/>
  <c r="S145" i="4"/>
  <c r="AL145" i="4" s="1"/>
  <c r="S138" i="4"/>
  <c r="AL138" i="4" s="1"/>
  <c r="S113" i="4"/>
  <c r="AL113" i="4" s="1"/>
  <c r="S89" i="4"/>
  <c r="AL89" i="4" s="1"/>
  <c r="S7" i="4"/>
  <c r="AL7" i="4" s="1"/>
  <c r="S58" i="4"/>
  <c r="AL58" i="4" s="1"/>
  <c r="S122" i="4"/>
  <c r="AL122" i="4" s="1"/>
  <c r="S73" i="4"/>
  <c r="V73" i="4" s="1"/>
  <c r="AM73" i="4" s="1"/>
  <c r="S20" i="4"/>
  <c r="AL20" i="4" s="1"/>
  <c r="S28" i="4"/>
  <c r="AL28" i="4" s="1"/>
  <c r="S36" i="4"/>
  <c r="AL36" i="4" s="1"/>
  <c r="S44" i="4"/>
  <c r="AL44" i="4" s="1"/>
  <c r="S52" i="4"/>
  <c r="AL52" i="4" s="1"/>
  <c r="S67" i="4"/>
  <c r="AL67" i="4" s="1"/>
  <c r="S68" i="4"/>
  <c r="AL68" i="4" s="1"/>
  <c r="S102" i="4"/>
  <c r="AL102" i="4" s="1"/>
  <c r="S66" i="4"/>
  <c r="AL66" i="4" s="1"/>
  <c r="S96" i="4"/>
  <c r="AL96" i="4" s="1"/>
  <c r="S124" i="4"/>
  <c r="AL124" i="4" s="1"/>
  <c r="S153" i="4"/>
  <c r="AL153" i="4" s="1"/>
  <c r="S95" i="4"/>
  <c r="AL95" i="4" s="1"/>
  <c r="S77" i="4"/>
  <c r="V77" i="4" s="1"/>
  <c r="S156" i="4"/>
  <c r="AL156" i="4" s="1"/>
  <c r="S141" i="4"/>
  <c r="AS141" i="4" s="1"/>
  <c r="S117" i="4"/>
  <c r="AL117" i="4" s="1"/>
  <c r="S108" i="4"/>
  <c r="AL108" i="4" s="1"/>
  <c r="S50" i="4"/>
  <c r="AL50" i="4" s="1"/>
  <c r="S88" i="4"/>
  <c r="AL88" i="4" s="1"/>
  <c r="S118" i="4"/>
  <c r="U118" i="4" s="1"/>
  <c r="S15" i="4"/>
  <c r="AL15" i="4" s="1"/>
  <c r="S21" i="4"/>
  <c r="S29" i="4"/>
  <c r="AL29" i="4" s="1"/>
  <c r="S37" i="4"/>
  <c r="AL37" i="4" s="1"/>
  <c r="S45" i="4"/>
  <c r="AL45" i="4" s="1"/>
  <c r="S53" i="4"/>
  <c r="AL53" i="4" s="1"/>
  <c r="S62" i="4"/>
  <c r="U62" i="4" s="1"/>
  <c r="S74" i="4"/>
  <c r="AL74" i="4" s="1"/>
  <c r="S109" i="4"/>
  <c r="AL109" i="4" s="1"/>
  <c r="S71" i="4"/>
  <c r="AL71" i="4" s="1"/>
  <c r="S100" i="4"/>
  <c r="AL100" i="4" s="1"/>
  <c r="S125" i="4"/>
  <c r="AL125" i="4" s="1"/>
  <c r="S8" i="4"/>
  <c r="AL8" i="4" s="1"/>
  <c r="S103" i="4"/>
  <c r="AL103" i="4" s="1"/>
  <c r="S93" i="4"/>
  <c r="AL93" i="4" s="1"/>
  <c r="S9" i="4"/>
  <c r="AL9" i="4" s="1"/>
  <c r="S152" i="4"/>
  <c r="AL152" i="4" s="1"/>
  <c r="S147" i="4"/>
  <c r="AL147" i="4" s="1"/>
  <c r="S116" i="4"/>
  <c r="AL116" i="4" s="1"/>
  <c r="S26" i="4"/>
  <c r="AL26" i="4" s="1"/>
  <c r="S130" i="4"/>
  <c r="U130" i="4" s="1"/>
  <c r="S83" i="4"/>
  <c r="AL83" i="4" s="1"/>
  <c r="S101" i="4"/>
  <c r="S63" i="4"/>
  <c r="AL63" i="4" s="1"/>
  <c r="S22" i="4"/>
  <c r="AL22" i="4" s="1"/>
  <c r="S30" i="4"/>
  <c r="AL30" i="4" s="1"/>
  <c r="S38" i="4"/>
  <c r="AL38" i="4" s="1"/>
  <c r="S46" i="4"/>
  <c r="AL46" i="4" s="1"/>
  <c r="S54" i="4"/>
  <c r="AL54" i="4" s="1"/>
  <c r="S69" i="4"/>
  <c r="AL69" i="4" s="1"/>
  <c r="S78" i="4"/>
  <c r="AL78" i="4" s="1"/>
  <c r="S110" i="4"/>
  <c r="AL110" i="4" s="1"/>
  <c r="S72" i="4"/>
  <c r="AL72" i="4" s="1"/>
  <c r="S105" i="4"/>
  <c r="V105" i="4" s="1"/>
  <c r="S126" i="4"/>
  <c r="AL126" i="4" s="1"/>
  <c r="S61" i="4"/>
  <c r="AL61" i="4" s="1"/>
  <c r="S104" i="4"/>
  <c r="AL104" i="4" s="1"/>
  <c r="S107" i="4"/>
  <c r="AL107" i="4" s="1"/>
  <c r="S10" i="4"/>
  <c r="AS10" i="4" s="1"/>
  <c r="S155" i="4"/>
  <c r="AS155" i="4" s="1"/>
  <c r="S148" i="4"/>
  <c r="AL148" i="4" s="1"/>
  <c r="S143" i="4"/>
  <c r="U143" i="4" s="1"/>
  <c r="S18" i="4"/>
  <c r="AL18" i="4" s="1"/>
  <c r="S94" i="4"/>
  <c r="S132" i="4"/>
  <c r="S64" i="4"/>
  <c r="AL64" i="4" s="1"/>
  <c r="S23" i="4"/>
  <c r="AL23" i="4" s="1"/>
  <c r="S31" i="4"/>
  <c r="AL31" i="4" s="1"/>
  <c r="S39" i="4"/>
  <c r="AL39" i="4" s="1"/>
  <c r="S47" i="4"/>
  <c r="AL47" i="4" s="1"/>
  <c r="S55" i="4"/>
  <c r="AL55" i="4" s="1"/>
  <c r="S87" i="4"/>
  <c r="AL87" i="4" s="1"/>
  <c r="S82" i="4"/>
  <c r="AL82" i="4" s="1"/>
  <c r="S119" i="4"/>
  <c r="AL119" i="4" s="1"/>
  <c r="S76" i="4"/>
  <c r="AL76" i="4" s="1"/>
  <c r="S106" i="4"/>
  <c r="AL106" i="4" s="1"/>
  <c r="S135" i="4"/>
  <c r="AL135" i="4" s="1"/>
  <c r="S70" i="4"/>
  <c r="AL70" i="4" s="1"/>
  <c r="S111" i="4"/>
  <c r="AL111" i="4" s="1"/>
  <c r="S115" i="4"/>
  <c r="AL115" i="4" s="1"/>
  <c r="S81" i="4"/>
  <c r="AL81" i="4" s="1"/>
  <c r="S13" i="4"/>
  <c r="AL13" i="4" s="1"/>
  <c r="S151" i="4"/>
  <c r="AL151" i="4" s="1"/>
  <c r="S146" i="4"/>
  <c r="AL146" i="4" s="1"/>
  <c r="S42" i="4"/>
  <c r="AL42" i="4" s="1"/>
  <c r="S144" i="4"/>
  <c r="AL144" i="4" s="1"/>
  <c r="S11" i="4"/>
  <c r="AL11" i="4" s="1"/>
  <c r="S16" i="4"/>
  <c r="AL16" i="4" s="1"/>
  <c r="S24" i="4"/>
  <c r="AL24" i="4" s="1"/>
  <c r="S32" i="4"/>
  <c r="AL32" i="4" s="1"/>
  <c r="S40" i="4"/>
  <c r="AL40" i="4" s="1"/>
  <c r="S48" i="4"/>
  <c r="AL48" i="4" s="1"/>
  <c r="S56" i="4"/>
  <c r="AL56" i="4" s="1"/>
  <c r="S99" i="4"/>
  <c r="AL99" i="4" s="1"/>
  <c r="S86" i="4"/>
  <c r="AL86" i="4" s="1"/>
  <c r="S128" i="4"/>
  <c r="AL128" i="4" s="1"/>
  <c r="S80" i="4"/>
  <c r="AL80" i="4" s="1"/>
  <c r="S112" i="4"/>
  <c r="AL112" i="4" s="1"/>
  <c r="S139" i="4"/>
  <c r="AL139" i="4" s="1"/>
  <c r="S75" i="4"/>
  <c r="AL75" i="4" s="1"/>
  <c r="S129" i="4"/>
  <c r="AL129" i="4" s="1"/>
  <c r="S127" i="4"/>
  <c r="AL127" i="4" s="1"/>
  <c r="S97" i="4"/>
  <c r="AL97" i="4" s="1"/>
  <c r="S14" i="4"/>
  <c r="AL14" i="4" s="1"/>
  <c r="S154" i="4"/>
  <c r="AL154" i="4" s="1"/>
  <c r="S150" i="4"/>
  <c r="AL150" i="4" s="1"/>
  <c r="S17" i="4"/>
  <c r="AL17" i="4" s="1"/>
  <c r="S25" i="4"/>
  <c r="AL25" i="4" s="1"/>
  <c r="S33" i="4"/>
  <c r="AL33" i="4" s="1"/>
  <c r="S41" i="4"/>
  <c r="AL41" i="4" s="1"/>
  <c r="S49" i="4"/>
  <c r="AL49" i="4" s="1"/>
  <c r="S57" i="4"/>
  <c r="AL57" i="4" s="1"/>
  <c r="S120" i="4"/>
  <c r="AL120" i="4" s="1"/>
  <c r="S90" i="4"/>
  <c r="AL90" i="4" s="1"/>
  <c r="S137" i="4"/>
  <c r="AL137" i="4" s="1"/>
  <c r="S84" i="4"/>
  <c r="V84" i="4" s="1"/>
  <c r="S121" i="4"/>
  <c r="AL121" i="4" s="1"/>
  <c r="S140" i="4"/>
  <c r="V140" i="4" s="1"/>
  <c r="S79" i="4"/>
  <c r="S131" i="4"/>
  <c r="AL131" i="4" s="1"/>
  <c r="S136" i="4"/>
  <c r="AL136" i="4" s="1"/>
  <c r="S114" i="4"/>
  <c r="AL114" i="4" s="1"/>
  <c r="S85" i="4"/>
  <c r="AL85" i="4" s="1"/>
  <c r="S12" i="4"/>
  <c r="AL12" i="4" s="1"/>
  <c r="S157" i="4"/>
  <c r="V157" i="4" s="1"/>
  <c r="S34" i="4"/>
  <c r="S59" i="4"/>
  <c r="S142" i="4"/>
  <c r="AL142" i="4" s="1"/>
  <c r="W546" i="5"/>
  <c r="Y546" i="5" s="1"/>
  <c r="W424" i="5"/>
  <c r="X424" i="5" s="1"/>
  <c r="W448" i="5"/>
  <c r="X448" i="5" s="1"/>
  <c r="W496" i="5"/>
  <c r="Y496" i="5" s="1"/>
  <c r="W320" i="5"/>
  <c r="X320" i="5" s="1"/>
  <c r="W344" i="5"/>
  <c r="Y344" i="5" s="1"/>
  <c r="W368" i="5"/>
  <c r="Y368" i="5" s="1"/>
  <c r="W312" i="5"/>
  <c r="X312" i="5" s="1"/>
  <c r="W48" i="5"/>
  <c r="X48" i="5" s="1"/>
  <c r="W96" i="5"/>
  <c r="Y96" i="5" s="1"/>
  <c r="W553" i="5"/>
  <c r="Y553" i="5" s="1"/>
  <c r="W220" i="5"/>
  <c r="X220" i="5" s="1"/>
  <c r="W89" i="5"/>
  <c r="Y89" i="5" s="1"/>
  <c r="W218" i="5"/>
  <c r="Y218" i="5" s="1"/>
  <c r="W324" i="5"/>
  <c r="Y324" i="5" s="1"/>
  <c r="W390" i="5"/>
  <c r="Y390" i="5" s="1"/>
  <c r="W425" i="5"/>
  <c r="X425" i="5" s="1"/>
  <c r="W361" i="5"/>
  <c r="X361" i="5" s="1"/>
  <c r="W362" i="5"/>
  <c r="X362" i="5" s="1"/>
  <c r="W67" i="5"/>
  <c r="X67" i="5" s="1"/>
  <c r="W105" i="5"/>
  <c r="X105" i="5" s="1"/>
  <c r="W503" i="5"/>
  <c r="X503" i="5" s="1"/>
  <c r="W494" i="5"/>
  <c r="X494" i="5" s="1"/>
  <c r="W58" i="5"/>
  <c r="Y58" i="5" s="1"/>
  <c r="W552" i="5"/>
  <c r="Y552" i="5" s="1"/>
  <c r="W332" i="5"/>
  <c r="X332" i="5" s="1"/>
  <c r="W93" i="5"/>
  <c r="X93" i="5" s="1"/>
  <c r="W476" i="5"/>
  <c r="Y476" i="5" s="1"/>
  <c r="W478" i="5"/>
  <c r="Y478" i="5" s="1"/>
  <c r="W164" i="5"/>
  <c r="Y164" i="5" s="1"/>
  <c r="W474" i="5"/>
  <c r="Y474" i="5" s="1"/>
  <c r="W273" i="5"/>
  <c r="Y273" i="5" s="1"/>
  <c r="W244" i="5"/>
  <c r="Y244" i="5" s="1"/>
  <c r="W129" i="5"/>
  <c r="Y129" i="5" s="1"/>
  <c r="W163" i="5"/>
  <c r="X163" i="5" s="1"/>
  <c r="W167" i="5"/>
  <c r="W318" i="5"/>
  <c r="X318" i="5" s="1"/>
  <c r="W310" i="5"/>
  <c r="Y310" i="5" s="1"/>
  <c r="W44" i="5"/>
  <c r="Y44" i="5" s="1"/>
  <c r="W233" i="5"/>
  <c r="X233" i="5" s="1"/>
  <c r="W36" i="5"/>
  <c r="Y36" i="5" s="1"/>
  <c r="W82" i="5"/>
  <c r="X82" i="5" s="1"/>
  <c r="W428" i="5"/>
  <c r="Y428" i="5" s="1"/>
  <c r="W471" i="5"/>
  <c r="Y471" i="5" s="1"/>
  <c r="W21" i="5"/>
  <c r="Y21" i="5" s="1"/>
  <c r="W559" i="5"/>
  <c r="Y559" i="5" s="1"/>
  <c r="W410" i="5"/>
  <c r="X410" i="5" s="1"/>
  <c r="W222" i="5"/>
  <c r="Y222" i="5" s="1"/>
  <c r="W254" i="5"/>
  <c r="Y254" i="5" s="1"/>
  <c r="W130" i="5"/>
  <c r="X130" i="5" s="1"/>
  <c r="W235" i="5"/>
  <c r="W377" i="5"/>
  <c r="W461" i="5"/>
  <c r="W207" i="5"/>
  <c r="Y207" i="5" s="1"/>
  <c r="W408" i="5"/>
  <c r="X408" i="5" s="1"/>
  <c r="W47" i="5"/>
  <c r="W77" i="5"/>
  <c r="X77" i="5" s="1"/>
  <c r="W307" i="5"/>
  <c r="W445" i="5"/>
  <c r="Y445" i="5" s="1"/>
  <c r="W429" i="5"/>
  <c r="X429" i="5" s="1"/>
  <c r="W185" i="5"/>
  <c r="X185" i="5" s="1"/>
  <c r="W423" i="5"/>
  <c r="X423" i="5" s="1"/>
  <c r="W442" i="5"/>
  <c r="Y442" i="5" s="1"/>
  <c r="W248" i="5"/>
  <c r="Y248" i="5" s="1"/>
  <c r="W456" i="5"/>
  <c r="W504" i="5"/>
  <c r="Y504" i="5" s="1"/>
  <c r="W376" i="5"/>
  <c r="X376" i="5" s="1"/>
  <c r="W400" i="5"/>
  <c r="Y400" i="5" s="1"/>
  <c r="W224" i="5"/>
  <c r="Y224" i="5" s="1"/>
  <c r="W256" i="5"/>
  <c r="Y256" i="5" s="1"/>
  <c r="W288" i="5"/>
  <c r="X288" i="5" s="1"/>
  <c r="W120" i="5"/>
  <c r="X120" i="5" s="1"/>
  <c r="W56" i="5"/>
  <c r="W104" i="5"/>
  <c r="Y104" i="5" s="1"/>
  <c r="W148" i="5"/>
  <c r="X148" i="5" s="1"/>
  <c r="W491" i="5"/>
  <c r="Y491" i="5" s="1"/>
  <c r="W322" i="5"/>
  <c r="Y322" i="5" s="1"/>
  <c r="W114" i="5"/>
  <c r="Y114" i="5" s="1"/>
  <c r="W347" i="5"/>
  <c r="Y347" i="5" s="1"/>
  <c r="W378" i="5"/>
  <c r="X378" i="5" s="1"/>
  <c r="W528" i="5"/>
  <c r="Y528" i="5" s="1"/>
  <c r="W508" i="5"/>
  <c r="Y508" i="5" s="1"/>
  <c r="W327" i="5"/>
  <c r="Y327" i="5" s="1"/>
  <c r="W271" i="5"/>
  <c r="X271" i="5" s="1"/>
  <c r="W37" i="5"/>
  <c r="X37" i="5" s="1"/>
  <c r="W356" i="5"/>
  <c r="X356" i="5" s="1"/>
  <c r="W409" i="5"/>
  <c r="Y409" i="5" s="1"/>
  <c r="W530" i="5"/>
  <c r="X530" i="5" s="1"/>
  <c r="W269" i="5"/>
  <c r="W206" i="5"/>
  <c r="Y206" i="5" s="1"/>
  <c r="W20" i="5"/>
  <c r="X20" i="5" s="1"/>
  <c r="W300" i="5"/>
  <c r="Y300" i="5" s="1"/>
  <c r="W393" i="5"/>
  <c r="Y393" i="5" s="1"/>
  <c r="W34" i="5"/>
  <c r="Y34" i="5" s="1"/>
  <c r="W391" i="5"/>
  <c r="X391" i="5" s="1"/>
  <c r="W373" i="5"/>
  <c r="W145" i="5"/>
  <c r="X145" i="5" s="1"/>
  <c r="W178" i="5"/>
  <c r="Y178" i="5" s="1"/>
  <c r="W458" i="5"/>
  <c r="X458" i="5" s="1"/>
  <c r="W511" i="5"/>
  <c r="Y511" i="5" s="1"/>
  <c r="W134" i="5"/>
  <c r="X134" i="5" s="1"/>
  <c r="W236" i="5"/>
  <c r="X236" i="5" s="1"/>
  <c r="W411" i="5"/>
  <c r="X411" i="5" s="1"/>
  <c r="W278" i="5"/>
  <c r="Y278" i="5" s="1"/>
  <c r="W311" i="5"/>
  <c r="Y311" i="5" s="1"/>
  <c r="W39" i="5"/>
  <c r="X39" i="5" s="1"/>
  <c r="W261" i="5"/>
  <c r="Y261" i="5" s="1"/>
  <c r="W473" i="5"/>
  <c r="X473" i="5" s="1"/>
  <c r="W475" i="5"/>
  <c r="Y475" i="5" s="1"/>
  <c r="W430" i="5"/>
  <c r="X430" i="5" s="1"/>
  <c r="W45" i="5"/>
  <c r="X45" i="5" s="1"/>
  <c r="W174" i="5"/>
  <c r="Y174" i="5" s="1"/>
  <c r="W195" i="5"/>
  <c r="Y195" i="5" s="1"/>
  <c r="W505" i="5"/>
  <c r="Y505" i="5" s="1"/>
  <c r="W69" i="5"/>
  <c r="X69" i="5" s="1"/>
  <c r="W172" i="5"/>
  <c r="X172" i="5" s="1"/>
  <c r="W297" i="5"/>
  <c r="X297" i="5" s="1"/>
  <c r="W523" i="5"/>
  <c r="X523" i="5" s="1"/>
  <c r="W257" i="5"/>
  <c r="Y257" i="5" s="1"/>
  <c r="W258" i="5"/>
  <c r="Y258" i="5" s="1"/>
  <c r="W53" i="5"/>
  <c r="X53" i="5" s="1"/>
  <c r="W406" i="5"/>
  <c r="Y406" i="5" s="1"/>
  <c r="W213" i="5"/>
  <c r="X213" i="5" s="1"/>
  <c r="W460" i="5"/>
  <c r="X460" i="5" s="1"/>
  <c r="W46" i="5"/>
  <c r="X46" i="5" s="1"/>
  <c r="W268" i="5"/>
  <c r="X268" i="5" s="1"/>
  <c r="B40" i="5"/>
  <c r="W32" i="5"/>
  <c r="Y32" i="5" s="1"/>
  <c r="W432" i="5"/>
  <c r="Y432" i="5" s="1"/>
  <c r="W480" i="5"/>
  <c r="X480" i="5" s="1"/>
  <c r="W328" i="5"/>
  <c r="Y328" i="5" s="1"/>
  <c r="W144" i="5"/>
  <c r="X144" i="5" s="1"/>
  <c r="W200" i="5"/>
  <c r="Y200" i="5" s="1"/>
  <c r="W522" i="5"/>
  <c r="Y522" i="5" s="1"/>
  <c r="W283" i="5"/>
  <c r="Y283" i="5" s="1"/>
  <c r="W326" i="5"/>
  <c r="X326" i="5" s="1"/>
  <c r="W111" i="5"/>
  <c r="Y111" i="5" s="1"/>
  <c r="W149" i="5"/>
  <c r="Y149" i="5" s="1"/>
  <c r="W396" i="5"/>
  <c r="X396" i="5" s="1"/>
  <c r="W518" i="5"/>
  <c r="Y518" i="5" s="1"/>
  <c r="W294" i="5"/>
  <c r="X294" i="5" s="1"/>
  <c r="W306" i="5"/>
  <c r="Y306" i="5" s="1"/>
  <c r="W81" i="5"/>
  <c r="X81" i="5" s="1"/>
  <c r="W289" i="5"/>
  <c r="X289" i="5" s="1"/>
  <c r="W367" i="5"/>
  <c r="Y367" i="5" s="1"/>
  <c r="W401" i="5"/>
  <c r="X401" i="5" s="1"/>
  <c r="W292" i="5"/>
  <c r="Y292" i="5" s="1"/>
  <c r="W415" i="5"/>
  <c r="X415" i="5" s="1"/>
  <c r="W91" i="5"/>
  <c r="Y91" i="5" s="1"/>
  <c r="W265" i="5"/>
  <c r="X265" i="5" s="1"/>
  <c r="W346" i="5"/>
  <c r="X346" i="5" s="1"/>
  <c r="W387" i="5"/>
  <c r="Y387" i="5" s="1"/>
  <c r="W308" i="5"/>
  <c r="X308" i="5" s="1"/>
  <c r="W190" i="5"/>
  <c r="X190" i="5" s="1"/>
  <c r="W109" i="5"/>
  <c r="X109" i="5" s="1"/>
  <c r="W117" i="5"/>
  <c r="Y117" i="5" s="1"/>
  <c r="W443" i="5"/>
  <c r="X443" i="5" s="1"/>
  <c r="W483" i="5"/>
  <c r="Y483" i="5" s="1"/>
  <c r="W49" i="5"/>
  <c r="W459" i="5"/>
  <c r="W285" i="5"/>
  <c r="W242" i="5"/>
  <c r="X242" i="5" s="1"/>
  <c r="W263" i="5"/>
  <c r="Y263" i="5" s="1"/>
  <c r="W95" i="5"/>
  <c r="Y95" i="5" s="1"/>
  <c r="W298" i="5"/>
  <c r="Y298" i="5" s="1"/>
  <c r="W371" i="5"/>
  <c r="X371" i="5" s="1"/>
  <c r="W97" i="5"/>
  <c r="X97" i="5" s="1"/>
  <c r="W253" i="5"/>
  <c r="X253" i="5" s="1"/>
  <c r="W214" i="5"/>
  <c r="X214" i="5" s="1"/>
  <c r="W113" i="5"/>
  <c r="W166" i="5"/>
  <c r="Y166" i="5" s="1"/>
  <c r="W389" i="5"/>
  <c r="X389" i="5" s="1"/>
  <c r="W468" i="5"/>
  <c r="Y468" i="5" s="1"/>
  <c r="W115" i="5"/>
  <c r="X115" i="5" s="1"/>
  <c r="W520" i="5"/>
  <c r="X520" i="5" s="1"/>
  <c r="W506" i="5"/>
  <c r="X506" i="5" s="1"/>
  <c r="W193" i="5"/>
  <c r="W221" i="5"/>
  <c r="X221" i="5" s="1"/>
  <c r="W108" i="5"/>
  <c r="Y108" i="5" s="1"/>
  <c r="W313" i="5"/>
  <c r="Y313" i="5" s="1"/>
  <c r="W226" i="5"/>
  <c r="Y226" i="5" s="1"/>
  <c r="W479" i="5"/>
  <c r="W50" i="5"/>
  <c r="W275" i="5"/>
  <c r="Y275" i="5" s="1"/>
  <c r="W342" i="5"/>
  <c r="X342" i="5" s="1"/>
  <c r="W352" i="5"/>
  <c r="X352" i="5" s="1"/>
  <c r="W534" i="5"/>
  <c r="Y534" i="5" s="1"/>
  <c r="W264" i="5"/>
  <c r="X264" i="5" s="1"/>
  <c r="W176" i="5"/>
  <c r="X176" i="5" s="1"/>
  <c r="W64" i="5"/>
  <c r="Y64" i="5" s="1"/>
  <c r="W112" i="5"/>
  <c r="W537" i="5"/>
  <c r="Y537" i="5" s="1"/>
  <c r="W126" i="5"/>
  <c r="X126" i="5" s="1"/>
  <c r="W544" i="5"/>
  <c r="X544" i="5" s="1"/>
  <c r="W107" i="5"/>
  <c r="X107" i="5" s="1"/>
  <c r="W314" i="5"/>
  <c r="X314" i="5" s="1"/>
  <c r="W338" i="5"/>
  <c r="Y338" i="5" s="1"/>
  <c r="W170" i="5"/>
  <c r="Y170" i="5" s="1"/>
  <c r="W201" i="5"/>
  <c r="Y201" i="5" s="1"/>
  <c r="W198" i="5"/>
  <c r="Y198" i="5" s="1"/>
  <c r="W286" i="5"/>
  <c r="X286" i="5" s="1"/>
  <c r="W140" i="5"/>
  <c r="Y140" i="5" s="1"/>
  <c r="W196" i="5"/>
  <c r="X196" i="5" s="1"/>
  <c r="W302" i="5"/>
  <c r="Y302" i="5" s="1"/>
  <c r="W431" i="5"/>
  <c r="Y431" i="5" s="1"/>
  <c r="W76" i="5"/>
  <c r="X76" i="5" s="1"/>
  <c r="W59" i="5"/>
  <c r="X59" i="5" s="1"/>
  <c r="W179" i="5"/>
  <c r="X179" i="5" s="1"/>
  <c r="W231" i="5"/>
  <c r="Y231" i="5" s="1"/>
  <c r="W251" i="5"/>
  <c r="X251" i="5" s="1"/>
  <c r="W498" i="5"/>
  <c r="Y498" i="5" s="1"/>
  <c r="W43" i="5"/>
  <c r="Y43" i="5" s="1"/>
  <c r="W303" i="5"/>
  <c r="Y303" i="5" s="1"/>
  <c r="W54" i="5"/>
  <c r="X54" i="5" s="1"/>
  <c r="W84" i="5"/>
  <c r="X84" i="5" s="1"/>
  <c r="W465" i="5"/>
  <c r="Y465" i="5" s="1"/>
  <c r="W450" i="5"/>
  <c r="X450" i="5" s="1"/>
  <c r="W246" i="5"/>
  <c r="X246" i="5" s="1"/>
  <c r="W539" i="5"/>
  <c r="X539" i="5" s="1"/>
  <c r="W329" i="5"/>
  <c r="Y329" i="5" s="1"/>
  <c r="W228" i="5"/>
  <c r="Y228" i="5" s="1"/>
  <c r="W232" i="5"/>
  <c r="Y232" i="5" s="1"/>
  <c r="W191" i="5"/>
  <c r="Y191" i="5" s="1"/>
  <c r="W287" i="5"/>
  <c r="X287" i="5" s="1"/>
  <c r="W412" i="5"/>
  <c r="Y412" i="5" s="1"/>
  <c r="W407" i="5"/>
  <c r="X407" i="5" s="1"/>
  <c r="W309" i="5"/>
  <c r="Y309" i="5" s="1"/>
  <c r="W525" i="5"/>
  <c r="Y525" i="5" s="1"/>
  <c r="W63" i="5"/>
  <c r="X63" i="5" s="1"/>
  <c r="W121" i="5"/>
  <c r="X121" i="5" s="1"/>
  <c r="W402" i="5"/>
  <c r="X402" i="5" s="1"/>
  <c r="W433" i="5"/>
  <c r="X433" i="5" s="1"/>
  <c r="W35" i="5"/>
  <c r="X35" i="5" s="1"/>
  <c r="W560" i="5"/>
  <c r="Y560" i="5" s="1"/>
  <c r="W381" i="5"/>
  <c r="X381" i="5" s="1"/>
  <c r="W187" i="5"/>
  <c r="X187" i="5" s="1"/>
  <c r="W245" i="5"/>
  <c r="X245" i="5" s="1"/>
  <c r="W241" i="5"/>
  <c r="X241" i="5" s="1"/>
  <c r="W238" i="5"/>
  <c r="X238" i="5" s="1"/>
  <c r="W119" i="5"/>
  <c r="X119" i="5" s="1"/>
  <c r="W276" i="5"/>
  <c r="Y276" i="5" s="1"/>
  <c r="W141" i="5"/>
  <c r="X141" i="5" s="1"/>
  <c r="W414" i="5"/>
  <c r="Y414" i="5" s="1"/>
  <c r="V98" i="4"/>
  <c r="W98" i="4" s="1"/>
  <c r="Y98" i="4" s="1"/>
  <c r="W208" i="5"/>
  <c r="X208" i="5" s="1"/>
  <c r="W538" i="5"/>
  <c r="Y538" i="5" s="1"/>
  <c r="W440" i="5"/>
  <c r="X440" i="5" s="1"/>
  <c r="W464" i="5"/>
  <c r="X464" i="5" s="1"/>
  <c r="W336" i="5"/>
  <c r="X336" i="5" s="1"/>
  <c r="W384" i="5"/>
  <c r="X384" i="5" s="1"/>
  <c r="W296" i="5"/>
  <c r="X296" i="5" s="1"/>
  <c r="W128" i="5"/>
  <c r="Y128" i="5" s="1"/>
  <c r="W40" i="5"/>
  <c r="Y40" i="5" s="1"/>
  <c r="W88" i="5"/>
  <c r="Y88" i="5" s="1"/>
  <c r="W79" i="5"/>
  <c r="Y79" i="5" s="1"/>
  <c r="W543" i="5"/>
  <c r="X543" i="5" s="1"/>
  <c r="W355" i="5"/>
  <c r="Y355" i="5" s="1"/>
  <c r="W444" i="5"/>
  <c r="X444" i="5" s="1"/>
  <c r="W153" i="5"/>
  <c r="X153" i="5" s="1"/>
  <c r="W25" i="5"/>
  <c r="Y25" i="5" s="1"/>
  <c r="W38" i="5"/>
  <c r="X38" i="5" s="1"/>
  <c r="W165" i="5"/>
  <c r="Y165" i="5" s="1"/>
  <c r="W175" i="5"/>
  <c r="X175" i="5" s="1"/>
  <c r="W542" i="5"/>
  <c r="X542" i="5" s="1"/>
  <c r="W143" i="5"/>
  <c r="X143" i="5" s="1"/>
  <c r="W225" i="5"/>
  <c r="X225" i="5" s="1"/>
  <c r="W99" i="5"/>
  <c r="X99" i="5" s="1"/>
  <c r="W500" i="5"/>
  <c r="X500" i="5" s="1"/>
  <c r="W247" i="5"/>
  <c r="Y247" i="5" s="1"/>
  <c r="W532" i="5"/>
  <c r="Y532" i="5" s="1"/>
  <c r="W92" i="5"/>
  <c r="X92" i="5" s="1"/>
  <c r="W229" i="5"/>
  <c r="Y229" i="5" s="1"/>
  <c r="W123" i="5"/>
  <c r="Y123" i="5" s="1"/>
  <c r="W457" i="5"/>
  <c r="Y457" i="5" s="1"/>
  <c r="W359" i="5"/>
  <c r="X359" i="5" s="1"/>
  <c r="W350" i="5"/>
  <c r="X350" i="5" s="1"/>
  <c r="W52" i="5"/>
  <c r="Y52" i="5" s="1"/>
  <c r="W349" i="5"/>
  <c r="Y349" i="5" s="1"/>
  <c r="W487" i="5"/>
  <c r="X487" i="5" s="1"/>
  <c r="W466" i="5"/>
  <c r="Y466" i="5" s="1"/>
  <c r="W469" i="5"/>
  <c r="X469" i="5" s="1"/>
  <c r="W94" i="5"/>
  <c r="Y94" i="5" s="1"/>
  <c r="W173" i="5"/>
  <c r="X173" i="5" s="1"/>
  <c r="W219" i="5"/>
  <c r="X219" i="5" s="1"/>
  <c r="W23" i="5"/>
  <c r="Y23" i="5" s="1"/>
  <c r="W169" i="5"/>
  <c r="X169" i="5" s="1"/>
  <c r="W279" i="5"/>
  <c r="X279" i="5" s="1"/>
  <c r="W486" i="5"/>
  <c r="X486" i="5" s="1"/>
  <c r="W19" i="5"/>
  <c r="Y19" i="5" s="1"/>
  <c r="W419" i="5"/>
  <c r="X419" i="5" s="1"/>
  <c r="W61" i="5"/>
  <c r="Y61" i="5" s="1"/>
  <c r="W90" i="5"/>
  <c r="X90" i="5" s="1"/>
  <c r="W426" i="5"/>
  <c r="Y426" i="5" s="1"/>
  <c r="W417" i="5"/>
  <c r="X417" i="5" s="1"/>
  <c r="W252" i="5"/>
  <c r="X252" i="5" s="1"/>
  <c r="W462" i="5"/>
  <c r="Y462" i="5" s="1"/>
  <c r="W211" i="5"/>
  <c r="X211" i="5" s="1"/>
  <c r="W162" i="5"/>
  <c r="X162" i="5" s="1"/>
  <c r="W205" i="5"/>
  <c r="W548" i="5"/>
  <c r="Y548" i="5" s="1"/>
  <c r="W147" i="5"/>
  <c r="W388" i="5"/>
  <c r="Y388" i="5" s="1"/>
  <c r="W249" i="5"/>
  <c r="Y249" i="5" s="1"/>
  <c r="W397" i="5"/>
  <c r="X397" i="5" s="1"/>
  <c r="W556" i="5"/>
  <c r="X556" i="5" s="1"/>
  <c r="W527" i="5"/>
  <c r="X527" i="5" s="1"/>
  <c r="W152" i="5"/>
  <c r="X152" i="5" s="1"/>
  <c r="W280" i="5"/>
  <c r="Y280" i="5" s="1"/>
  <c r="W488" i="5"/>
  <c r="Y488" i="5" s="1"/>
  <c r="W512" i="5"/>
  <c r="Y512" i="5" s="1"/>
  <c r="W360" i="5"/>
  <c r="X360" i="5" s="1"/>
  <c r="W416" i="5"/>
  <c r="X416" i="5" s="1"/>
  <c r="W240" i="5"/>
  <c r="Y240" i="5" s="1"/>
  <c r="W304" i="5"/>
  <c r="Y304" i="5" s="1"/>
  <c r="W8" i="5"/>
  <c r="X8" i="5" s="1"/>
  <c r="W317" i="5"/>
  <c r="X317" i="5" s="1"/>
  <c r="W30" i="5"/>
  <c r="X30" i="5" s="1"/>
  <c r="W277" i="5"/>
  <c r="X277" i="5" s="1"/>
  <c r="W385" i="5"/>
  <c r="X385" i="5" s="1"/>
  <c r="W150" i="5"/>
  <c r="X150" i="5" s="1"/>
  <c r="W250" i="5"/>
  <c r="X250" i="5" s="1"/>
  <c r="W142" i="5"/>
  <c r="X142" i="5" s="1"/>
  <c r="W182" i="5"/>
  <c r="X182" i="5" s="1"/>
  <c r="W133" i="5"/>
  <c r="Y133" i="5" s="1"/>
  <c r="W151" i="5"/>
  <c r="Y151" i="5" s="1"/>
  <c r="W519" i="5"/>
  <c r="Y519" i="5" s="1"/>
  <c r="W477" i="5"/>
  <c r="Y477" i="5" s="1"/>
  <c r="W171" i="5"/>
  <c r="W398" i="5"/>
  <c r="Y398" i="5" s="1"/>
  <c r="W489" i="5"/>
  <c r="W124" i="5"/>
  <c r="Y124" i="5" s="1"/>
  <c r="W485" i="5"/>
  <c r="X485" i="5" s="1"/>
  <c r="W541" i="5"/>
  <c r="Y541" i="5" s="1"/>
  <c r="W137" i="5"/>
  <c r="Y137" i="5" s="1"/>
  <c r="W354" i="5"/>
  <c r="Y354" i="5" s="1"/>
  <c r="W447" i="5"/>
  <c r="Y447" i="5" s="1"/>
  <c r="W295" i="5"/>
  <c r="Y295" i="5" s="1"/>
  <c r="W325" i="5"/>
  <c r="W33" i="5"/>
  <c r="X33" i="5" s="1"/>
  <c r="W357" i="5"/>
  <c r="X357" i="5" s="1"/>
  <c r="W380" i="5"/>
  <c r="X380" i="5" s="1"/>
  <c r="W85" i="5"/>
  <c r="Y85" i="5" s="1"/>
  <c r="W369" i="5"/>
  <c r="X369" i="5" s="1"/>
  <c r="W524" i="5"/>
  <c r="X524" i="5" s="1"/>
  <c r="W127" i="5"/>
  <c r="W180" i="5"/>
  <c r="X180" i="5" s="1"/>
  <c r="W547" i="5"/>
  <c r="W22" i="5"/>
  <c r="X22" i="5" s="1"/>
  <c r="W209" i="5"/>
  <c r="X209" i="5" s="1"/>
  <c r="W223" i="5"/>
  <c r="Y223" i="5" s="1"/>
  <c r="W558" i="5"/>
  <c r="X558" i="5" s="1"/>
  <c r="W316" i="5"/>
  <c r="Y316" i="5" s="1"/>
  <c r="W413" i="5"/>
  <c r="Y413" i="5" s="1"/>
  <c r="W57" i="5"/>
  <c r="X57" i="5" s="1"/>
  <c r="W421" i="5"/>
  <c r="X421" i="5" s="1"/>
  <c r="W463" i="5"/>
  <c r="X463" i="5" s="1"/>
  <c r="W540" i="5"/>
  <c r="Y540" i="5" s="1"/>
  <c r="W353" i="5"/>
  <c r="X353" i="5" s="1"/>
  <c r="W337" i="5"/>
  <c r="X337" i="5" s="1"/>
  <c r="W157" i="5"/>
  <c r="X157" i="5" s="1"/>
  <c r="W156" i="5"/>
  <c r="Y156" i="5" s="1"/>
  <c r="W437" i="5"/>
  <c r="X437" i="5" s="1"/>
  <c r="W31" i="5"/>
  <c r="Y31" i="5" s="1"/>
  <c r="W452" i="5"/>
  <c r="W234" i="5"/>
  <c r="Y234" i="5" s="1"/>
  <c r="W266" i="5"/>
  <c r="W370" i="5"/>
  <c r="W230" i="5"/>
  <c r="U69" i="4"/>
  <c r="AQ134" i="4"/>
  <c r="W383" i="5"/>
  <c r="X383" i="5" s="1"/>
  <c r="O9" i="5"/>
  <c r="W533" i="5"/>
  <c r="Y533" i="5" s="1"/>
  <c r="W395" i="5"/>
  <c r="Y395" i="5" s="1"/>
  <c r="W199" i="5"/>
  <c r="X199" i="5" s="1"/>
  <c r="W215" i="5"/>
  <c r="Y215" i="5" s="1"/>
  <c r="W493" i="5"/>
  <c r="X493" i="5" s="1"/>
  <c r="W116" i="5"/>
  <c r="X116" i="5" s="1"/>
  <c r="W315" i="5"/>
  <c r="W345" i="5"/>
  <c r="W404" i="5"/>
  <c r="W499" i="5"/>
  <c r="AQ141" i="4"/>
  <c r="U45" i="4"/>
  <c r="W363" i="5"/>
  <c r="W364" i="5"/>
  <c r="X364" i="5" s="1"/>
  <c r="W545" i="5"/>
  <c r="X545" i="5" s="1"/>
  <c r="W194" i="5"/>
  <c r="Y194" i="5" s="1"/>
  <c r="W131" i="5"/>
  <c r="X131" i="5" s="1"/>
  <c r="W188" i="5"/>
  <c r="X188" i="5" s="1"/>
  <c r="W555" i="5"/>
  <c r="X555" i="5" s="1"/>
  <c r="W41" i="5"/>
  <c r="X41" i="5" s="1"/>
  <c r="W202" i="5"/>
  <c r="Y202" i="5" s="1"/>
  <c r="W502" i="5"/>
  <c r="X502" i="5" s="1"/>
  <c r="W455" i="5"/>
  <c r="Y455" i="5" s="1"/>
  <c r="W514" i="5"/>
  <c r="X514" i="5" s="1"/>
  <c r="W495" i="5"/>
  <c r="Y495" i="5" s="1"/>
  <c r="W484" i="5"/>
  <c r="X484" i="5" s="1"/>
  <c r="W138" i="5"/>
  <c r="Y138" i="5" s="1"/>
  <c r="W155" i="5"/>
  <c r="Y155" i="5" s="1"/>
  <c r="W513" i="5"/>
  <c r="X513" i="5" s="1"/>
  <c r="W550" i="5"/>
  <c r="Y550" i="5" s="1"/>
  <c r="W87" i="5"/>
  <c r="X87" i="5" s="1"/>
  <c r="W482" i="5"/>
  <c r="Y482" i="5" s="1"/>
  <c r="W335" i="5"/>
  <c r="Y335" i="5" s="1"/>
  <c r="W427" i="5"/>
  <c r="V96" i="4"/>
  <c r="AM96" i="4" s="1"/>
  <c r="AN96" i="4" s="1"/>
  <c r="AQ73" i="4"/>
  <c r="U96" i="4"/>
  <c r="W420" i="5"/>
  <c r="Y420" i="5" s="1"/>
  <c r="W203" i="5"/>
  <c r="Y203" i="5" s="1"/>
  <c r="W434" i="5"/>
  <c r="Y434" i="5" s="1"/>
  <c r="W339" i="5"/>
  <c r="X339" i="5" s="1"/>
  <c r="W83" i="5"/>
  <c r="X83" i="5" s="1"/>
  <c r="W146" i="5"/>
  <c r="Y146" i="5" s="1"/>
  <c r="W529" i="5"/>
  <c r="X529" i="5" s="1"/>
  <c r="W284" i="5"/>
  <c r="X284" i="5" s="1"/>
  <c r="W186" i="5"/>
  <c r="X186" i="5" s="1"/>
  <c r="W516" i="5"/>
  <c r="Y516" i="5" s="1"/>
  <c r="W103" i="5"/>
  <c r="W73" i="5"/>
  <c r="Y73" i="5" s="1"/>
  <c r="W509" i="5"/>
  <c r="Y509" i="5" s="1"/>
  <c r="W227" i="5"/>
  <c r="Y227" i="5" s="1"/>
  <c r="W374" i="5"/>
  <c r="W42" i="5"/>
  <c r="X42" i="5" s="1"/>
  <c r="W70" i="5"/>
  <c r="X70" i="5" s="1"/>
  <c r="W418" i="5"/>
  <c r="X418" i="5" s="1"/>
  <c r="W217" i="5"/>
  <c r="X217" i="5" s="1"/>
  <c r="W446" i="5"/>
  <c r="X446" i="5" s="1"/>
  <c r="W470" i="5"/>
  <c r="Y470" i="5" s="1"/>
  <c r="W379" i="5"/>
  <c r="X379" i="5" s="1"/>
  <c r="W118" i="5"/>
  <c r="K36" i="5"/>
  <c r="K37" i="5" s="1"/>
  <c r="Q47" i="5"/>
  <c r="Q25" i="5"/>
  <c r="Q50" i="5"/>
  <c r="Q54" i="5"/>
  <c r="Q68" i="5"/>
  <c r="Q73" i="5"/>
  <c r="Q86" i="5"/>
  <c r="Q44" i="5"/>
  <c r="Q108" i="5"/>
  <c r="Q137" i="5"/>
  <c r="Q100" i="5"/>
  <c r="Q157" i="5"/>
  <c r="Q124" i="5"/>
  <c r="Q150" i="5"/>
  <c r="Q174" i="5"/>
  <c r="Q175" i="5"/>
  <c r="Q178" i="5"/>
  <c r="Q199" i="5"/>
  <c r="Q107" i="5"/>
  <c r="Q221" i="5"/>
  <c r="Q195" i="5"/>
  <c r="Q226" i="5"/>
  <c r="Q203" i="5"/>
  <c r="Q284" i="5"/>
  <c r="Q323" i="5"/>
  <c r="Q229" i="5"/>
  <c r="Q285" i="5"/>
  <c r="Q310" i="5"/>
  <c r="Q220" i="5"/>
  <c r="Q274" i="5"/>
  <c r="Q297" i="5"/>
  <c r="Q341" i="5"/>
  <c r="Q289" i="5"/>
  <c r="Q372" i="5"/>
  <c r="Q407" i="5"/>
  <c r="Q439" i="5"/>
  <c r="Q308" i="5"/>
  <c r="Q363" i="5"/>
  <c r="Q402" i="5"/>
  <c r="Q327" i="5"/>
  <c r="Q377" i="5"/>
  <c r="Q412" i="5"/>
  <c r="Q387" i="5"/>
  <c r="Q462" i="5"/>
  <c r="Q485" i="5"/>
  <c r="Q523" i="5"/>
  <c r="Q369" i="5"/>
  <c r="Q446" i="5"/>
  <c r="Q486" i="5"/>
  <c r="Q510" i="5"/>
  <c r="Q444" i="5"/>
  <c r="Q494" i="5"/>
  <c r="Q535" i="5"/>
  <c r="Q553" i="5"/>
  <c r="Q498" i="5"/>
  <c r="Q550" i="5"/>
  <c r="Q558" i="5"/>
  <c r="Q544" i="5"/>
  <c r="Q516" i="5"/>
  <c r="Q49" i="5"/>
  <c r="Q29" i="5"/>
  <c r="Q52" i="5"/>
  <c r="Q55" i="5"/>
  <c r="Q69" i="5"/>
  <c r="Q71" i="5"/>
  <c r="Q95" i="5"/>
  <c r="Q82" i="5"/>
  <c r="Q116" i="5"/>
  <c r="Q142" i="5"/>
  <c r="Q114" i="5"/>
  <c r="Q159" i="5"/>
  <c r="Q126" i="5"/>
  <c r="Q155" i="5"/>
  <c r="Q188" i="5"/>
  <c r="Q179" i="5"/>
  <c r="Q182" i="5"/>
  <c r="Q201" i="5"/>
  <c r="Q177" i="5"/>
  <c r="Q225" i="5"/>
  <c r="Q204" i="5"/>
  <c r="Q231" i="5"/>
  <c r="Q213" i="5"/>
  <c r="Q291" i="5"/>
  <c r="Q325" i="5"/>
  <c r="Q247" i="5"/>
  <c r="Q290" i="5"/>
  <c r="Q321" i="5"/>
  <c r="Q223" i="5"/>
  <c r="Q275" i="5"/>
  <c r="Q309" i="5"/>
  <c r="Q346" i="5"/>
  <c r="Q295" i="5"/>
  <c r="Q375" i="5"/>
  <c r="Q409" i="5"/>
  <c r="Q441" i="5"/>
  <c r="Q314" i="5"/>
  <c r="Q365" i="5"/>
  <c r="Q404" i="5"/>
  <c r="Q338" i="5"/>
  <c r="Q394" i="5"/>
  <c r="Q415" i="5"/>
  <c r="Q390" i="5"/>
  <c r="Q463" i="5"/>
  <c r="Q500" i="5"/>
  <c r="Q524" i="5"/>
  <c r="Q410" i="5"/>
  <c r="Q452" i="5"/>
  <c r="Q487" i="5"/>
  <c r="Q514" i="5"/>
  <c r="Q445" i="5"/>
  <c r="Q497" i="5"/>
  <c r="Q536" i="5"/>
  <c r="Q559" i="5"/>
  <c r="Q508" i="5"/>
  <c r="Q364" i="5"/>
  <c r="Q560" i="5"/>
  <c r="Q556" i="5"/>
  <c r="Q531" i="5"/>
  <c r="Q21" i="5"/>
  <c r="Q20" i="5"/>
  <c r="Q30" i="5"/>
  <c r="Q27" i="5"/>
  <c r="Q58" i="5"/>
  <c r="Q65" i="5"/>
  <c r="Q75" i="5"/>
  <c r="Q85" i="5"/>
  <c r="Q94" i="5"/>
  <c r="Q117" i="5"/>
  <c r="Q151" i="5"/>
  <c r="Q125" i="5"/>
  <c r="Q83" i="5"/>
  <c r="Q127" i="5"/>
  <c r="Q156" i="5"/>
  <c r="Q130" i="5"/>
  <c r="Q180" i="5"/>
  <c r="Q202" i="5"/>
  <c r="Q235" i="5"/>
  <c r="Q186" i="5"/>
  <c r="Q228" i="5"/>
  <c r="Q205" i="5"/>
  <c r="Q234" i="5"/>
  <c r="Q227" i="5"/>
  <c r="Q292" i="5"/>
  <c r="Q331" i="5"/>
  <c r="Q253" i="5"/>
  <c r="Q293" i="5"/>
  <c r="Q326" i="5"/>
  <c r="Q239" i="5"/>
  <c r="Q277" i="5"/>
  <c r="Q315" i="5"/>
  <c r="Q348" i="5"/>
  <c r="Q306" i="5"/>
  <c r="Q380" i="5"/>
  <c r="Q411" i="5"/>
  <c r="Q442" i="5"/>
  <c r="Q340" i="5"/>
  <c r="Q373" i="5"/>
  <c r="Q413" i="5"/>
  <c r="Q347" i="5"/>
  <c r="Q395" i="5"/>
  <c r="Q421" i="5"/>
  <c r="Q393" i="5"/>
  <c r="Q468" i="5"/>
  <c r="Q501" i="5"/>
  <c r="Q527" i="5"/>
  <c r="Q420" i="5"/>
  <c r="Q457" i="5"/>
  <c r="Q489" i="5"/>
  <c r="Q520" i="5"/>
  <c r="Q449" i="5"/>
  <c r="Q502" i="5"/>
  <c r="Q537" i="5"/>
  <c r="Q268" i="5"/>
  <c r="Q515" i="5"/>
  <c r="Q430" i="5"/>
  <c r="Q557" i="5"/>
  <c r="Q403" i="5"/>
  <c r="Q539" i="5"/>
  <c r="Q26" i="5"/>
  <c r="Q22" i="5"/>
  <c r="Q33" i="5"/>
  <c r="Q51" i="5"/>
  <c r="Q60" i="5"/>
  <c r="Q70" i="5"/>
  <c r="Q77" i="5"/>
  <c r="Q87" i="5"/>
  <c r="Q103" i="5"/>
  <c r="Q119" i="5"/>
  <c r="Q153" i="5"/>
  <c r="Q138" i="5"/>
  <c r="Q102" i="5"/>
  <c r="Q129" i="5"/>
  <c r="Q92" i="5"/>
  <c r="Q145" i="5"/>
  <c r="Q183" i="5"/>
  <c r="Q207" i="5"/>
  <c r="Q236" i="5"/>
  <c r="Q189" i="5"/>
  <c r="Q230" i="5"/>
  <c r="Q206" i="5"/>
  <c r="Q237" i="5"/>
  <c r="Q246" i="5"/>
  <c r="Q299" i="5"/>
  <c r="Q333" i="5"/>
  <c r="Q255" i="5"/>
  <c r="Q298" i="5"/>
  <c r="Q330" i="5"/>
  <c r="Q243" i="5"/>
  <c r="Q278" i="5"/>
  <c r="Q317" i="5"/>
  <c r="Q350" i="5"/>
  <c r="Q332" i="5"/>
  <c r="Q385" i="5"/>
  <c r="Q418" i="5"/>
  <c r="Q245" i="5"/>
  <c r="Q343" i="5"/>
  <c r="Q379" i="5"/>
  <c r="Q414" i="5"/>
  <c r="Q351" i="5"/>
  <c r="Q397" i="5"/>
  <c r="Q318" i="5"/>
  <c r="Q433" i="5"/>
  <c r="Q471" i="5"/>
  <c r="Q503" i="5"/>
  <c r="Q252" i="5"/>
  <c r="Q422" i="5"/>
  <c r="Q467" i="5"/>
  <c r="Q490" i="5"/>
  <c r="Q197" i="5"/>
  <c r="Q450" i="5"/>
  <c r="Q509" i="5"/>
  <c r="Q541" i="5"/>
  <c r="Q447" i="5"/>
  <c r="Q532" i="5"/>
  <c r="Q443" i="5"/>
  <c r="Q459" i="5"/>
  <c r="Q427" i="5"/>
  <c r="Q540" i="5"/>
  <c r="Q31" i="5"/>
  <c r="Q23" i="5"/>
  <c r="Q35" i="5"/>
  <c r="Q59" i="5"/>
  <c r="Q63" i="5"/>
  <c r="Q74" i="5"/>
  <c r="Q79" i="5"/>
  <c r="Q90" i="5"/>
  <c r="Q106" i="5"/>
  <c r="Q123" i="5"/>
  <c r="Q154" i="5"/>
  <c r="Q140" i="5"/>
  <c r="Q105" i="5"/>
  <c r="Q134" i="5"/>
  <c r="Q115" i="5"/>
  <c r="Q161" i="5"/>
  <c r="Q185" i="5"/>
  <c r="Q181" i="5"/>
  <c r="Q238" i="5"/>
  <c r="Q191" i="5"/>
  <c r="Q233" i="5"/>
  <c r="Q209" i="5"/>
  <c r="Q242" i="5"/>
  <c r="Q258" i="5"/>
  <c r="Q302" i="5"/>
  <c r="Q196" i="5"/>
  <c r="Q259" i="5"/>
  <c r="Q300" i="5"/>
  <c r="Q141" i="5"/>
  <c r="Q260" i="5"/>
  <c r="Q283" i="5"/>
  <c r="Q319" i="5"/>
  <c r="Q357" i="5"/>
  <c r="Q334" i="5"/>
  <c r="Q386" i="5"/>
  <c r="Q423" i="5"/>
  <c r="Q249" i="5"/>
  <c r="Q349" i="5"/>
  <c r="Q382" i="5"/>
  <c r="Q417" i="5"/>
  <c r="Q358" i="5"/>
  <c r="Q398" i="5"/>
  <c r="Q359" i="5"/>
  <c r="Q453" i="5"/>
  <c r="Q473" i="5"/>
  <c r="Q511" i="5"/>
  <c r="Q301" i="5"/>
  <c r="Q425" i="5"/>
  <c r="Q469" i="5"/>
  <c r="Q492" i="5"/>
  <c r="Q342" i="5"/>
  <c r="Q465" i="5"/>
  <c r="Q518" i="5"/>
  <c r="Q542" i="5"/>
  <c r="Q451" i="5"/>
  <c r="Q547" i="5"/>
  <c r="Q460" i="5"/>
  <c r="Q466" i="5"/>
  <c r="Q429" i="5"/>
  <c r="Q19" i="5"/>
  <c r="Q42" i="5"/>
  <c r="Q36" i="5"/>
  <c r="Q41" i="5"/>
  <c r="Q67" i="5"/>
  <c r="Q57" i="5"/>
  <c r="Q81" i="5"/>
  <c r="Q91" i="5"/>
  <c r="Q110" i="5"/>
  <c r="Q89" i="5"/>
  <c r="Q133" i="5"/>
  <c r="Q53" i="5"/>
  <c r="Q146" i="5"/>
  <c r="Q118" i="5"/>
  <c r="Q147" i="5"/>
  <c r="Q163" i="5"/>
  <c r="Q166" i="5"/>
  <c r="Q164" i="5"/>
  <c r="Q193" i="5"/>
  <c r="Q250" i="5"/>
  <c r="Q210" i="5"/>
  <c r="Q165" i="5"/>
  <c r="Q217" i="5"/>
  <c r="Q101" i="5"/>
  <c r="Q269" i="5"/>
  <c r="Q313" i="5"/>
  <c r="Q215" i="5"/>
  <c r="Q271" i="5"/>
  <c r="Q305" i="5"/>
  <c r="Q173" i="5"/>
  <c r="Q265" i="5"/>
  <c r="Q287" i="5"/>
  <c r="Q329" i="5"/>
  <c r="Q257" i="5"/>
  <c r="Q356" i="5"/>
  <c r="Q391" i="5"/>
  <c r="Q431" i="5"/>
  <c r="Q279" i="5"/>
  <c r="Q354" i="5"/>
  <c r="Q388" i="5"/>
  <c r="Q263" i="5"/>
  <c r="Q370" i="5"/>
  <c r="Q405" i="5"/>
  <c r="Q378" i="5"/>
  <c r="Q455" i="5"/>
  <c r="Q475" i="5"/>
  <c r="Q519" i="5"/>
  <c r="Q337" i="5"/>
  <c r="Q435" i="5"/>
  <c r="Q477" i="5"/>
  <c r="Q495" i="5"/>
  <c r="Q426" i="5"/>
  <c r="Q479" i="5"/>
  <c r="Q529" i="5"/>
  <c r="Q545" i="5"/>
  <c r="Q481" i="5"/>
  <c r="Q552" i="5"/>
  <c r="Q522" i="5"/>
  <c r="Q525" i="5"/>
  <c r="Q499" i="5"/>
  <c r="O11" i="5"/>
  <c r="Q45" i="5"/>
  <c r="Q43" i="5"/>
  <c r="Q46" i="5"/>
  <c r="Q38" i="5"/>
  <c r="Q61" i="5"/>
  <c r="Q28" i="5"/>
  <c r="Q76" i="5"/>
  <c r="Q111" i="5"/>
  <c r="Q99" i="5"/>
  <c r="Q135" i="5"/>
  <c r="Q98" i="5"/>
  <c r="Q149" i="5"/>
  <c r="Q121" i="5"/>
  <c r="Q148" i="5"/>
  <c r="Q169" i="5"/>
  <c r="Q172" i="5"/>
  <c r="Q170" i="5"/>
  <c r="Q198" i="5"/>
  <c r="Q251" i="5"/>
  <c r="Q219" i="5"/>
  <c r="Q171" i="5"/>
  <c r="Q222" i="5"/>
  <c r="Q187" i="5"/>
  <c r="Q276" i="5"/>
  <c r="Q316" i="5"/>
  <c r="Q218" i="5"/>
  <c r="Q281" i="5"/>
  <c r="Q307" i="5"/>
  <c r="Q211" i="5"/>
  <c r="Q267" i="5"/>
  <c r="Q294" i="5"/>
  <c r="Q339" i="5"/>
  <c r="Q273" i="5"/>
  <c r="Q371" i="5"/>
  <c r="Q396" i="5"/>
  <c r="Q438" i="5"/>
  <c r="Q282" i="5"/>
  <c r="Q361" i="5"/>
  <c r="Q399" i="5"/>
  <c r="Q322" i="5"/>
  <c r="Q374" i="5"/>
  <c r="Q406" i="5"/>
  <c r="Q381" i="5"/>
  <c r="Q461" i="5"/>
  <c r="Q483" i="5"/>
  <c r="Q521" i="5"/>
  <c r="Q345" i="5"/>
  <c r="Q436" i="5"/>
  <c r="Q482" i="5"/>
  <c r="Q506" i="5"/>
  <c r="Q437" i="5"/>
  <c r="Q484" i="5"/>
  <c r="Q530" i="5"/>
  <c r="Q548" i="5"/>
  <c r="Q491" i="5"/>
  <c r="Q555" i="5"/>
  <c r="Q549" i="5"/>
  <c r="Q533" i="5"/>
  <c r="Q505" i="5"/>
  <c r="Q93" i="5"/>
  <c r="Q162" i="5"/>
  <c r="Q266" i="5"/>
  <c r="Q324" i="5"/>
  <c r="Q419" i="5"/>
  <c r="Q434" i="5"/>
  <c r="Q551" i="5"/>
  <c r="Q39" i="5"/>
  <c r="Q109" i="5"/>
  <c r="Q132" i="5"/>
  <c r="Q311" i="5"/>
  <c r="Q254" i="5"/>
  <c r="Q367" i="5"/>
  <c r="Q470" i="5"/>
  <c r="Q507" i="5"/>
  <c r="Q34" i="5"/>
  <c r="Q131" i="5"/>
  <c r="Q190" i="5"/>
  <c r="Q212" i="5"/>
  <c r="Q355" i="5"/>
  <c r="Q401" i="5"/>
  <c r="Q493" i="5"/>
  <c r="Q513" i="5"/>
  <c r="Q37" i="5"/>
  <c r="Q158" i="5"/>
  <c r="Q241" i="5"/>
  <c r="Q261" i="5"/>
  <c r="Q389" i="5"/>
  <c r="Q366" i="5"/>
  <c r="Q362" i="5"/>
  <c r="Q458" i="5"/>
  <c r="Q78" i="5"/>
  <c r="Q139" i="5"/>
  <c r="Q214" i="5"/>
  <c r="Q262" i="5"/>
  <c r="Q353" i="5"/>
  <c r="Q517" i="5"/>
  <c r="Q543" i="5"/>
  <c r="Q84" i="5"/>
  <c r="Q122" i="5"/>
  <c r="Q244" i="5"/>
  <c r="Q286" i="5"/>
  <c r="Q383" i="5"/>
  <c r="Q335" i="5"/>
  <c r="Q478" i="5"/>
  <c r="Q167" i="5"/>
  <c r="Q62" i="5"/>
  <c r="Q428" i="5"/>
  <c r="Q66" i="5"/>
  <c r="Q270" i="5"/>
  <c r="Q474" i="5"/>
  <c r="Q143" i="5"/>
  <c r="Q454" i="5"/>
  <c r="Q113" i="5"/>
  <c r="Q97" i="5"/>
  <c r="Q528" i="5"/>
  <c r="Q303" i="5"/>
  <c r="Q194" i="5"/>
  <c r="Q476" i="5"/>
  <c r="B37" i="5"/>
  <c r="AI152" i="5"/>
  <c r="AH403" i="5"/>
  <c r="AO465" i="5"/>
  <c r="AH459" i="5"/>
  <c r="AI248" i="5"/>
  <c r="AN355" i="5"/>
  <c r="AH200" i="5"/>
  <c r="AO283" i="5"/>
  <c r="AH347" i="5"/>
  <c r="AO147" i="5"/>
  <c r="AH519" i="5"/>
  <c r="AN272" i="5"/>
  <c r="AO272" i="5"/>
  <c r="U64" i="5"/>
  <c r="V64" i="5"/>
  <c r="AN80" i="5"/>
  <c r="AO80" i="5"/>
  <c r="AI441" i="5"/>
  <c r="AH441" i="5"/>
  <c r="AN284" i="5"/>
  <c r="AO284" i="5"/>
  <c r="AM193" i="5"/>
  <c r="AI19" i="5"/>
  <c r="AH19" i="5"/>
  <c r="U64" i="4"/>
  <c r="AS64" i="4"/>
  <c r="V64" i="4"/>
  <c r="U54" i="4"/>
  <c r="AS54" i="4"/>
  <c r="V54" i="4"/>
  <c r="AS102" i="4"/>
  <c r="V27" i="4"/>
  <c r="AS27" i="4"/>
  <c r="U27" i="4"/>
  <c r="AS108" i="4"/>
  <c r="U108" i="4"/>
  <c r="V108" i="4"/>
  <c r="AM59" i="5"/>
  <c r="T554" i="5"/>
  <c r="T546" i="5"/>
  <c r="AH534" i="5"/>
  <c r="AI534" i="5"/>
  <c r="T432" i="5"/>
  <c r="T448" i="5"/>
  <c r="T408" i="5"/>
  <c r="T280" i="5"/>
  <c r="T296" i="5"/>
  <c r="AH136" i="5"/>
  <c r="AI136" i="5"/>
  <c r="AM104" i="5"/>
  <c r="AI361" i="5"/>
  <c r="AH361" i="5"/>
  <c r="AO179" i="5"/>
  <c r="AN179" i="5"/>
  <c r="AO521" i="5"/>
  <c r="AN276" i="5"/>
  <c r="AN43" i="5"/>
  <c r="AO457" i="5"/>
  <c r="AN457" i="5"/>
  <c r="AN385" i="5"/>
  <c r="AM379" i="5"/>
  <c r="AM307" i="5"/>
  <c r="AM91" i="5"/>
  <c r="AM292" i="5"/>
  <c r="AM20" i="5"/>
  <c r="T38" i="5"/>
  <c r="T34" i="5"/>
  <c r="T70" i="5"/>
  <c r="T55" i="5"/>
  <c r="T89" i="5"/>
  <c r="T105" i="5"/>
  <c r="T87" i="5"/>
  <c r="T84" i="5"/>
  <c r="T43" i="5"/>
  <c r="T33" i="5"/>
  <c r="T66" i="5"/>
  <c r="T25" i="5"/>
  <c r="T83" i="5"/>
  <c r="T121" i="5"/>
  <c r="T26" i="5"/>
  <c r="T47" i="5"/>
  <c r="T27" i="5"/>
  <c r="T41" i="5"/>
  <c r="T94" i="5"/>
  <c r="T117" i="5"/>
  <c r="T52" i="5"/>
  <c r="T59" i="5"/>
  <c r="T74" i="5"/>
  <c r="T98" i="5"/>
  <c r="T91" i="5"/>
  <c r="T139" i="5"/>
  <c r="T39" i="5"/>
  <c r="T35" i="5"/>
  <c r="T95" i="5"/>
  <c r="T155" i="5"/>
  <c r="T151" i="5"/>
  <c r="T187" i="5"/>
  <c r="T154" i="5"/>
  <c r="T201" i="5"/>
  <c r="T211" i="5"/>
  <c r="T159" i="5"/>
  <c r="T243" i="5"/>
  <c r="T225" i="5"/>
  <c r="T249" i="5"/>
  <c r="T274" i="5"/>
  <c r="T318" i="5"/>
  <c r="T250" i="5"/>
  <c r="T292" i="5"/>
  <c r="T259" i="5"/>
  <c r="T290" i="5"/>
  <c r="T310" i="5"/>
  <c r="T354" i="5"/>
  <c r="T362" i="5"/>
  <c r="T393" i="5"/>
  <c r="T317" i="5"/>
  <c r="T385" i="5"/>
  <c r="T162" i="5"/>
  <c r="T340" i="5"/>
  <c r="T379" i="5"/>
  <c r="T451" i="5"/>
  <c r="T494" i="5"/>
  <c r="T525" i="5"/>
  <c r="T431" i="5"/>
  <c r="T517" i="5"/>
  <c r="T374" i="5"/>
  <c r="T425" i="5"/>
  <c r="T461" i="5"/>
  <c r="T487" i="5"/>
  <c r="T531" i="5"/>
  <c r="T346" i="5"/>
  <c r="T22" i="5"/>
  <c r="T63" i="5"/>
  <c r="T107" i="5"/>
  <c r="T106" i="5"/>
  <c r="T156" i="5"/>
  <c r="T125" i="5"/>
  <c r="T118" i="5"/>
  <c r="T161" i="5"/>
  <c r="T204" i="5"/>
  <c r="T215" i="5"/>
  <c r="T166" i="5"/>
  <c r="T174" i="5"/>
  <c r="T230" i="5"/>
  <c r="T252" i="5"/>
  <c r="T279" i="5"/>
  <c r="T322" i="5"/>
  <c r="T251" i="5"/>
  <c r="T299" i="5"/>
  <c r="T331" i="5"/>
  <c r="T261" i="5"/>
  <c r="T293" i="5"/>
  <c r="T356" i="5"/>
  <c r="T315" i="5"/>
  <c r="T364" i="5"/>
  <c r="T429" i="5"/>
  <c r="T341" i="5"/>
  <c r="T386" i="5"/>
  <c r="T195" i="5"/>
  <c r="T348" i="5"/>
  <c r="T382" i="5"/>
  <c r="T411" i="5"/>
  <c r="T428" i="5"/>
  <c r="T458" i="5"/>
  <c r="T499" i="5"/>
  <c r="T532" i="5"/>
  <c r="T438" i="5"/>
  <c r="T468" i="5"/>
  <c r="T498" i="5"/>
  <c r="T519" i="5"/>
  <c r="T377" i="5"/>
  <c r="T434" i="5"/>
  <c r="T463" i="5"/>
  <c r="T489" i="5"/>
  <c r="T540" i="5"/>
  <c r="T544" i="5"/>
  <c r="T514" i="5"/>
  <c r="T555" i="5"/>
  <c r="T549" i="5"/>
  <c r="T479" i="5"/>
  <c r="T36" i="5"/>
  <c r="T76" i="5"/>
  <c r="T85" i="5"/>
  <c r="T109" i="5"/>
  <c r="T114" i="5"/>
  <c r="T134" i="5"/>
  <c r="T133" i="5"/>
  <c r="T172" i="5"/>
  <c r="T206" i="5"/>
  <c r="T223" i="5"/>
  <c r="T199" i="5"/>
  <c r="T180" i="5"/>
  <c r="T233" i="5"/>
  <c r="T254" i="5"/>
  <c r="T282" i="5"/>
  <c r="T327" i="5"/>
  <c r="T258" i="5"/>
  <c r="T302" i="5"/>
  <c r="T321" i="5"/>
  <c r="T262" i="5"/>
  <c r="T329" i="5"/>
  <c r="T366" i="5"/>
  <c r="T403" i="5"/>
  <c r="T433" i="5"/>
  <c r="T369" i="5"/>
  <c r="T389" i="5"/>
  <c r="T228" i="5"/>
  <c r="T353" i="5"/>
  <c r="T383" i="5"/>
  <c r="T414" i="5"/>
  <c r="T430" i="5"/>
  <c r="T460" i="5"/>
  <c r="T505" i="5"/>
  <c r="T533" i="5"/>
  <c r="T442" i="5"/>
  <c r="T471" i="5"/>
  <c r="O10" i="5"/>
  <c r="AJ10" i="5" s="1"/>
  <c r="T53" i="5"/>
  <c r="T57" i="5"/>
  <c r="T101" i="5"/>
  <c r="T115" i="5"/>
  <c r="T149" i="5"/>
  <c r="T140" i="5"/>
  <c r="T183" i="5"/>
  <c r="T188" i="5"/>
  <c r="T212" i="5"/>
  <c r="T191" i="5"/>
  <c r="T235" i="5"/>
  <c r="T260" i="5"/>
  <c r="T289" i="5"/>
  <c r="T332" i="5"/>
  <c r="T266" i="5"/>
  <c r="T311" i="5"/>
  <c r="T226" i="5"/>
  <c r="T268" i="5"/>
  <c r="T298" i="5"/>
  <c r="T326" i="5"/>
  <c r="T267" i="5"/>
  <c r="T337" i="5"/>
  <c r="T367" i="5"/>
  <c r="T405" i="5"/>
  <c r="T436" i="5"/>
  <c r="T371" i="5"/>
  <c r="T391" i="5"/>
  <c r="T355" i="5"/>
  <c r="T388" i="5"/>
  <c r="T417" i="5"/>
  <c r="T466" i="5"/>
  <c r="T507" i="5"/>
  <c r="T537" i="5"/>
  <c r="T453" i="5"/>
  <c r="T474" i="5"/>
  <c r="T501" i="5"/>
  <c r="T522" i="5"/>
  <c r="T398" i="5"/>
  <c r="T439" i="5"/>
  <c r="T470" i="5"/>
  <c r="T493" i="5"/>
  <c r="T557" i="5"/>
  <c r="T465" i="5"/>
  <c r="T545" i="5"/>
  <c r="T406" i="5"/>
  <c r="T524" i="5"/>
  <c r="T559" i="5"/>
  <c r="T502" i="5"/>
  <c r="T61" i="5"/>
  <c r="T37" i="5"/>
  <c r="T123" i="5"/>
  <c r="T119" i="5"/>
  <c r="T171" i="5"/>
  <c r="T169" i="5"/>
  <c r="T185" i="5"/>
  <c r="T196" i="5"/>
  <c r="T227" i="5"/>
  <c r="T222" i="5"/>
  <c r="T236" i="5"/>
  <c r="T263" i="5"/>
  <c r="T295" i="5"/>
  <c r="T334" i="5"/>
  <c r="T276" i="5"/>
  <c r="T313" i="5"/>
  <c r="T231" i="5"/>
  <c r="T269" i="5"/>
  <c r="T300" i="5"/>
  <c r="T330" i="5"/>
  <c r="T342" i="5"/>
  <c r="T378" i="5"/>
  <c r="T410" i="5"/>
  <c r="T437" i="5"/>
  <c r="T372" i="5"/>
  <c r="T396" i="5"/>
  <c r="T275" i="5"/>
  <c r="T361" i="5"/>
  <c r="T287" i="5"/>
  <c r="T441" i="5"/>
  <c r="T508" i="5"/>
  <c r="T339" i="5"/>
  <c r="T454" i="5"/>
  <c r="T475" i="5"/>
  <c r="T503" i="5"/>
  <c r="T333" i="5"/>
  <c r="T401" i="5"/>
  <c r="T446" i="5"/>
  <c r="T473" i="5"/>
  <c r="T495" i="5"/>
  <c r="T560" i="5"/>
  <c r="T484" i="5"/>
  <c r="T412" i="5"/>
  <c r="T527" i="5"/>
  <c r="T449" i="5"/>
  <c r="T397" i="5"/>
  <c r="T509" i="5"/>
  <c r="T30" i="5"/>
  <c r="T92" i="5"/>
  <c r="T93" i="5"/>
  <c r="T131" i="5"/>
  <c r="T130" i="5"/>
  <c r="T173" i="5"/>
  <c r="T170" i="5"/>
  <c r="T186" i="5"/>
  <c r="T203" i="5"/>
  <c r="T239" i="5"/>
  <c r="T229" i="5"/>
  <c r="T207" i="5"/>
  <c r="T265" i="5"/>
  <c r="T301" i="5"/>
  <c r="T135" i="5"/>
  <c r="T284" i="5"/>
  <c r="T316" i="5"/>
  <c r="T246" i="5"/>
  <c r="T271" i="5"/>
  <c r="T303" i="5"/>
  <c r="T335" i="5"/>
  <c r="T283" i="5"/>
  <c r="T345" i="5"/>
  <c r="T381" i="5"/>
  <c r="T415" i="5"/>
  <c r="T214" i="5"/>
  <c r="T375" i="5"/>
  <c r="T407" i="5"/>
  <c r="T294" i="5"/>
  <c r="T363" i="5"/>
  <c r="T399" i="5"/>
  <c r="T324" i="5"/>
  <c r="T443" i="5"/>
  <c r="T478" i="5"/>
  <c r="T513" i="5"/>
  <c r="T347" i="5"/>
  <c r="T358" i="5"/>
  <c r="T413" i="5"/>
  <c r="T452" i="5"/>
  <c r="T477" i="5"/>
  <c r="T506" i="5"/>
  <c r="T529" i="5"/>
  <c r="T548" i="5"/>
  <c r="T426" i="5"/>
  <c r="T543" i="5"/>
  <c r="T528" i="5"/>
  <c r="T423" i="5"/>
  <c r="T520" i="5"/>
  <c r="T28" i="5"/>
  <c r="T50" i="5"/>
  <c r="T82" i="5"/>
  <c r="T126" i="5"/>
  <c r="T137" i="5"/>
  <c r="T138" i="5"/>
  <c r="T177" i="5"/>
  <c r="T79" i="5"/>
  <c r="T190" i="5"/>
  <c r="T205" i="5"/>
  <c r="T245" i="5"/>
  <c r="T210" i="5"/>
  <c r="T241" i="5"/>
  <c r="T270" i="5"/>
  <c r="T306" i="5"/>
  <c r="T237" i="5"/>
  <c r="T323" i="5"/>
  <c r="T253" i="5"/>
  <c r="T281" i="5"/>
  <c r="T305" i="5"/>
  <c r="T343" i="5"/>
  <c r="T286" i="5"/>
  <c r="T350" i="5"/>
  <c r="T387" i="5"/>
  <c r="T420" i="5"/>
  <c r="T247" i="5"/>
  <c r="T409" i="5"/>
  <c r="T319" i="5"/>
  <c r="T365" i="5"/>
  <c r="T402" i="5"/>
  <c r="T357" i="5"/>
  <c r="T447" i="5"/>
  <c r="T481" i="5"/>
  <c r="T515" i="5"/>
  <c r="T351" i="5"/>
  <c r="T459" i="5"/>
  <c r="T483" i="5"/>
  <c r="T511" i="5"/>
  <c r="T455" i="5"/>
  <c r="T482" i="5"/>
  <c r="T510" i="5"/>
  <c r="T338" i="5"/>
  <c r="T550" i="5"/>
  <c r="T450" i="5"/>
  <c r="T551" i="5"/>
  <c r="T530" i="5"/>
  <c r="T445" i="5"/>
  <c r="T523" i="5"/>
  <c r="T44" i="5"/>
  <c r="T194" i="5"/>
  <c r="T244" i="5"/>
  <c r="T359" i="5"/>
  <c r="T404" i="5"/>
  <c r="T500" i="5"/>
  <c r="T467" i="5"/>
  <c r="T539" i="5"/>
  <c r="T552" i="5"/>
  <c r="T67" i="5"/>
  <c r="T291" i="5"/>
  <c r="T390" i="5"/>
  <c r="T370" i="5"/>
  <c r="T486" i="5"/>
  <c r="T542" i="5"/>
  <c r="T553" i="5"/>
  <c r="T19" i="5"/>
  <c r="T69" i="5"/>
  <c r="T150" i="5"/>
  <c r="T325" i="5"/>
  <c r="T421" i="5"/>
  <c r="T521" i="5"/>
  <c r="T492" i="5"/>
  <c r="T419" i="5"/>
  <c r="T141" i="5"/>
  <c r="T242" i="5"/>
  <c r="T297" i="5"/>
  <c r="T491" i="5"/>
  <c r="T541" i="5"/>
  <c r="T535" i="5"/>
  <c r="T142" i="5"/>
  <c r="T221" i="5"/>
  <c r="T285" i="5"/>
  <c r="T380" i="5"/>
  <c r="T516" i="5"/>
  <c r="T395" i="5"/>
  <c r="T556" i="5"/>
  <c r="T394" i="5"/>
  <c r="T547" i="5"/>
  <c r="T146" i="5"/>
  <c r="T307" i="5"/>
  <c r="T418" i="5"/>
  <c r="T427" i="5"/>
  <c r="T422" i="5"/>
  <c r="T490" i="5"/>
  <c r="T558" i="5"/>
  <c r="T181" i="5"/>
  <c r="T273" i="5"/>
  <c r="T349" i="5"/>
  <c r="T462" i="5"/>
  <c r="T435" i="5"/>
  <c r="T444" i="5"/>
  <c r="T497" i="5"/>
  <c r="T469" i="5"/>
  <c r="T457" i="5"/>
  <c r="T536" i="5"/>
  <c r="T518" i="5"/>
  <c r="T100" i="5"/>
  <c r="T476" i="5"/>
  <c r="T314" i="5"/>
  <c r="T309" i="5"/>
  <c r="T373" i="5"/>
  <c r="T485" i="5"/>
  <c r="AM35" i="5"/>
  <c r="V40" i="4"/>
  <c r="AS40" i="4"/>
  <c r="AM99" i="5"/>
  <c r="U40" i="4"/>
  <c r="AH554" i="5"/>
  <c r="AI554" i="5"/>
  <c r="AM448" i="5"/>
  <c r="T464" i="5"/>
  <c r="T480" i="5"/>
  <c r="T328" i="5"/>
  <c r="T344" i="5"/>
  <c r="T376" i="5"/>
  <c r="T392" i="5"/>
  <c r="AI408" i="5"/>
  <c r="AH408" i="5"/>
  <c r="T248" i="5"/>
  <c r="T264" i="5"/>
  <c r="AM280" i="5"/>
  <c r="AI120" i="5"/>
  <c r="AH120" i="5"/>
  <c r="T160" i="5"/>
  <c r="T24" i="5"/>
  <c r="AN33" i="5"/>
  <c r="AO33" i="5"/>
  <c r="U176" i="5"/>
  <c r="V176" i="5"/>
  <c r="AH40" i="5"/>
  <c r="AI40" i="5"/>
  <c r="AH546" i="5"/>
  <c r="AO129" i="5"/>
  <c r="AN129" i="5"/>
  <c r="AM387" i="5"/>
  <c r="AM123" i="5"/>
  <c r="AM107" i="5"/>
  <c r="AM300" i="5"/>
  <c r="AI28" i="5"/>
  <c r="AH28" i="5"/>
  <c r="AM177" i="5"/>
  <c r="AM57" i="5"/>
  <c r="AS66" i="4"/>
  <c r="AS23" i="4"/>
  <c r="U23" i="4"/>
  <c r="V23" i="4"/>
  <c r="AM464" i="5"/>
  <c r="AM480" i="5"/>
  <c r="T496" i="5"/>
  <c r="T512" i="5"/>
  <c r="AI344" i="5"/>
  <c r="AH344" i="5"/>
  <c r="T360" i="5"/>
  <c r="AI376" i="5"/>
  <c r="AH376" i="5"/>
  <c r="AM408" i="5"/>
  <c r="T224" i="5"/>
  <c r="AM248" i="5"/>
  <c r="AM120" i="5"/>
  <c r="AM184" i="5"/>
  <c r="T208" i="5"/>
  <c r="T88" i="5"/>
  <c r="AN164" i="5"/>
  <c r="AO164" i="5"/>
  <c r="AS93" i="4"/>
  <c r="V93" i="4"/>
  <c r="U93" i="4"/>
  <c r="AJ451" i="5"/>
  <c r="AL451" i="5" s="1"/>
  <c r="AJ465" i="5"/>
  <c r="AK465" i="5" s="1"/>
  <c r="AN475" i="5"/>
  <c r="AS91" i="4"/>
  <c r="AI547" i="5"/>
  <c r="AH547" i="5"/>
  <c r="AO497" i="5"/>
  <c r="AN497" i="5"/>
  <c r="AO137" i="5"/>
  <c r="AN137" i="5"/>
  <c r="AM308" i="5"/>
  <c r="AH36" i="5"/>
  <c r="AI36" i="5"/>
  <c r="AM121" i="5"/>
  <c r="U137" i="4"/>
  <c r="V137" i="4"/>
  <c r="AS127" i="4"/>
  <c r="AS45" i="4"/>
  <c r="V45" i="4"/>
  <c r="AS22" i="4"/>
  <c r="T526" i="5"/>
  <c r="AM424" i="5"/>
  <c r="T440" i="5"/>
  <c r="AI480" i="5"/>
  <c r="AH480" i="5"/>
  <c r="AM344" i="5"/>
  <c r="AM376" i="5"/>
  <c r="T304" i="5"/>
  <c r="AM144" i="5"/>
  <c r="AI208" i="5"/>
  <c r="AH208" i="5"/>
  <c r="T32" i="5"/>
  <c r="T112" i="5"/>
  <c r="AS128" i="4"/>
  <c r="AN488" i="5"/>
  <c r="AO488" i="5"/>
  <c r="AN527" i="5"/>
  <c r="AO527" i="5"/>
  <c r="AI513" i="5"/>
  <c r="AH513" i="5"/>
  <c r="AO233" i="5"/>
  <c r="AN233" i="5"/>
  <c r="AN145" i="5"/>
  <c r="AO145" i="5"/>
  <c r="AO139" i="5"/>
  <c r="AN139" i="5"/>
  <c r="AI319" i="5"/>
  <c r="AH319" i="5"/>
  <c r="AH44" i="5"/>
  <c r="AI44" i="5"/>
  <c r="AN343" i="5"/>
  <c r="AO343" i="5"/>
  <c r="AN89" i="5"/>
  <c r="AO89" i="5"/>
  <c r="AS150" i="4"/>
  <c r="V150" i="4"/>
  <c r="U150" i="4"/>
  <c r="AS30" i="4"/>
  <c r="U135" i="4"/>
  <c r="V71" i="4"/>
  <c r="AI538" i="5"/>
  <c r="AH538" i="5"/>
  <c r="T424" i="5"/>
  <c r="AI440" i="5"/>
  <c r="AH440" i="5"/>
  <c r="T456" i="5"/>
  <c r="T336" i="5"/>
  <c r="T400" i="5"/>
  <c r="T272" i="5"/>
  <c r="AH288" i="5"/>
  <c r="AI288" i="5"/>
  <c r="AM208" i="5"/>
  <c r="T56" i="5"/>
  <c r="AN39" i="5"/>
  <c r="AO472" i="5"/>
  <c r="AN472" i="5"/>
  <c r="AM535" i="5"/>
  <c r="AM337" i="5"/>
  <c r="AM257" i="5"/>
  <c r="AM153" i="5"/>
  <c r="AM227" i="5"/>
  <c r="AM203" i="5"/>
  <c r="AM236" i="5"/>
  <c r="AM148" i="5"/>
  <c r="AM60" i="5"/>
  <c r="AH375" i="5"/>
  <c r="AI375" i="5"/>
  <c r="U47" i="4"/>
  <c r="AS86" i="4"/>
  <c r="V19" i="4"/>
  <c r="AS19" i="4"/>
  <c r="U19" i="4"/>
  <c r="AS148" i="4"/>
  <c r="U126" i="4"/>
  <c r="T538" i="5"/>
  <c r="AI424" i="5"/>
  <c r="AH424" i="5"/>
  <c r="AM440" i="5"/>
  <c r="AH456" i="5"/>
  <c r="AI456" i="5"/>
  <c r="T472" i="5"/>
  <c r="T504" i="5"/>
  <c r="AH320" i="5"/>
  <c r="AI320" i="5"/>
  <c r="AM336" i="5"/>
  <c r="T352" i="5"/>
  <c r="T368" i="5"/>
  <c r="AI400" i="5"/>
  <c r="AH400" i="5"/>
  <c r="T416" i="5"/>
  <c r="T232" i="5"/>
  <c r="T288" i="5"/>
  <c r="T192" i="5"/>
  <c r="T80" i="5"/>
  <c r="S96" i="5"/>
  <c r="R96" i="5"/>
  <c r="AN352" i="5"/>
  <c r="AI425" i="5"/>
  <c r="AH425" i="5"/>
  <c r="AO265" i="5"/>
  <c r="AN265" i="5"/>
  <c r="AN25" i="5"/>
  <c r="AN27" i="5"/>
  <c r="AO27" i="5"/>
  <c r="AN260" i="5"/>
  <c r="AO260" i="5"/>
  <c r="AN156" i="5"/>
  <c r="AO156" i="5"/>
  <c r="AN92" i="5"/>
  <c r="AO92" i="5"/>
  <c r="AS68" i="4"/>
  <c r="AS103" i="4"/>
  <c r="U103" i="4"/>
  <c r="V103" i="4"/>
  <c r="AO163" i="5"/>
  <c r="AN163" i="5"/>
  <c r="AS69" i="4"/>
  <c r="V69" i="4"/>
  <c r="AM36" i="5"/>
  <c r="AM67" i="5"/>
  <c r="AM75" i="5"/>
  <c r="AM74" i="5"/>
  <c r="AM100" i="5"/>
  <c r="AM124" i="5"/>
  <c r="AM166" i="5"/>
  <c r="AM201" i="5"/>
  <c r="AM196" i="5"/>
  <c r="AM215" i="5"/>
  <c r="AM291" i="5"/>
  <c r="AM317" i="5"/>
  <c r="AM295" i="5"/>
  <c r="AM357" i="5"/>
  <c r="AM411" i="5"/>
  <c r="AM22" i="5"/>
  <c r="AM21" i="5"/>
  <c r="AM102" i="5"/>
  <c r="AM117" i="5"/>
  <c r="AM170" i="5"/>
  <c r="AM165" i="5"/>
  <c r="AM214" i="5"/>
  <c r="AM237" i="5"/>
  <c r="AM303" i="5"/>
  <c r="AM321" i="5"/>
  <c r="AM309" i="5"/>
  <c r="AM218" i="5"/>
  <c r="AM414" i="5"/>
  <c r="AM375" i="5"/>
  <c r="AM461" i="5"/>
  <c r="AM381" i="5"/>
  <c r="AM545" i="5"/>
  <c r="AM553" i="5"/>
  <c r="AM541" i="5"/>
  <c r="AM37" i="5"/>
  <c r="AM52" i="5"/>
  <c r="AM76" i="5"/>
  <c r="AM86" i="5"/>
  <c r="AM101" i="5"/>
  <c r="AM180" i="5"/>
  <c r="AM190" i="5"/>
  <c r="AM217" i="5"/>
  <c r="AM191" i="5"/>
  <c r="AM323" i="5"/>
  <c r="AM188" i="5"/>
  <c r="AM310" i="5"/>
  <c r="AM316" i="5"/>
  <c r="AM428" i="5"/>
  <c r="AM377" i="5"/>
  <c r="AM333" i="5"/>
  <c r="AM515" i="5"/>
  <c r="AM468" i="5"/>
  <c r="AM405" i="5"/>
  <c r="AM489" i="5"/>
  <c r="AM229" i="5"/>
  <c r="AM558" i="5"/>
  <c r="AM542" i="5"/>
  <c r="AM30" i="5"/>
  <c r="AM63" i="5"/>
  <c r="AM77" i="5"/>
  <c r="AM94" i="5"/>
  <c r="AM126" i="5"/>
  <c r="AM134" i="5"/>
  <c r="AM213" i="5"/>
  <c r="AM226" i="5"/>
  <c r="AM327" i="5"/>
  <c r="AM241" i="5"/>
  <c r="AM315" i="5"/>
  <c r="AM319" i="5"/>
  <c r="AM386" i="5"/>
  <c r="AM531" i="5"/>
  <c r="AM470" i="5"/>
  <c r="AM441" i="5"/>
  <c r="AM494" i="5"/>
  <c r="AM297" i="5"/>
  <c r="AM559" i="5"/>
  <c r="AM44" i="5"/>
  <c r="AM55" i="5"/>
  <c r="AM84" i="5"/>
  <c r="AM138" i="5"/>
  <c r="AM143" i="5"/>
  <c r="AM242" i="5"/>
  <c r="AM246" i="5"/>
  <c r="AM247" i="5"/>
  <c r="AM329" i="5"/>
  <c r="AM250" i="5"/>
  <c r="AM399" i="5"/>
  <c r="AM342" i="5"/>
  <c r="AM401" i="5"/>
  <c r="AM382" i="5"/>
  <c r="AM443" i="5"/>
  <c r="AM502" i="5"/>
  <c r="AM425" i="5"/>
  <c r="AM524" i="5"/>
  <c r="AM46" i="5"/>
  <c r="AM54" i="5"/>
  <c r="AM146" i="5"/>
  <c r="AM158" i="5"/>
  <c r="AM230" i="5"/>
  <c r="AM244" i="5"/>
  <c r="AM266" i="5"/>
  <c r="AM269" i="5"/>
  <c r="AM255" i="5"/>
  <c r="AM330" i="5"/>
  <c r="AM373" i="5"/>
  <c r="AM277" i="5"/>
  <c r="AM402" i="5"/>
  <c r="AM364" i="5"/>
  <c r="AM452" i="5"/>
  <c r="AM391" i="5"/>
  <c r="AM507" i="5"/>
  <c r="AM453" i="5"/>
  <c r="AM503" i="5"/>
  <c r="AM513" i="5"/>
  <c r="AM544" i="5"/>
  <c r="AM483" i="5"/>
  <c r="AM90" i="5"/>
  <c r="AM154" i="5"/>
  <c r="AM181" i="5"/>
  <c r="AM183" i="5"/>
  <c r="AM271" i="5"/>
  <c r="AM268" i="5"/>
  <c r="AM339" i="5"/>
  <c r="AM345" i="5"/>
  <c r="AM417" i="5"/>
  <c r="AM366" i="5"/>
  <c r="AM460" i="5"/>
  <c r="AM403" i="5"/>
  <c r="AM511" i="5"/>
  <c r="AM466" i="5"/>
  <c r="AM509" i="5"/>
  <c r="AM517" i="5"/>
  <c r="AM407" i="5"/>
  <c r="AM19" i="5"/>
  <c r="AM151" i="5"/>
  <c r="AM275" i="5"/>
  <c r="AM398" i="5"/>
  <c r="AM479" i="5"/>
  <c r="AM119" i="5"/>
  <c r="AM351" i="5"/>
  <c r="AM471" i="5"/>
  <c r="AM522" i="5"/>
  <c r="AM150" i="5"/>
  <c r="AM393" i="5"/>
  <c r="AM478" i="5"/>
  <c r="AM523" i="5"/>
  <c r="AM187" i="5"/>
  <c r="AM350" i="5"/>
  <c r="AM429" i="5"/>
  <c r="AM529" i="5"/>
  <c r="AM34" i="5"/>
  <c r="AM182" i="5"/>
  <c r="AM361" i="5"/>
  <c r="AM439" i="5"/>
  <c r="AM548" i="5"/>
  <c r="AM202" i="5"/>
  <c r="AM245" i="5"/>
  <c r="AM516" i="5"/>
  <c r="AM78" i="5"/>
  <c r="AM279" i="5"/>
  <c r="AM254" i="5"/>
  <c r="AM353" i="5"/>
  <c r="AM501" i="5"/>
  <c r="AM95" i="5"/>
  <c r="AM290" i="5"/>
  <c r="AM378" i="5"/>
  <c r="AM469" i="5"/>
  <c r="AS134" i="4"/>
  <c r="V68" i="4"/>
  <c r="AM456" i="5"/>
  <c r="AH472" i="5"/>
  <c r="AI472" i="5"/>
  <c r="T488" i="5"/>
  <c r="AI504" i="5"/>
  <c r="AH504" i="5"/>
  <c r="T320" i="5"/>
  <c r="AI352" i="5"/>
  <c r="AH352" i="5"/>
  <c r="AM368" i="5"/>
  <c r="T384" i="5"/>
  <c r="AM400" i="5"/>
  <c r="AI416" i="5"/>
  <c r="AH416" i="5"/>
  <c r="T256" i="5"/>
  <c r="AM288" i="5"/>
  <c r="T312" i="5"/>
  <c r="T152" i="5"/>
  <c r="AM216" i="5"/>
  <c r="AH80" i="5"/>
  <c r="AI80" i="5"/>
  <c r="T8" i="5"/>
  <c r="B206" i="2"/>
  <c r="B255" i="2"/>
  <c r="AL64" i="5"/>
  <c r="AK64" i="5"/>
  <c r="AO251" i="5"/>
  <c r="AN251" i="5"/>
  <c r="U51" i="5"/>
  <c r="V51" i="5"/>
  <c r="AN155" i="5"/>
  <c r="AO155" i="5"/>
  <c r="AI217" i="5"/>
  <c r="AH217" i="5"/>
  <c r="AL307" i="5"/>
  <c r="AK307" i="5"/>
  <c r="AN409" i="5"/>
  <c r="AO409" i="5"/>
  <c r="AI299" i="5"/>
  <c r="AH299" i="5"/>
  <c r="AJ195" i="5"/>
  <c r="AJ519" i="5"/>
  <c r="AN113" i="5"/>
  <c r="AO113" i="5"/>
  <c r="AO347" i="5"/>
  <c r="AN347" i="5"/>
  <c r="AI305" i="5"/>
  <c r="AH305" i="5"/>
  <c r="AJ171" i="5"/>
  <c r="AJ457" i="5"/>
  <c r="AJ131" i="5"/>
  <c r="AJ59" i="5"/>
  <c r="AJ115" i="5"/>
  <c r="AN436" i="5"/>
  <c r="AO436" i="5"/>
  <c r="AI461" i="5"/>
  <c r="AH461" i="5"/>
  <c r="AI294" i="5"/>
  <c r="AH294" i="5"/>
  <c r="AH117" i="5"/>
  <c r="AI117" i="5"/>
  <c r="AI162" i="5"/>
  <c r="AH162" i="5"/>
  <c r="AH37" i="5"/>
  <c r="AI37" i="5"/>
  <c r="AI530" i="5"/>
  <c r="AH530" i="5"/>
  <c r="AI421" i="5"/>
  <c r="AH421" i="5"/>
  <c r="AI221" i="5"/>
  <c r="AH221" i="5"/>
  <c r="AH34" i="5"/>
  <c r="AI34" i="5"/>
  <c r="AI458" i="5"/>
  <c r="AH458" i="5"/>
  <c r="AH226" i="5"/>
  <c r="AI226" i="5"/>
  <c r="AI234" i="5"/>
  <c r="AH234" i="5"/>
  <c r="AH126" i="5"/>
  <c r="AI126" i="5"/>
  <c r="AH506" i="5"/>
  <c r="AI506" i="5"/>
  <c r="AI372" i="5"/>
  <c r="AH372" i="5"/>
  <c r="AI285" i="5"/>
  <c r="AH285" i="5"/>
  <c r="AH140" i="5"/>
  <c r="AI140" i="5"/>
  <c r="AI449" i="5"/>
  <c r="AH449" i="5"/>
  <c r="AI474" i="5"/>
  <c r="AH474" i="5"/>
  <c r="AI321" i="5"/>
  <c r="AH321" i="5"/>
  <c r="AI316" i="5"/>
  <c r="AH316" i="5"/>
  <c r="AI164" i="5"/>
  <c r="AH164" i="5"/>
  <c r="AI89" i="5"/>
  <c r="AH89" i="5"/>
  <c r="AN506" i="5"/>
  <c r="AO506" i="5"/>
  <c r="AN262" i="5"/>
  <c r="AO262" i="5"/>
  <c r="AN109" i="5"/>
  <c r="AO109" i="5"/>
  <c r="AN536" i="5"/>
  <c r="AO536" i="5"/>
  <c r="AN349" i="5"/>
  <c r="AO349" i="5"/>
  <c r="AN261" i="5"/>
  <c r="AO261" i="5"/>
  <c r="AN372" i="5"/>
  <c r="AO372" i="5"/>
  <c r="AO404" i="5"/>
  <c r="AN404" i="5"/>
  <c r="AO162" i="5"/>
  <c r="AN162" i="5"/>
  <c r="AM12" i="5"/>
  <c r="Q12" i="5"/>
  <c r="T12" i="5"/>
  <c r="AJ12" i="5"/>
  <c r="AG12" i="5"/>
  <c r="W12" i="5"/>
  <c r="AN477" i="5"/>
  <c r="AO477" i="5"/>
  <c r="AO314" i="5"/>
  <c r="AN314" i="5"/>
  <c r="AN125" i="5"/>
  <c r="AO125" i="5"/>
  <c r="AN505" i="5"/>
  <c r="AO505" i="5"/>
  <c r="AO249" i="5"/>
  <c r="AN249" i="5"/>
  <c r="AN221" i="5"/>
  <c r="AN70" i="5"/>
  <c r="AO70" i="5"/>
  <c r="AO136" i="5"/>
  <c r="AN136" i="5"/>
  <c r="U152" i="4"/>
  <c r="U11" i="4"/>
  <c r="V85" i="4"/>
  <c r="U85" i="4"/>
  <c r="U92" i="4"/>
  <c r="V92" i="4"/>
  <c r="AS92" i="4"/>
  <c r="V81" i="4"/>
  <c r="AS81" i="4"/>
  <c r="U81" i="4"/>
  <c r="AJ533" i="5"/>
  <c r="AH439" i="5"/>
  <c r="AI439" i="5"/>
  <c r="AI463" i="5"/>
  <c r="AH463" i="5"/>
  <c r="AJ351" i="5"/>
  <c r="AJ383" i="5"/>
  <c r="AO223" i="5"/>
  <c r="AN223" i="5"/>
  <c r="AJ263" i="5"/>
  <c r="AN311" i="5"/>
  <c r="AO135" i="5"/>
  <c r="AN135" i="5"/>
  <c r="AJ159" i="5"/>
  <c r="AJ191" i="5"/>
  <c r="AN23" i="5"/>
  <c r="AO23" i="5"/>
  <c r="AI55" i="5"/>
  <c r="AH55" i="5"/>
  <c r="AJ95" i="5"/>
  <c r="U129" i="5"/>
  <c r="U20" i="5"/>
  <c r="V20" i="5"/>
  <c r="U164" i="5"/>
  <c r="V164" i="5"/>
  <c r="U113" i="5"/>
  <c r="V113" i="5"/>
  <c r="B51" i="2"/>
  <c r="B32" i="2" s="1"/>
  <c r="AO538" i="5"/>
  <c r="AN538" i="5"/>
  <c r="AJ448" i="5"/>
  <c r="AJ504" i="5"/>
  <c r="AO328" i="5"/>
  <c r="AN328" i="5"/>
  <c r="AJ376" i="5"/>
  <c r="AO224" i="5"/>
  <c r="AN224" i="5"/>
  <c r="AH256" i="5"/>
  <c r="AI256" i="5"/>
  <c r="AH296" i="5"/>
  <c r="AI296" i="5"/>
  <c r="AJ120" i="5"/>
  <c r="AO152" i="5"/>
  <c r="AN152" i="5"/>
  <c r="AJ176" i="5"/>
  <c r="AI216" i="5"/>
  <c r="AH216" i="5"/>
  <c r="U40" i="5"/>
  <c r="AJ112" i="5"/>
  <c r="AJ369" i="5"/>
  <c r="AJ281" i="5"/>
  <c r="AI473" i="5"/>
  <c r="AH473" i="5"/>
  <c r="AH363" i="5"/>
  <c r="AI363" i="5"/>
  <c r="AH99" i="5"/>
  <c r="AI99" i="5"/>
  <c r="AN185" i="5"/>
  <c r="AO185" i="5"/>
  <c r="AH259" i="5"/>
  <c r="AI259" i="5"/>
  <c r="AK379" i="5"/>
  <c r="AL379" i="5"/>
  <c r="AO435" i="5"/>
  <c r="AN435" i="5"/>
  <c r="AI451" i="5"/>
  <c r="AH451" i="5"/>
  <c r="AK169" i="5"/>
  <c r="AL169" i="5"/>
  <c r="AK539" i="5"/>
  <c r="AL539" i="5"/>
  <c r="AO211" i="5"/>
  <c r="AN211" i="5"/>
  <c r="AI81" i="5"/>
  <c r="AH81" i="5"/>
  <c r="AH499" i="5"/>
  <c r="AI499" i="5"/>
  <c r="AJ203" i="5"/>
  <c r="AJ395" i="5"/>
  <c r="AJ155" i="5"/>
  <c r="AN476" i="5"/>
  <c r="AO476" i="5"/>
  <c r="AI389" i="5"/>
  <c r="AH389" i="5"/>
  <c r="AI466" i="5"/>
  <c r="AH466" i="5"/>
  <c r="AH278" i="5"/>
  <c r="AI278" i="5"/>
  <c r="AI149" i="5"/>
  <c r="AH149" i="5"/>
  <c r="AH30" i="5"/>
  <c r="AI30" i="5"/>
  <c r="AI494" i="5"/>
  <c r="AH494" i="5"/>
  <c r="AI397" i="5"/>
  <c r="AH397" i="5"/>
  <c r="AH190" i="5"/>
  <c r="AI190" i="5"/>
  <c r="AI29" i="5"/>
  <c r="AH29" i="5"/>
  <c r="AI422" i="5"/>
  <c r="AH422" i="5"/>
  <c r="AI420" i="5"/>
  <c r="AH420" i="5"/>
  <c r="AH154" i="5"/>
  <c r="AI154" i="5"/>
  <c r="AH77" i="5"/>
  <c r="AI77" i="5"/>
  <c r="AI477" i="5"/>
  <c r="AH477" i="5"/>
  <c r="AI326" i="5"/>
  <c r="AH326" i="5"/>
  <c r="AH244" i="5"/>
  <c r="AI244" i="5"/>
  <c r="AH158" i="5"/>
  <c r="AI158" i="5"/>
  <c r="AI523" i="5"/>
  <c r="AH523" i="5"/>
  <c r="AH516" i="5"/>
  <c r="AI516" i="5"/>
  <c r="AI436" i="5"/>
  <c r="AH436" i="5"/>
  <c r="AH286" i="5"/>
  <c r="AI286" i="5"/>
  <c r="AI218" i="5"/>
  <c r="AH218" i="5"/>
  <c r="AH121" i="5"/>
  <c r="AI121" i="5"/>
  <c r="AN551" i="5"/>
  <c r="AO551" i="5"/>
  <c r="AN325" i="5"/>
  <c r="AO325" i="5"/>
  <c r="AO318" i="5"/>
  <c r="AN318" i="5"/>
  <c r="AO98" i="5"/>
  <c r="AN98" i="5"/>
  <c r="AN518" i="5"/>
  <c r="AO518" i="5"/>
  <c r="AN390" i="5"/>
  <c r="AO390" i="5"/>
  <c r="AN210" i="5"/>
  <c r="AO210" i="5"/>
  <c r="AO528" i="5"/>
  <c r="AO532" i="5"/>
  <c r="AN532" i="5"/>
  <c r="AN301" i="5"/>
  <c r="AO301" i="5"/>
  <c r="AO142" i="5"/>
  <c r="AN142" i="5"/>
  <c r="AO552" i="5"/>
  <c r="AN552" i="5"/>
  <c r="AN234" i="5"/>
  <c r="AO234" i="5"/>
  <c r="AN85" i="5"/>
  <c r="AO85" i="5"/>
  <c r="AN492" i="5"/>
  <c r="AO492" i="5"/>
  <c r="AN340" i="5"/>
  <c r="AO340" i="5"/>
  <c r="AN326" i="5"/>
  <c r="AO326" i="5"/>
  <c r="AN197" i="5"/>
  <c r="AO197" i="5"/>
  <c r="AN68" i="5"/>
  <c r="AO68" i="5"/>
  <c r="AS129" i="4"/>
  <c r="AS53" i="4"/>
  <c r="U53" i="4"/>
  <c r="V53" i="4"/>
  <c r="AS43" i="4"/>
  <c r="AS50" i="4"/>
  <c r="U50" i="4"/>
  <c r="U13" i="4"/>
  <c r="V13" i="4"/>
  <c r="AS13" i="4"/>
  <c r="V32" i="4"/>
  <c r="AS32" i="4"/>
  <c r="U32" i="4"/>
  <c r="AH553" i="5"/>
  <c r="AI553" i="5"/>
  <c r="AN533" i="5"/>
  <c r="AO533" i="5"/>
  <c r="AJ447" i="5"/>
  <c r="AJ479" i="5"/>
  <c r="AI419" i="5"/>
  <c r="AH419" i="5"/>
  <c r="AI351" i="5"/>
  <c r="AH351" i="5"/>
  <c r="AI383" i="5"/>
  <c r="AH383" i="5"/>
  <c r="AJ231" i="5"/>
  <c r="AN263" i="5"/>
  <c r="AO263" i="5"/>
  <c r="AH135" i="5"/>
  <c r="AI135" i="5"/>
  <c r="AJ199" i="5"/>
  <c r="AI31" i="5"/>
  <c r="AH31" i="5"/>
  <c r="U71" i="5"/>
  <c r="V71" i="5"/>
  <c r="V153" i="5"/>
  <c r="U153" i="5"/>
  <c r="U132" i="5"/>
  <c r="V132" i="5"/>
  <c r="V308" i="5"/>
  <c r="U308" i="5"/>
  <c r="V165" i="5"/>
  <c r="U165" i="5"/>
  <c r="U42" i="5"/>
  <c r="V42" i="5"/>
  <c r="V189" i="5"/>
  <c r="U189" i="5"/>
  <c r="U90" i="5"/>
  <c r="V90" i="5"/>
  <c r="AO546" i="5"/>
  <c r="AN546" i="5"/>
  <c r="AH448" i="5"/>
  <c r="AI448" i="5"/>
  <c r="AJ512" i="5"/>
  <c r="AJ384" i="5"/>
  <c r="AO232" i="5"/>
  <c r="AN232" i="5"/>
  <c r="AJ256" i="5"/>
  <c r="AO296" i="5"/>
  <c r="AN296" i="5"/>
  <c r="AH128" i="5"/>
  <c r="AI128" i="5"/>
  <c r="AH160" i="5"/>
  <c r="AI160" i="5"/>
  <c r="U184" i="5"/>
  <c r="V184" i="5"/>
  <c r="U216" i="5"/>
  <c r="V216" i="5"/>
  <c r="AO40" i="5"/>
  <c r="AN40" i="5"/>
  <c r="U96" i="5"/>
  <c r="V96" i="5"/>
  <c r="AH112" i="5"/>
  <c r="AI112" i="5"/>
  <c r="AN519" i="5"/>
  <c r="AO519" i="5"/>
  <c r="AN83" i="5"/>
  <c r="AO83" i="5"/>
  <c r="AN299" i="5"/>
  <c r="AO299" i="5"/>
  <c r="AI91" i="5"/>
  <c r="AH91" i="5"/>
  <c r="AK51" i="5"/>
  <c r="AL51" i="5"/>
  <c r="AN281" i="5"/>
  <c r="AO281" i="5"/>
  <c r="AH291" i="5"/>
  <c r="AI291" i="5"/>
  <c r="AJ26" i="5"/>
  <c r="AJ33" i="5"/>
  <c r="AJ34" i="5"/>
  <c r="AJ36" i="5"/>
  <c r="AJ65" i="5"/>
  <c r="AJ58" i="5"/>
  <c r="AJ70" i="5"/>
  <c r="AJ141" i="5"/>
  <c r="AJ102" i="5"/>
  <c r="AJ188" i="5"/>
  <c r="AJ148" i="5"/>
  <c r="AJ214" i="5"/>
  <c r="AJ241" i="5"/>
  <c r="AJ253" i="5"/>
  <c r="AJ294" i="5"/>
  <c r="AJ329" i="5"/>
  <c r="AJ251" i="5"/>
  <c r="AJ213" i="5"/>
  <c r="AJ270" i="5"/>
  <c r="AJ297" i="5"/>
  <c r="AJ246" i="5"/>
  <c r="AJ345" i="5"/>
  <c r="AJ370" i="5"/>
  <c r="AJ38" i="5"/>
  <c r="AJ68" i="5"/>
  <c r="AJ101" i="5"/>
  <c r="AJ138" i="5"/>
  <c r="AJ116" i="5"/>
  <c r="AJ133" i="5"/>
  <c r="AJ180" i="5"/>
  <c r="AJ242" i="5"/>
  <c r="AJ234" i="5"/>
  <c r="AJ189" i="5"/>
  <c r="AJ218" i="5"/>
  <c r="AJ298" i="5"/>
  <c r="AJ330" i="5"/>
  <c r="AJ254" i="5"/>
  <c r="AJ314" i="5"/>
  <c r="AJ221" i="5"/>
  <c r="AJ333" i="5"/>
  <c r="AJ346" i="5"/>
  <c r="AJ342" i="5"/>
  <c r="AJ378" i="5"/>
  <c r="AJ420" i="5"/>
  <c r="AJ396" i="5"/>
  <c r="AJ338" i="5"/>
  <c r="AJ446" i="5"/>
  <c r="AJ506" i="5"/>
  <c r="AJ502" i="5"/>
  <c r="AJ517" i="5"/>
  <c r="AJ542" i="5"/>
  <c r="AJ550" i="5"/>
  <c r="AJ528" i="5"/>
  <c r="AJ548" i="5"/>
  <c r="AJ486" i="5"/>
  <c r="AJ44" i="5"/>
  <c r="AJ42" i="5"/>
  <c r="AJ50" i="5"/>
  <c r="AJ74" i="5"/>
  <c r="AJ78" i="5"/>
  <c r="AJ109" i="5"/>
  <c r="AJ100" i="5"/>
  <c r="AJ118" i="5"/>
  <c r="AJ149" i="5"/>
  <c r="AJ110" i="5"/>
  <c r="AJ186" i="5"/>
  <c r="AJ165" i="5"/>
  <c r="AJ194" i="5"/>
  <c r="AJ222" i="5"/>
  <c r="AJ193" i="5"/>
  <c r="AJ269" i="5"/>
  <c r="AJ305" i="5"/>
  <c r="AJ177" i="5"/>
  <c r="AJ257" i="5"/>
  <c r="AJ293" i="5"/>
  <c r="AJ250" i="5"/>
  <c r="AJ277" i="5"/>
  <c r="AJ308" i="5"/>
  <c r="AJ340" i="5"/>
  <c r="AJ356" i="5"/>
  <c r="AJ412" i="5"/>
  <c r="AJ349" i="5"/>
  <c r="AJ394" i="5"/>
  <c r="AJ401" i="5"/>
  <c r="AJ385" i="5"/>
  <c r="AJ461" i="5"/>
  <c r="AJ482" i="5"/>
  <c r="AJ418" i="5"/>
  <c r="AJ508" i="5"/>
  <c r="AJ417" i="5"/>
  <c r="AJ442" i="5"/>
  <c r="AJ527" i="5"/>
  <c r="AJ547" i="5"/>
  <c r="AJ556" i="5"/>
  <c r="AJ535" i="5"/>
  <c r="AJ497" i="5"/>
  <c r="AJ46" i="5"/>
  <c r="AJ45" i="5"/>
  <c r="AJ54" i="5"/>
  <c r="AJ84" i="5"/>
  <c r="AJ130" i="5"/>
  <c r="AJ157" i="5"/>
  <c r="AJ114" i="5"/>
  <c r="AJ164" i="5"/>
  <c r="AJ156" i="5"/>
  <c r="AJ170" i="5"/>
  <c r="AJ205" i="5"/>
  <c r="AJ226" i="5"/>
  <c r="AJ197" i="5"/>
  <c r="AJ198" i="5"/>
  <c r="AJ310" i="5"/>
  <c r="AJ322" i="5"/>
  <c r="AJ252" i="5"/>
  <c r="AJ282" i="5"/>
  <c r="AJ357" i="5"/>
  <c r="AJ380" i="5"/>
  <c r="AJ413" i="5"/>
  <c r="AJ354" i="5"/>
  <c r="AJ300" i="5"/>
  <c r="AJ381" i="5"/>
  <c r="AJ428" i="5"/>
  <c r="AJ484" i="5"/>
  <c r="AJ454" i="5"/>
  <c r="AJ509" i="5"/>
  <c r="AJ421" i="5"/>
  <c r="AJ445" i="5"/>
  <c r="AJ485" i="5"/>
  <c r="AJ552" i="5"/>
  <c r="AJ452" i="5"/>
  <c r="AJ22" i="5"/>
  <c r="AJ20" i="5"/>
  <c r="AJ21" i="5"/>
  <c r="AJ52" i="5"/>
  <c r="AJ61" i="5"/>
  <c r="AJ60" i="5"/>
  <c r="AJ85" i="5"/>
  <c r="AJ125" i="5"/>
  <c r="AJ158" i="5"/>
  <c r="AJ132" i="5"/>
  <c r="AJ150" i="5"/>
  <c r="AJ166" i="5"/>
  <c r="AJ173" i="5"/>
  <c r="AJ228" i="5"/>
  <c r="AJ172" i="5"/>
  <c r="AJ236" i="5"/>
  <c r="AJ278" i="5"/>
  <c r="AJ317" i="5"/>
  <c r="AJ230" i="5"/>
  <c r="AJ301" i="5"/>
  <c r="AJ324" i="5"/>
  <c r="AJ258" i="5"/>
  <c r="AJ286" i="5"/>
  <c r="AJ316" i="5"/>
  <c r="AJ274" i="5"/>
  <c r="AJ358" i="5"/>
  <c r="AJ398" i="5"/>
  <c r="AJ382" i="5"/>
  <c r="AJ405" i="5"/>
  <c r="AJ429" i="5"/>
  <c r="AJ492" i="5"/>
  <c r="AJ523" i="5"/>
  <c r="AJ436" i="5"/>
  <c r="AJ510" i="5"/>
  <c r="AJ422" i="5"/>
  <c r="AJ490" i="5"/>
  <c r="AJ558" i="5"/>
  <c r="AJ462" i="5"/>
  <c r="AJ514" i="5"/>
  <c r="AJ28" i="5"/>
  <c r="AJ57" i="5"/>
  <c r="AJ82" i="5"/>
  <c r="AJ106" i="5"/>
  <c r="AJ134" i="5"/>
  <c r="AJ140" i="5"/>
  <c r="AJ179" i="5"/>
  <c r="AJ204" i="5"/>
  <c r="AJ237" i="5"/>
  <c r="AJ232" i="5"/>
  <c r="AJ321" i="5"/>
  <c r="AJ287" i="5"/>
  <c r="AJ267" i="5"/>
  <c r="AJ355" i="5"/>
  <c r="AJ377" i="5"/>
  <c r="AJ434" i="5"/>
  <c r="AJ388" i="5"/>
  <c r="AJ372" i="5"/>
  <c r="AJ352" i="5"/>
  <c r="AJ480" i="5"/>
  <c r="AJ373" i="5"/>
  <c r="AJ481" i="5"/>
  <c r="AJ266" i="5"/>
  <c r="AJ437" i="5"/>
  <c r="AJ526" i="5"/>
  <c r="AJ404" i="5"/>
  <c r="AJ530" i="5"/>
  <c r="AJ498" i="5"/>
  <c r="AJ19" i="5"/>
  <c r="O13" i="5"/>
  <c r="AJ23" i="5"/>
  <c r="AJ39" i="5"/>
  <c r="AJ62" i="5"/>
  <c r="AJ93" i="5"/>
  <c r="AJ117" i="5"/>
  <c r="AJ136" i="5"/>
  <c r="AJ151" i="5"/>
  <c r="AJ137" i="5"/>
  <c r="AJ25" i="5"/>
  <c r="AJ63" i="5"/>
  <c r="AJ75" i="5"/>
  <c r="AJ94" i="5"/>
  <c r="AJ126" i="5"/>
  <c r="AJ145" i="5"/>
  <c r="AJ154" i="5"/>
  <c r="AJ182" i="5"/>
  <c r="AJ219" i="5"/>
  <c r="AJ181" i="5"/>
  <c r="AJ243" i="5"/>
  <c r="AJ331" i="5"/>
  <c r="AJ309" i="5"/>
  <c r="AJ289" i="5"/>
  <c r="AJ296" i="5"/>
  <c r="AJ390" i="5"/>
  <c r="AJ336" i="5"/>
  <c r="AJ406" i="5"/>
  <c r="AJ387" i="5"/>
  <c r="AJ440" i="5"/>
  <c r="AJ500" i="5"/>
  <c r="AJ441" i="5"/>
  <c r="AJ494" i="5"/>
  <c r="AJ393" i="5"/>
  <c r="AJ458" i="5"/>
  <c r="AJ538" i="5"/>
  <c r="AJ532" i="5"/>
  <c r="AJ551" i="5"/>
  <c r="AJ555" i="5"/>
  <c r="AJ37" i="5"/>
  <c r="AJ69" i="5"/>
  <c r="AJ76" i="5"/>
  <c r="AJ104" i="5"/>
  <c r="AJ128" i="5"/>
  <c r="AJ80" i="5"/>
  <c r="AJ139" i="5"/>
  <c r="AJ184" i="5"/>
  <c r="AJ235" i="5"/>
  <c r="AJ192" i="5"/>
  <c r="AJ247" i="5"/>
  <c r="AJ248" i="5"/>
  <c r="AJ315" i="5"/>
  <c r="AJ292" i="5"/>
  <c r="AJ337" i="5"/>
  <c r="AJ392" i="5"/>
  <c r="AJ341" i="5"/>
  <c r="AJ415" i="5"/>
  <c r="AJ391" i="5"/>
  <c r="AJ444" i="5"/>
  <c r="AJ505" i="5"/>
  <c r="AJ443" i="5"/>
  <c r="AJ499" i="5"/>
  <c r="AJ402" i="5"/>
  <c r="AJ460" i="5"/>
  <c r="AJ540" i="5"/>
  <c r="AJ549" i="5"/>
  <c r="AJ554" i="5"/>
  <c r="AJ557" i="5"/>
  <c r="AJ29" i="5"/>
  <c r="AJ53" i="5"/>
  <c r="AJ77" i="5"/>
  <c r="AJ90" i="5"/>
  <c r="AJ146" i="5"/>
  <c r="AJ86" i="5"/>
  <c r="AJ168" i="5"/>
  <c r="AJ196" i="5"/>
  <c r="AJ238" i="5"/>
  <c r="AJ206" i="5"/>
  <c r="AJ262" i="5"/>
  <c r="AJ249" i="5"/>
  <c r="AJ332" i="5"/>
  <c r="AJ304" i="5"/>
  <c r="AJ344" i="5"/>
  <c r="AJ408" i="5"/>
  <c r="AJ348" i="5"/>
  <c r="AJ259" i="5"/>
  <c r="AJ397" i="5"/>
  <c r="AJ453" i="5"/>
  <c r="AJ511" i="5"/>
  <c r="AJ450" i="5"/>
  <c r="AJ503" i="5"/>
  <c r="AJ414" i="5"/>
  <c r="AJ472" i="5"/>
  <c r="AJ544" i="5"/>
  <c r="AJ559" i="5"/>
  <c r="AJ560" i="5"/>
  <c r="AJ474" i="5"/>
  <c r="AJ30" i="5"/>
  <c r="AJ66" i="5"/>
  <c r="AJ73" i="5"/>
  <c r="AJ92" i="5"/>
  <c r="AJ161" i="5"/>
  <c r="AJ108" i="5"/>
  <c r="AJ174" i="5"/>
  <c r="AJ124" i="5"/>
  <c r="AJ244" i="5"/>
  <c r="AJ209" i="5"/>
  <c r="AJ284" i="5"/>
  <c r="AJ255" i="5"/>
  <c r="AJ190" i="5"/>
  <c r="AJ319" i="5"/>
  <c r="AJ350" i="5"/>
  <c r="AJ419" i="5"/>
  <c r="AJ364" i="5"/>
  <c r="AJ323" i="5"/>
  <c r="AJ407" i="5"/>
  <c r="AJ470" i="5"/>
  <c r="AJ537" i="5"/>
  <c r="AJ463" i="5"/>
  <c r="AJ513" i="5"/>
  <c r="AJ424" i="5"/>
  <c r="AJ491" i="5"/>
  <c r="AJ261" i="5"/>
  <c r="AJ468" i="5"/>
  <c r="AJ471" i="5"/>
  <c r="AJ529" i="5"/>
  <c r="AJ41" i="5"/>
  <c r="AJ27" i="5"/>
  <c r="AJ91" i="5"/>
  <c r="AJ98" i="5"/>
  <c r="AJ87" i="5"/>
  <c r="AJ123" i="5"/>
  <c r="AJ185" i="5"/>
  <c r="AJ142" i="5"/>
  <c r="AJ202" i="5"/>
  <c r="AJ220" i="5"/>
  <c r="AJ290" i="5"/>
  <c r="AJ268" i="5"/>
  <c r="AJ245" i="5"/>
  <c r="AJ325" i="5"/>
  <c r="AJ363" i="5"/>
  <c r="AJ426" i="5"/>
  <c r="AJ366" i="5"/>
  <c r="AJ343" i="5"/>
  <c r="AJ409" i="5"/>
  <c r="AJ476" i="5"/>
  <c r="AJ288" i="5"/>
  <c r="AJ466" i="5"/>
  <c r="AJ518" i="5"/>
  <c r="AJ425" i="5"/>
  <c r="AJ496" i="5"/>
  <c r="AJ279" i="5"/>
  <c r="AJ516" i="5"/>
  <c r="AJ475" i="5"/>
  <c r="AJ543" i="5"/>
  <c r="AJ24" i="5"/>
  <c r="AJ49" i="5"/>
  <c r="AJ67" i="5"/>
  <c r="AJ103" i="5"/>
  <c r="AJ122" i="5"/>
  <c r="AJ129" i="5"/>
  <c r="AJ178" i="5"/>
  <c r="AJ162" i="5"/>
  <c r="AJ215" i="5"/>
  <c r="AJ229" i="5"/>
  <c r="AJ302" i="5"/>
  <c r="AJ275" i="5"/>
  <c r="AJ260" i="5"/>
  <c r="AJ334" i="5"/>
  <c r="AJ365" i="5"/>
  <c r="AJ427" i="5"/>
  <c r="AJ374" i="5"/>
  <c r="AJ362" i="5"/>
  <c r="AJ410" i="5"/>
  <c r="AJ477" i="5"/>
  <c r="AJ361" i="5"/>
  <c r="AJ469" i="5"/>
  <c r="AJ520" i="5"/>
  <c r="AJ433" i="5"/>
  <c r="AJ501" i="5"/>
  <c r="AJ285" i="5"/>
  <c r="AJ522" i="5"/>
  <c r="AJ478" i="5"/>
  <c r="AJ545" i="5"/>
  <c r="AJ212" i="5"/>
  <c r="AJ493" i="5"/>
  <c r="AJ389" i="5"/>
  <c r="AJ375" i="5"/>
  <c r="AJ210" i="5"/>
  <c r="AJ318" i="5"/>
  <c r="AJ456" i="5"/>
  <c r="AJ175" i="5"/>
  <c r="AJ400" i="5"/>
  <c r="AJ536" i="5"/>
  <c r="AJ208" i="5"/>
  <c r="AJ386" i="5"/>
  <c r="AJ524" i="5"/>
  <c r="AJ326" i="5"/>
  <c r="AJ430" i="5"/>
  <c r="AJ546" i="5"/>
  <c r="AJ306" i="5"/>
  <c r="AJ495" i="5"/>
  <c r="AJ531" i="5"/>
  <c r="AJ276" i="5"/>
  <c r="AJ438" i="5"/>
  <c r="AO289" i="5"/>
  <c r="AN289" i="5"/>
  <c r="AH337" i="5"/>
  <c r="AI337" i="5"/>
  <c r="AJ233" i="5"/>
  <c r="AJ507" i="5"/>
  <c r="AO243" i="5"/>
  <c r="AN243" i="5"/>
  <c r="AI97" i="5"/>
  <c r="AH97" i="5"/>
  <c r="AH497" i="5"/>
  <c r="AI497" i="5"/>
  <c r="AJ201" i="5"/>
  <c r="AJ435" i="5"/>
  <c r="AJ163" i="5"/>
  <c r="AO500" i="5"/>
  <c r="AN500" i="5"/>
  <c r="B47" i="2"/>
  <c r="B28" i="2" s="1"/>
  <c r="AI552" i="5"/>
  <c r="AH552" i="5"/>
  <c r="AH404" i="5"/>
  <c r="AI404" i="5"/>
  <c r="AI260" i="5"/>
  <c r="AH260" i="5"/>
  <c r="AI178" i="5"/>
  <c r="AH178" i="5"/>
  <c r="AH558" i="5"/>
  <c r="AI558" i="5"/>
  <c r="AI412" i="5"/>
  <c r="AH412" i="5"/>
  <c r="AI341" i="5"/>
  <c r="AH341" i="5"/>
  <c r="AI182" i="5"/>
  <c r="AH182" i="5"/>
  <c r="AH556" i="5"/>
  <c r="AI556" i="5"/>
  <c r="AI522" i="5"/>
  <c r="AH522" i="5"/>
  <c r="AI394" i="5"/>
  <c r="AH394" i="5"/>
  <c r="AH189" i="5"/>
  <c r="AI189" i="5"/>
  <c r="AI22" i="5"/>
  <c r="AH22" i="5"/>
  <c r="AI452" i="5"/>
  <c r="AH452" i="5"/>
  <c r="AI437" i="5"/>
  <c r="AH437" i="5"/>
  <c r="AH258" i="5"/>
  <c r="AI258" i="5"/>
  <c r="AH134" i="5"/>
  <c r="AI134" i="5"/>
  <c r="AI426" i="5"/>
  <c r="AH426" i="5"/>
  <c r="AI370" i="5"/>
  <c r="AH370" i="5"/>
  <c r="AH378" i="5"/>
  <c r="AI378" i="5"/>
  <c r="AI250" i="5"/>
  <c r="AH250" i="5"/>
  <c r="AI133" i="5"/>
  <c r="AH133" i="5"/>
  <c r="AI93" i="5"/>
  <c r="AH93" i="5"/>
  <c r="AO445" i="5"/>
  <c r="AN445" i="5"/>
  <c r="AN362" i="5"/>
  <c r="AO362" i="5"/>
  <c r="AO285" i="5"/>
  <c r="AN285" i="5"/>
  <c r="AN69" i="5"/>
  <c r="AO69" i="5"/>
  <c r="AO486" i="5"/>
  <c r="AN486" i="5"/>
  <c r="AN365" i="5"/>
  <c r="AO365" i="5"/>
  <c r="AN118" i="5"/>
  <c r="AO118" i="5"/>
  <c r="AO510" i="5"/>
  <c r="AN510" i="5"/>
  <c r="AN490" i="5"/>
  <c r="AO490" i="5"/>
  <c r="AO294" i="5"/>
  <c r="AN294" i="5"/>
  <c r="AN543" i="5"/>
  <c r="AO543" i="5"/>
  <c r="AN442" i="5"/>
  <c r="AO178" i="5"/>
  <c r="AN178" i="5"/>
  <c r="AN473" i="5"/>
  <c r="AO473" i="5"/>
  <c r="AO380" i="5"/>
  <c r="AN380" i="5"/>
  <c r="AN278" i="5"/>
  <c r="AO278" i="5"/>
  <c r="AO172" i="5"/>
  <c r="AN172" i="5"/>
  <c r="AO50" i="5"/>
  <c r="AN50" i="5"/>
  <c r="AS88" i="4"/>
  <c r="U88" i="4"/>
  <c r="V151" i="4"/>
  <c r="AS151" i="4"/>
  <c r="V36" i="4"/>
  <c r="AS36" i="4"/>
  <c r="U36" i="4"/>
  <c r="AS144" i="4"/>
  <c r="U144" i="4"/>
  <c r="V153" i="4"/>
  <c r="AS153" i="4"/>
  <c r="U153" i="4"/>
  <c r="U131" i="4"/>
  <c r="V138" i="4"/>
  <c r="AS41" i="4"/>
  <c r="V41" i="4"/>
  <c r="U41" i="4"/>
  <c r="AJ553" i="5"/>
  <c r="AI533" i="5"/>
  <c r="AH533" i="5"/>
  <c r="AO487" i="5"/>
  <c r="AN487" i="5"/>
  <c r="AN419" i="5"/>
  <c r="AO419" i="5"/>
  <c r="AJ359" i="5"/>
  <c r="AN383" i="5"/>
  <c r="AO383" i="5"/>
  <c r="AO231" i="5"/>
  <c r="AN231" i="5"/>
  <c r="AJ271" i="5"/>
  <c r="AI219" i="5"/>
  <c r="AH219" i="5"/>
  <c r="AJ135" i="5"/>
  <c r="AJ167" i="5"/>
  <c r="U31" i="5"/>
  <c r="V31" i="5"/>
  <c r="AN71" i="5"/>
  <c r="AO71" i="5"/>
  <c r="AN103" i="5"/>
  <c r="U217" i="5"/>
  <c r="V217" i="5"/>
  <c r="U110" i="5"/>
  <c r="V110" i="5"/>
  <c r="U277" i="5"/>
  <c r="V277" i="5"/>
  <c r="U124" i="5"/>
  <c r="V124" i="5"/>
  <c r="U158" i="5"/>
  <c r="V158" i="5"/>
  <c r="AO526" i="5"/>
  <c r="AN526" i="5"/>
  <c r="AI464" i="5"/>
  <c r="AH464" i="5"/>
  <c r="AI512" i="5"/>
  <c r="AH512" i="5"/>
  <c r="AH384" i="5"/>
  <c r="AI384" i="5"/>
  <c r="AI232" i="5"/>
  <c r="AH232" i="5"/>
  <c r="AH264" i="5"/>
  <c r="AI264" i="5"/>
  <c r="AI304" i="5"/>
  <c r="AH304" i="5"/>
  <c r="AO128" i="5"/>
  <c r="AN128" i="5"/>
  <c r="AJ160" i="5"/>
  <c r="AH184" i="5"/>
  <c r="AI184" i="5"/>
  <c r="AJ216" i="5"/>
  <c r="AO48" i="5"/>
  <c r="AN48" i="5"/>
  <c r="AI64" i="5"/>
  <c r="AH64" i="5"/>
  <c r="AH96" i="5"/>
  <c r="AI96" i="5"/>
  <c r="AO8" i="5"/>
  <c r="AN8" i="5"/>
  <c r="AJ449" i="5"/>
  <c r="AJ81" i="5"/>
  <c r="AI113" i="5"/>
  <c r="AH113" i="5"/>
  <c r="AJ515" i="5"/>
  <c r="AO324" i="5"/>
  <c r="AN324" i="5"/>
  <c r="AI476" i="5"/>
  <c r="AH476" i="5"/>
  <c r="AH202" i="5"/>
  <c r="AI202" i="5"/>
  <c r="AH214" i="5"/>
  <c r="AI214" i="5"/>
  <c r="AH146" i="5"/>
  <c r="AI146" i="5"/>
  <c r="AI454" i="5"/>
  <c r="AH454" i="5"/>
  <c r="AI402" i="5"/>
  <c r="AH402" i="5"/>
  <c r="AI356" i="5"/>
  <c r="AH356" i="5"/>
  <c r="AI118" i="5"/>
  <c r="AH118" i="5"/>
  <c r="AH365" i="5"/>
  <c r="AI365" i="5"/>
  <c r="AI493" i="5"/>
  <c r="AH493" i="5"/>
  <c r="AH330" i="5"/>
  <c r="AI330" i="5"/>
  <c r="AI157" i="5"/>
  <c r="AH157" i="5"/>
  <c r="AH20" i="5"/>
  <c r="AI20" i="5"/>
  <c r="AI517" i="5"/>
  <c r="AH517" i="5"/>
  <c r="AI406" i="5"/>
  <c r="AH406" i="5"/>
  <c r="AH332" i="5"/>
  <c r="AI332" i="5"/>
  <c r="AI101" i="5"/>
  <c r="AH101" i="5"/>
  <c r="AI536" i="5"/>
  <c r="AH536" i="5"/>
  <c r="AH510" i="5"/>
  <c r="AI510" i="5"/>
  <c r="AH284" i="5"/>
  <c r="AI284" i="5"/>
  <c r="AI324" i="5"/>
  <c r="AH324" i="5"/>
  <c r="AH165" i="5"/>
  <c r="AI165" i="5"/>
  <c r="AI66" i="5"/>
  <c r="AH66" i="5"/>
  <c r="AN540" i="5"/>
  <c r="AO540" i="5"/>
  <c r="AO370" i="5"/>
  <c r="AN370" i="5"/>
  <c r="AO189" i="5"/>
  <c r="AN189" i="5"/>
  <c r="AN66" i="5"/>
  <c r="AO66" i="5"/>
  <c r="AN498" i="5"/>
  <c r="AO498" i="5"/>
  <c r="AN258" i="5"/>
  <c r="AO258" i="5"/>
  <c r="AN133" i="5"/>
  <c r="AO133" i="5"/>
  <c r="AN482" i="5"/>
  <c r="AO482" i="5"/>
  <c r="AO348" i="5"/>
  <c r="AN348" i="5"/>
  <c r="AN253" i="5"/>
  <c r="AO253" i="5"/>
  <c r="AN93" i="5"/>
  <c r="AO93" i="5"/>
  <c r="AO560" i="5"/>
  <c r="AN560" i="5"/>
  <c r="AO374" i="5"/>
  <c r="AN374" i="5"/>
  <c r="AO222" i="5"/>
  <c r="AN222" i="5"/>
  <c r="AO82" i="5"/>
  <c r="AN82" i="5"/>
  <c r="AO356" i="5"/>
  <c r="AN356" i="5"/>
  <c r="AO157" i="5"/>
  <c r="AN157" i="5"/>
  <c r="AN31" i="5"/>
  <c r="AO31" i="5"/>
  <c r="U56" i="4"/>
  <c r="V65" i="4"/>
  <c r="AS65" i="4"/>
  <c r="U65" i="4"/>
  <c r="U119" i="4"/>
  <c r="V119" i="4"/>
  <c r="AS119" i="4"/>
  <c r="V112" i="4"/>
  <c r="AS112" i="4"/>
  <c r="U112" i="4"/>
  <c r="U121" i="4"/>
  <c r="V99" i="4"/>
  <c r="AS99" i="4"/>
  <c r="U99" i="4"/>
  <c r="AN537" i="5"/>
  <c r="AO537" i="5"/>
  <c r="AJ423" i="5"/>
  <c r="AI447" i="5"/>
  <c r="AH447" i="5"/>
  <c r="AJ487" i="5"/>
  <c r="AJ327" i="5"/>
  <c r="AI359" i="5"/>
  <c r="AH359" i="5"/>
  <c r="AJ399" i="5"/>
  <c r="AH239" i="5"/>
  <c r="AI239" i="5"/>
  <c r="AH287" i="5"/>
  <c r="AI287" i="5"/>
  <c r="AO219" i="5"/>
  <c r="AN219" i="5"/>
  <c r="AH143" i="5"/>
  <c r="AI143" i="5"/>
  <c r="AO167" i="5"/>
  <c r="AN167" i="5"/>
  <c r="AH199" i="5"/>
  <c r="AI199" i="5"/>
  <c r="AJ31" i="5"/>
  <c r="AJ71" i="5"/>
  <c r="AI103" i="5"/>
  <c r="AH103" i="5"/>
  <c r="V220" i="5"/>
  <c r="V213" i="5"/>
  <c r="V108" i="5"/>
  <c r="U163" i="5"/>
  <c r="V163" i="5"/>
  <c r="V81" i="5"/>
  <c r="U81" i="5"/>
  <c r="AJ534" i="5"/>
  <c r="AJ464" i="5"/>
  <c r="AN512" i="5"/>
  <c r="AO512" i="5"/>
  <c r="AI360" i="5"/>
  <c r="AH360" i="5"/>
  <c r="U240" i="5"/>
  <c r="V240" i="5"/>
  <c r="AO304" i="5"/>
  <c r="AN304" i="5"/>
  <c r="V128" i="5"/>
  <c r="U128" i="5"/>
  <c r="AO160" i="5"/>
  <c r="AN160" i="5"/>
  <c r="AN192" i="5"/>
  <c r="AO192" i="5"/>
  <c r="AH24" i="5"/>
  <c r="AI24" i="5"/>
  <c r="U72" i="5"/>
  <c r="V72" i="5"/>
  <c r="AN96" i="5"/>
  <c r="AO96" i="5"/>
  <c r="AH8" i="5"/>
  <c r="AI8" i="5"/>
  <c r="AJ473" i="5"/>
  <c r="AJ121" i="5"/>
  <c r="AJ89" i="5"/>
  <c r="V88" i="4"/>
  <c r="AK483" i="5"/>
  <c r="AL283" i="5"/>
  <c r="AK283" i="5"/>
  <c r="AO449" i="5"/>
  <c r="AN449" i="5"/>
  <c r="AI491" i="5"/>
  <c r="AH491" i="5"/>
  <c r="AN131" i="5"/>
  <c r="AO131" i="5"/>
  <c r="AH131" i="5"/>
  <c r="AI131" i="5"/>
  <c r="AH521" i="5"/>
  <c r="AI521" i="5"/>
  <c r="AJ347" i="5"/>
  <c r="U75" i="5"/>
  <c r="V75" i="5"/>
  <c r="AO369" i="5"/>
  <c r="AN369" i="5"/>
  <c r="AH119" i="5"/>
  <c r="AI119" i="5"/>
  <c r="AI557" i="5"/>
  <c r="AH557" i="5"/>
  <c r="AJ265" i="5"/>
  <c r="AJ411" i="5"/>
  <c r="AJ291" i="5"/>
  <c r="AO388" i="5"/>
  <c r="AN388" i="5"/>
  <c r="AH531" i="5"/>
  <c r="AI531" i="5"/>
  <c r="AH398" i="5"/>
  <c r="AI398" i="5"/>
  <c r="AI222" i="5"/>
  <c r="AH222" i="5"/>
  <c r="AH148" i="5"/>
  <c r="AI148" i="5"/>
  <c r="AI444" i="5"/>
  <c r="AH444" i="5"/>
  <c r="AH410" i="5"/>
  <c r="AI410" i="5"/>
  <c r="AH261" i="5"/>
  <c r="AI261" i="5"/>
  <c r="AI142" i="5"/>
  <c r="AH142" i="5"/>
  <c r="AI520" i="5"/>
  <c r="AH520" i="5"/>
  <c r="AI450" i="5"/>
  <c r="AH450" i="5"/>
  <c r="AH354" i="5"/>
  <c r="AI354" i="5"/>
  <c r="AI181" i="5"/>
  <c r="AH181" i="5"/>
  <c r="AH21" i="5"/>
  <c r="AI21" i="5"/>
  <c r="AI485" i="5"/>
  <c r="AH485" i="5"/>
  <c r="AI382" i="5"/>
  <c r="AH382" i="5"/>
  <c r="AH306" i="5"/>
  <c r="AI306" i="5"/>
  <c r="AI94" i="5"/>
  <c r="AH94" i="5"/>
  <c r="AH542" i="5"/>
  <c r="AI542" i="5"/>
  <c r="AH438" i="5"/>
  <c r="AI438" i="5"/>
  <c r="AI345" i="5"/>
  <c r="AH345" i="5"/>
  <c r="AI301" i="5"/>
  <c r="AH301" i="5"/>
  <c r="AI153" i="5"/>
  <c r="AH153" i="5"/>
  <c r="AH65" i="5"/>
  <c r="AI65" i="5"/>
  <c r="AO485" i="5"/>
  <c r="AN485" i="5"/>
  <c r="AN334" i="5"/>
  <c r="AO334" i="5"/>
  <c r="AO238" i="5"/>
  <c r="AN29" i="5"/>
  <c r="AO29" i="5"/>
  <c r="AN426" i="5"/>
  <c r="AO426" i="5"/>
  <c r="AN322" i="5"/>
  <c r="AO322" i="5"/>
  <c r="AO53" i="5"/>
  <c r="AN53" i="5"/>
  <c r="AO454" i="5"/>
  <c r="AN454" i="5"/>
  <c r="AO286" i="5"/>
  <c r="AN286" i="5"/>
  <c r="AN186" i="5"/>
  <c r="AO186" i="5"/>
  <c r="AN62" i="5"/>
  <c r="AO421" i="5"/>
  <c r="AN421" i="5"/>
  <c r="AO341" i="5"/>
  <c r="AN341" i="5"/>
  <c r="AN174" i="5"/>
  <c r="AO174" i="5"/>
  <c r="AN45" i="5"/>
  <c r="AO45" i="5"/>
  <c r="AN474" i="5"/>
  <c r="AO474" i="5"/>
  <c r="AN274" i="5"/>
  <c r="AO274" i="5"/>
  <c r="AN79" i="5"/>
  <c r="AO79" i="5"/>
  <c r="AS147" i="4"/>
  <c r="U147" i="4"/>
  <c r="V147" i="4"/>
  <c r="V154" i="4"/>
  <c r="AS154" i="4"/>
  <c r="U154" i="4"/>
  <c r="AS16" i="4"/>
  <c r="AS78" i="4"/>
  <c r="V78" i="4"/>
  <c r="U78" i="4"/>
  <c r="V87" i="4"/>
  <c r="U15" i="4"/>
  <c r="V80" i="4"/>
  <c r="AS80" i="4"/>
  <c r="U80" i="4"/>
  <c r="U89" i="4"/>
  <c r="V89" i="4"/>
  <c r="AS89" i="4"/>
  <c r="B223" i="2"/>
  <c r="B200" i="2"/>
  <c r="B212" i="2" s="1"/>
  <c r="H65" i="1" s="1"/>
  <c r="AH545" i="5"/>
  <c r="AI545" i="5"/>
  <c r="AN423" i="5"/>
  <c r="AO423" i="5"/>
  <c r="AJ455" i="5"/>
  <c r="AH487" i="5"/>
  <c r="AI487" i="5"/>
  <c r="AI327" i="5"/>
  <c r="AH327" i="5"/>
  <c r="AO359" i="5"/>
  <c r="AN359" i="5"/>
  <c r="AJ239" i="5"/>
  <c r="AO287" i="5"/>
  <c r="AN287" i="5"/>
  <c r="V127" i="5"/>
  <c r="U127" i="5"/>
  <c r="AN175" i="5"/>
  <c r="AO175" i="5"/>
  <c r="AJ207" i="5"/>
  <c r="AJ47" i="5"/>
  <c r="AH79" i="5"/>
  <c r="AI79" i="5"/>
  <c r="V111" i="5"/>
  <c r="U111" i="5"/>
  <c r="U202" i="5"/>
  <c r="V202" i="5"/>
  <c r="U78" i="5"/>
  <c r="V78" i="5"/>
  <c r="V157" i="5"/>
  <c r="U157" i="5"/>
  <c r="V238" i="5"/>
  <c r="U178" i="5"/>
  <c r="AN534" i="5"/>
  <c r="AO534" i="5"/>
  <c r="AJ488" i="5"/>
  <c r="AJ320" i="5"/>
  <c r="AN360" i="5"/>
  <c r="AO360" i="5"/>
  <c r="AN392" i="5"/>
  <c r="AO392" i="5"/>
  <c r="AI240" i="5"/>
  <c r="AH240" i="5"/>
  <c r="AJ264" i="5"/>
  <c r="AH312" i="5"/>
  <c r="AI312" i="5"/>
  <c r="U144" i="5"/>
  <c r="V144" i="5"/>
  <c r="U168" i="5"/>
  <c r="V168" i="5"/>
  <c r="AH192" i="5"/>
  <c r="AI192" i="5"/>
  <c r="AJ48" i="5"/>
  <c r="AJ72" i="5"/>
  <c r="AJ96" i="5"/>
  <c r="AJ489" i="5"/>
  <c r="AJ113" i="5"/>
  <c r="AL273" i="5"/>
  <c r="AK273" i="5"/>
  <c r="AN549" i="5"/>
  <c r="AO549" i="5"/>
  <c r="AI457" i="5"/>
  <c r="AH457" i="5"/>
  <c r="AO169" i="5"/>
  <c r="AN169" i="5"/>
  <c r="AI211" i="5"/>
  <c r="AH211" i="5"/>
  <c r="AJ83" i="5"/>
  <c r="AJ313" i="5"/>
  <c r="AH267" i="5"/>
  <c r="AI267" i="5"/>
  <c r="AI535" i="5"/>
  <c r="AH535" i="5"/>
  <c r="AJ353" i="5"/>
  <c r="B174" i="2"/>
  <c r="B175" i="2"/>
  <c r="H54" i="1"/>
  <c r="AJ299" i="5"/>
  <c r="AJ211" i="5"/>
  <c r="AI498" i="5"/>
  <c r="AH498" i="5"/>
  <c r="AI364" i="5"/>
  <c r="AH364" i="5"/>
  <c r="AH166" i="5"/>
  <c r="AI166" i="5"/>
  <c r="AH82" i="5"/>
  <c r="AI82" i="5"/>
  <c r="AI528" i="5"/>
  <c r="AH528" i="5"/>
  <c r="AH386" i="5"/>
  <c r="AI386" i="5"/>
  <c r="AH276" i="5"/>
  <c r="AI276" i="5"/>
  <c r="AH141" i="5"/>
  <c r="AI141" i="5"/>
  <c r="AH551" i="5"/>
  <c r="AI551" i="5"/>
  <c r="AI390" i="5"/>
  <c r="AH390" i="5"/>
  <c r="AI270" i="5"/>
  <c r="AH270" i="5"/>
  <c r="AI173" i="5"/>
  <c r="AH173" i="5"/>
  <c r="AI470" i="5"/>
  <c r="AH470" i="5"/>
  <c r="AI350" i="5"/>
  <c r="AH350" i="5"/>
  <c r="AH290" i="5"/>
  <c r="AI290" i="5"/>
  <c r="AH274" i="5"/>
  <c r="AI274" i="5"/>
  <c r="AI26" i="5"/>
  <c r="AH26" i="5"/>
  <c r="AI492" i="5"/>
  <c r="AH492" i="5"/>
  <c r="AI346" i="5"/>
  <c r="AH346" i="5"/>
  <c r="AI313" i="5"/>
  <c r="AH313" i="5"/>
  <c r="AI273" i="5"/>
  <c r="AH273" i="5"/>
  <c r="AI110" i="5"/>
  <c r="AH110" i="5"/>
  <c r="AH54" i="5"/>
  <c r="AI54" i="5"/>
  <c r="AO556" i="5"/>
  <c r="AN556" i="5"/>
  <c r="AN410" i="5"/>
  <c r="AO410" i="5"/>
  <c r="AO130" i="5"/>
  <c r="AN130" i="5"/>
  <c r="AO438" i="5"/>
  <c r="AN438" i="5"/>
  <c r="AO270" i="5"/>
  <c r="AN270" i="5"/>
  <c r="AO302" i="5"/>
  <c r="AN302" i="5"/>
  <c r="AO430" i="5"/>
  <c r="AN430" i="5"/>
  <c r="AO418" i="5"/>
  <c r="AN418" i="5"/>
  <c r="AN228" i="5"/>
  <c r="AO228" i="5"/>
  <c r="AO508" i="5"/>
  <c r="AN508" i="5"/>
  <c r="AN413" i="5"/>
  <c r="AO413" i="5"/>
  <c r="AO198" i="5"/>
  <c r="AN198" i="5"/>
  <c r="AN547" i="5"/>
  <c r="AO547" i="5"/>
  <c r="AN446" i="5"/>
  <c r="AO446" i="5"/>
  <c r="AO220" i="5"/>
  <c r="AN220" i="5"/>
  <c r="AS122" i="4"/>
  <c r="U122" i="4"/>
  <c r="U33" i="4"/>
  <c r="U26" i="4"/>
  <c r="AJ525" i="5"/>
  <c r="AJ431" i="5"/>
  <c r="AH455" i="5"/>
  <c r="AI455" i="5"/>
  <c r="AN495" i="5"/>
  <c r="AO495" i="5"/>
  <c r="AJ335" i="5"/>
  <c r="AN367" i="5"/>
  <c r="AO367" i="5"/>
  <c r="AJ295" i="5"/>
  <c r="AJ127" i="5"/>
  <c r="AJ143" i="5"/>
  <c r="V175" i="5"/>
  <c r="U175" i="5"/>
  <c r="AO207" i="5"/>
  <c r="AN207" i="5"/>
  <c r="AO47" i="5"/>
  <c r="AN47" i="5"/>
  <c r="AJ79" i="5"/>
  <c r="AN111" i="5"/>
  <c r="U198" i="5"/>
  <c r="V198" i="5"/>
  <c r="U65" i="5"/>
  <c r="V65" i="5"/>
  <c r="U218" i="5"/>
  <c r="V218" i="5"/>
  <c r="V73" i="5"/>
  <c r="U73" i="5"/>
  <c r="U193" i="5"/>
  <c r="V193" i="5"/>
  <c r="U122" i="5"/>
  <c r="V122" i="5"/>
  <c r="U58" i="5"/>
  <c r="AH488" i="5"/>
  <c r="AI488" i="5"/>
  <c r="AN320" i="5"/>
  <c r="AO320" i="5"/>
  <c r="AJ360" i="5"/>
  <c r="AH392" i="5"/>
  <c r="AI392" i="5"/>
  <c r="AJ272" i="5"/>
  <c r="AJ312" i="5"/>
  <c r="AH144" i="5"/>
  <c r="AI144" i="5"/>
  <c r="AN168" i="5"/>
  <c r="AO168" i="5"/>
  <c r="AO200" i="5"/>
  <c r="AN200" i="5"/>
  <c r="AO32" i="5"/>
  <c r="AN32" i="5"/>
  <c r="AH48" i="5"/>
  <c r="AI48" i="5"/>
  <c r="AH72" i="5"/>
  <c r="AI72" i="5"/>
  <c r="V42" i="4"/>
  <c r="V122" i="4"/>
  <c r="AI379" i="5"/>
  <c r="AH379" i="5"/>
  <c r="AH25" i="5"/>
  <c r="AI25" i="5"/>
  <c r="AH51" i="5"/>
  <c r="AI51" i="5"/>
  <c r="AL43" i="5"/>
  <c r="AK43" i="5"/>
  <c r="AO115" i="5"/>
  <c r="AN115" i="5"/>
  <c r="AI257" i="5"/>
  <c r="AH257" i="5"/>
  <c r="AJ107" i="5"/>
  <c r="AJ403" i="5"/>
  <c r="AO395" i="5"/>
  <c r="AN395" i="5"/>
  <c r="AH355" i="5"/>
  <c r="AI355" i="5"/>
  <c r="AH527" i="5"/>
  <c r="AI527" i="5"/>
  <c r="AJ467" i="5"/>
  <c r="AJ339" i="5"/>
  <c r="AJ119" i="5"/>
  <c r="AF539" i="5"/>
  <c r="AP539" i="5" s="1"/>
  <c r="AF448" i="5"/>
  <c r="AF467" i="5"/>
  <c r="AF256" i="5"/>
  <c r="AF511" i="5"/>
  <c r="AF248" i="5"/>
  <c r="AF298" i="5"/>
  <c r="AF444" i="5"/>
  <c r="AF281" i="5"/>
  <c r="AP281" i="5" s="1"/>
  <c r="AF398" i="5"/>
  <c r="AF523" i="5"/>
  <c r="AF526" i="5"/>
  <c r="AF293" i="5"/>
  <c r="AF207" i="5"/>
  <c r="AF81" i="5"/>
  <c r="AF455" i="5"/>
  <c r="AF364" i="5"/>
  <c r="AF313" i="5"/>
  <c r="AF128" i="5"/>
  <c r="AF544" i="5"/>
  <c r="AF488" i="5"/>
  <c r="AF473" i="5"/>
  <c r="AF459" i="5"/>
  <c r="AF434" i="5"/>
  <c r="AF306" i="5"/>
  <c r="AF272" i="5"/>
  <c r="AF205" i="5"/>
  <c r="AF132" i="5"/>
  <c r="AF27" i="5"/>
  <c r="AF525" i="5"/>
  <c r="AF520" i="5"/>
  <c r="AF512" i="5"/>
  <c r="AF516" i="5"/>
  <c r="AP516" i="5" s="1"/>
  <c r="AF320" i="5"/>
  <c r="AF265" i="5"/>
  <c r="AF304" i="5"/>
  <c r="AF173" i="5"/>
  <c r="AF64" i="5"/>
  <c r="AF46" i="5"/>
  <c r="AF93" i="5"/>
  <c r="AF167" i="5"/>
  <c r="AF213" i="5"/>
  <c r="AF266" i="5"/>
  <c r="AF288" i="5"/>
  <c r="AF331" i="5"/>
  <c r="AF393" i="5"/>
  <c r="AF383" i="5"/>
  <c r="AP383" i="5" s="1"/>
  <c r="AF413" i="5"/>
  <c r="AF490" i="5"/>
  <c r="AF79" i="5"/>
  <c r="AF155" i="5"/>
  <c r="AF186" i="5"/>
  <c r="AF194" i="5"/>
  <c r="AF311" i="5"/>
  <c r="AF247" i="5"/>
  <c r="AF277" i="5"/>
  <c r="AF257" i="5"/>
  <c r="AF335" i="5"/>
  <c r="AF406" i="5"/>
  <c r="AF134" i="5"/>
  <c r="AF117" i="5"/>
  <c r="AF74" i="5"/>
  <c r="AF40" i="5"/>
  <c r="AF130" i="5"/>
  <c r="AF121" i="5"/>
  <c r="AF160" i="5"/>
  <c r="AF75" i="5"/>
  <c r="AF44" i="5"/>
  <c r="AF7" i="5"/>
  <c r="AF9" i="5"/>
  <c r="AF430" i="5"/>
  <c r="AF362" i="5"/>
  <c r="AF514" i="5"/>
  <c r="AF316" i="5"/>
  <c r="AF461" i="5"/>
  <c r="AF318" i="5"/>
  <c r="AF228" i="5"/>
  <c r="AF478" i="5"/>
  <c r="AF250" i="5"/>
  <c r="AF513" i="5"/>
  <c r="AF500" i="5"/>
  <c r="AF485" i="5"/>
  <c r="AF330" i="5"/>
  <c r="AF157" i="5"/>
  <c r="AF70" i="5"/>
  <c r="AF426" i="5"/>
  <c r="AF377" i="5"/>
  <c r="AF227" i="5"/>
  <c r="AF54" i="5"/>
  <c r="AF518" i="5"/>
  <c r="AF429" i="5"/>
  <c r="AF463" i="5"/>
  <c r="AF439" i="5"/>
  <c r="AF397" i="5"/>
  <c r="AF208" i="5"/>
  <c r="AF215" i="5"/>
  <c r="AF240" i="5"/>
  <c r="AF144" i="5"/>
  <c r="AF550" i="5"/>
  <c r="AF451" i="5"/>
  <c r="AF506" i="5"/>
  <c r="AF498" i="5"/>
  <c r="AF496" i="5"/>
  <c r="AF402" i="5"/>
  <c r="AF350" i="5"/>
  <c r="AF278" i="5"/>
  <c r="AF159" i="5"/>
  <c r="AF63" i="5"/>
  <c r="AF33" i="5"/>
  <c r="AF116" i="5"/>
  <c r="AF164" i="5"/>
  <c r="AF225" i="5"/>
  <c r="AF279" i="5"/>
  <c r="AF303" i="5"/>
  <c r="AF352" i="5"/>
  <c r="AF409" i="5"/>
  <c r="AF404" i="5"/>
  <c r="AF336" i="5"/>
  <c r="AF39" i="5"/>
  <c r="AF96" i="5"/>
  <c r="AF127" i="5"/>
  <c r="AF216" i="5"/>
  <c r="AF203" i="5"/>
  <c r="AF327" i="5"/>
  <c r="AF268" i="5"/>
  <c r="AF324" i="5"/>
  <c r="AF295" i="5"/>
  <c r="AF357" i="5"/>
  <c r="AF433" i="5"/>
  <c r="AF182" i="5"/>
  <c r="AF107" i="5"/>
  <c r="AF78" i="5"/>
  <c r="AF42" i="5"/>
  <c r="AF172" i="5"/>
  <c r="AF103" i="5"/>
  <c r="AF142" i="5"/>
  <c r="AF35" i="5"/>
  <c r="AF37" i="5"/>
  <c r="AF12" i="5"/>
  <c r="AF471" i="5"/>
  <c r="AF243" i="5"/>
  <c r="AF517" i="5"/>
  <c r="AF199" i="5"/>
  <c r="AF437" i="5"/>
  <c r="AP437" i="5" s="1"/>
  <c r="AF235" i="5"/>
  <c r="AF510" i="5"/>
  <c r="AF483" i="5"/>
  <c r="AF146" i="5"/>
  <c r="AF559" i="5"/>
  <c r="AF446" i="5"/>
  <c r="AF412" i="5"/>
  <c r="AF285" i="5"/>
  <c r="AF91" i="5"/>
  <c r="AF560" i="5"/>
  <c r="AF468" i="5"/>
  <c r="AF332" i="5"/>
  <c r="AF226" i="5"/>
  <c r="AF55" i="5"/>
  <c r="AF541" i="5"/>
  <c r="AF545" i="5"/>
  <c r="AF432" i="5"/>
  <c r="AF536" i="5"/>
  <c r="AF389" i="5"/>
  <c r="AF372" i="5"/>
  <c r="AF261" i="5"/>
  <c r="AF187" i="5"/>
  <c r="AP187" i="5" s="1"/>
  <c r="AF109" i="5"/>
  <c r="AP109" i="5" s="1"/>
  <c r="AF549" i="5"/>
  <c r="AF499" i="5"/>
  <c r="AF476" i="5"/>
  <c r="AF462" i="5"/>
  <c r="AF435" i="5"/>
  <c r="AF309" i="5"/>
  <c r="AF275" i="5"/>
  <c r="AF210" i="5"/>
  <c r="AF136" i="5"/>
  <c r="AF28" i="5"/>
  <c r="AF71" i="5"/>
  <c r="AF153" i="5"/>
  <c r="AF179" i="5"/>
  <c r="AF177" i="5"/>
  <c r="AF308" i="5"/>
  <c r="AF234" i="5"/>
  <c r="AF274" i="5"/>
  <c r="AF254" i="5"/>
  <c r="AF334" i="5"/>
  <c r="AF403" i="5"/>
  <c r="AF41" i="5"/>
  <c r="AF106" i="5"/>
  <c r="AF181" i="5"/>
  <c r="AF178" i="5"/>
  <c r="AF237" i="5"/>
  <c r="AF259" i="5"/>
  <c r="AF305" i="5"/>
  <c r="AF368" i="5"/>
  <c r="AF347" i="5"/>
  <c r="AF384" i="5"/>
  <c r="AF458" i="5"/>
  <c r="AF143" i="5"/>
  <c r="AF124" i="5"/>
  <c r="AF66" i="5"/>
  <c r="AF211" i="5"/>
  <c r="AF122" i="5"/>
  <c r="AF147" i="5"/>
  <c r="AP147" i="5" s="1"/>
  <c r="AF99" i="5"/>
  <c r="AF53" i="5"/>
  <c r="AF36" i="5"/>
  <c r="AF13" i="5"/>
  <c r="AF537" i="5"/>
  <c r="AF540" i="5"/>
  <c r="AP540" i="5" s="1"/>
  <c r="AF415" i="5"/>
  <c r="AF151" i="5"/>
  <c r="AF501" i="5"/>
  <c r="AF180" i="5"/>
  <c r="AF547" i="5"/>
  <c r="AF408" i="5"/>
  <c r="AF24" i="5"/>
  <c r="AF548" i="5"/>
  <c r="AP548" i="5" s="1"/>
  <c r="AF223" i="5"/>
  <c r="AF338" i="5"/>
  <c r="AF319" i="5"/>
  <c r="AF92" i="5"/>
  <c r="AF502" i="5"/>
  <c r="AF424" i="5"/>
  <c r="AF428" i="5"/>
  <c r="AF233" i="5"/>
  <c r="AF67" i="5"/>
  <c r="AF557" i="5"/>
  <c r="AF528" i="5"/>
  <c r="AF345" i="5"/>
  <c r="AF527" i="5"/>
  <c r="AF363" i="5"/>
  <c r="AF340" i="5"/>
  <c r="AF328" i="5"/>
  <c r="AF220" i="5"/>
  <c r="AF98" i="5"/>
  <c r="AF538" i="5"/>
  <c r="AF431" i="5"/>
  <c r="AF465" i="5"/>
  <c r="AF452" i="5"/>
  <c r="AF400" i="5"/>
  <c r="AF239" i="5"/>
  <c r="AF218" i="5"/>
  <c r="AF139" i="5"/>
  <c r="AF150" i="5"/>
  <c r="AF32" i="5"/>
  <c r="AF87" i="5"/>
  <c r="AF114" i="5"/>
  <c r="AF209" i="5"/>
  <c r="AF202" i="5"/>
  <c r="AP202" i="5" s="1"/>
  <c r="AF325" i="5"/>
  <c r="AF267" i="5"/>
  <c r="AF301" i="5"/>
  <c r="AF283" i="5"/>
  <c r="AP283" i="5" s="1"/>
  <c r="AF346" i="5"/>
  <c r="AF425" i="5"/>
  <c r="AF60" i="5"/>
  <c r="AF148" i="5"/>
  <c r="AP148" i="5" s="1"/>
  <c r="AF137" i="5"/>
  <c r="AF195" i="5"/>
  <c r="AF246" i="5"/>
  <c r="AF271" i="5"/>
  <c r="AF326" i="5"/>
  <c r="AF386" i="5"/>
  <c r="AP386" i="5" s="1"/>
  <c r="AF369" i="5"/>
  <c r="AF399" i="5"/>
  <c r="AF475" i="5"/>
  <c r="AF115" i="5"/>
  <c r="AF104" i="5"/>
  <c r="AF47" i="5"/>
  <c r="AF189" i="5"/>
  <c r="AF184" i="5"/>
  <c r="AF133" i="5"/>
  <c r="AP133" i="5" s="1"/>
  <c r="AF100" i="5"/>
  <c r="AF30" i="5"/>
  <c r="AF45" i="5"/>
  <c r="AF11" i="5"/>
  <c r="AF534" i="5"/>
  <c r="AF531" i="5"/>
  <c r="AF337" i="5"/>
  <c r="AF494" i="5"/>
  <c r="AF382" i="5"/>
  <c r="AP382" i="5" s="1"/>
  <c r="AF89" i="5"/>
  <c r="AF551" i="5"/>
  <c r="AF373" i="5"/>
  <c r="AF553" i="5"/>
  <c r="AF552" i="5"/>
  <c r="AF480" i="5"/>
  <c r="AF375" i="5"/>
  <c r="AF258" i="5"/>
  <c r="AF23" i="5"/>
  <c r="AF535" i="5"/>
  <c r="AF533" i="5"/>
  <c r="AF355" i="5"/>
  <c r="AF242" i="5"/>
  <c r="AF20" i="5"/>
  <c r="AF508" i="5"/>
  <c r="AF519" i="5"/>
  <c r="AF507" i="5"/>
  <c r="AF515" i="5"/>
  <c r="AF314" i="5"/>
  <c r="AF260" i="5"/>
  <c r="AF299" i="5"/>
  <c r="AF82" i="5"/>
  <c r="AF29" i="5"/>
  <c r="AF443" i="5"/>
  <c r="AF374" i="5"/>
  <c r="AF454" i="5"/>
  <c r="AF423" i="5"/>
  <c r="AF263" i="5"/>
  <c r="AF407" i="5"/>
  <c r="AF300" i="5"/>
  <c r="AF222" i="5"/>
  <c r="AP222" i="5" s="1"/>
  <c r="AF111" i="5"/>
  <c r="AF34" i="5"/>
  <c r="AF84" i="5"/>
  <c r="AF145" i="5"/>
  <c r="AF229" i="5"/>
  <c r="AF214" i="5"/>
  <c r="AF171" i="5"/>
  <c r="AF284" i="5"/>
  <c r="AF349" i="5"/>
  <c r="AF312" i="5"/>
  <c r="AF370" i="5"/>
  <c r="AF436" i="5"/>
  <c r="AF49" i="5"/>
  <c r="AF102" i="5"/>
  <c r="AF175" i="5"/>
  <c r="AF217" i="5"/>
  <c r="AF270" i="5"/>
  <c r="AP270" i="5" s="1"/>
  <c r="AF291" i="5"/>
  <c r="AF341" i="5"/>
  <c r="AF396" i="5"/>
  <c r="AF385" i="5"/>
  <c r="AF416" i="5"/>
  <c r="AF174" i="5"/>
  <c r="AF88" i="5"/>
  <c r="AF95" i="5"/>
  <c r="AF65" i="5"/>
  <c r="AF158" i="5"/>
  <c r="AF169" i="5"/>
  <c r="AP169" i="5" s="1"/>
  <c r="AF125" i="5"/>
  <c r="AF83" i="5"/>
  <c r="AF58" i="5"/>
  <c r="AF482" i="5"/>
  <c r="AF487" i="5"/>
  <c r="AF90" i="5"/>
  <c r="AF481" i="5"/>
  <c r="AF280" i="5"/>
  <c r="AF19" i="5"/>
  <c r="AF294" i="5"/>
  <c r="AF356" i="5"/>
  <c r="AP356" i="5" s="1"/>
  <c r="AF421" i="5"/>
  <c r="AF310" i="5"/>
  <c r="AF59" i="5"/>
  <c r="AF492" i="5"/>
  <c r="AF365" i="5"/>
  <c r="AF190" i="5"/>
  <c r="AF73" i="5"/>
  <c r="AF191" i="5"/>
  <c r="AF302" i="5"/>
  <c r="AF418" i="5"/>
  <c r="AF77" i="5"/>
  <c r="AF230" i="5"/>
  <c r="AF290" i="5"/>
  <c r="AF249" i="5"/>
  <c r="AF149" i="5"/>
  <c r="AF21" i="5"/>
  <c r="AF105" i="5"/>
  <c r="AF245" i="5"/>
  <c r="AF427" i="5"/>
  <c r="AF555" i="5"/>
  <c r="AF543" i="5"/>
  <c r="AF391" i="5"/>
  <c r="AF509" i="5"/>
  <c r="AF286" i="5"/>
  <c r="AF530" i="5"/>
  <c r="AF491" i="5"/>
  <c r="AF296" i="5"/>
  <c r="AF50" i="5"/>
  <c r="AF440" i="5"/>
  <c r="AF353" i="5"/>
  <c r="AF224" i="5"/>
  <c r="AF94" i="5"/>
  <c r="AF236" i="5"/>
  <c r="AF321" i="5"/>
  <c r="AF380" i="5"/>
  <c r="AF86" i="5"/>
  <c r="AF238" i="5"/>
  <c r="AF358" i="5"/>
  <c r="AF371" i="5"/>
  <c r="AF131" i="5"/>
  <c r="AF192" i="5"/>
  <c r="AP192" i="5" s="1"/>
  <c r="AF85" i="5"/>
  <c r="AF445" i="5"/>
  <c r="AF505" i="5"/>
  <c r="AF495" i="5"/>
  <c r="AF469" i="5"/>
  <c r="AF262" i="5"/>
  <c r="AF479" i="5"/>
  <c r="AF176" i="5"/>
  <c r="AP176" i="5" s="1"/>
  <c r="AF322" i="5"/>
  <c r="AF460" i="5"/>
  <c r="AF276" i="5"/>
  <c r="AF493" i="5"/>
  <c r="AF420" i="5"/>
  <c r="AF376" i="5"/>
  <c r="AF108" i="5"/>
  <c r="AF126" i="5"/>
  <c r="AF231" i="5"/>
  <c r="AF252" i="5"/>
  <c r="AF395" i="5"/>
  <c r="AF123" i="5"/>
  <c r="AF219" i="5"/>
  <c r="AF255" i="5"/>
  <c r="AF348" i="5"/>
  <c r="AF156" i="5"/>
  <c r="AF168" i="5"/>
  <c r="AF97" i="5"/>
  <c r="AF10" i="5"/>
  <c r="AF521" i="5"/>
  <c r="AP521" i="5" s="1"/>
  <c r="AF417" i="5"/>
  <c r="AF366" i="5"/>
  <c r="AF556" i="5"/>
  <c r="AF197" i="5"/>
  <c r="AF504" i="5"/>
  <c r="AF161" i="5"/>
  <c r="AF503" i="5"/>
  <c r="AF419" i="5"/>
  <c r="AF241" i="5"/>
  <c r="AF542" i="5"/>
  <c r="AF477" i="5"/>
  <c r="AF342" i="5"/>
  <c r="AF101" i="5"/>
  <c r="AF135" i="5"/>
  <c r="AF201" i="5"/>
  <c r="AF367" i="5"/>
  <c r="AF388" i="5"/>
  <c r="AF140" i="5"/>
  <c r="AF282" i="5"/>
  <c r="AF354" i="5"/>
  <c r="AF394" i="5"/>
  <c r="AF57" i="5"/>
  <c r="AF152" i="5"/>
  <c r="AF48" i="5"/>
  <c r="AF31" i="5"/>
  <c r="AF453" i="5"/>
  <c r="AF438" i="5"/>
  <c r="AF387" i="5"/>
  <c r="AF470" i="5"/>
  <c r="AF212" i="5"/>
  <c r="AF497" i="5"/>
  <c r="AF68" i="5"/>
  <c r="AF484" i="5"/>
  <c r="AF390" i="5"/>
  <c r="AF221" i="5"/>
  <c r="AF558" i="5"/>
  <c r="AF359" i="5"/>
  <c r="AF317" i="5"/>
  <c r="AF80" i="5"/>
  <c r="AF170" i="5"/>
  <c r="AF292" i="5"/>
  <c r="AF381" i="5"/>
  <c r="AF456" i="5"/>
  <c r="AF120" i="5"/>
  <c r="AF297" i="5"/>
  <c r="AF410" i="5"/>
  <c r="AF442" i="5"/>
  <c r="AF61" i="5"/>
  <c r="AF138" i="5"/>
  <c r="AF76" i="5"/>
  <c r="AF8" i="5"/>
  <c r="AF273" i="5"/>
  <c r="AF289" i="5"/>
  <c r="AF329" i="5"/>
  <c r="AF457" i="5"/>
  <c r="AF113" i="5"/>
  <c r="AF447" i="5"/>
  <c r="AF524" i="5"/>
  <c r="AF449" i="5"/>
  <c r="AF351" i="5"/>
  <c r="AF185" i="5"/>
  <c r="AF546" i="5"/>
  <c r="AF532" i="5"/>
  <c r="AF264" i="5"/>
  <c r="AF51" i="5"/>
  <c r="AP51" i="5" s="1"/>
  <c r="AF119" i="5"/>
  <c r="AF253" i="5"/>
  <c r="AF441" i="5"/>
  <c r="AF472" i="5"/>
  <c r="AF166" i="5"/>
  <c r="AF183" i="5"/>
  <c r="AF193" i="5"/>
  <c r="AF118" i="5"/>
  <c r="AF69" i="5"/>
  <c r="AF141" i="5"/>
  <c r="AP141" i="5" s="1"/>
  <c r="AF72" i="5"/>
  <c r="AF522" i="5"/>
  <c r="AF287" i="5"/>
  <c r="AF379" i="5"/>
  <c r="AP379" i="5" s="1"/>
  <c r="AF206" i="5"/>
  <c r="AF378" i="5"/>
  <c r="AF165" i="5"/>
  <c r="AF414" i="5"/>
  <c r="AF489" i="5"/>
  <c r="AF486" i="5"/>
  <c r="AF405" i="5"/>
  <c r="AF188" i="5"/>
  <c r="AF554" i="5"/>
  <c r="AF464" i="5"/>
  <c r="AF333" i="5"/>
  <c r="AF26" i="5"/>
  <c r="AP26" i="5" s="1"/>
  <c r="AF200" i="5"/>
  <c r="AF269" i="5"/>
  <c r="AF343" i="5"/>
  <c r="AF43" i="5"/>
  <c r="AP43" i="5" s="1"/>
  <c r="AF204" i="5"/>
  <c r="AF307" i="5"/>
  <c r="AF315" i="5"/>
  <c r="AF162" i="5"/>
  <c r="AF52" i="5"/>
  <c r="AF154" i="5"/>
  <c r="AF62" i="5"/>
  <c r="AF466" i="5"/>
  <c r="AF196" i="5"/>
  <c r="AF339" i="5"/>
  <c r="AF450" i="5"/>
  <c r="AF422" i="5"/>
  <c r="AF129" i="5"/>
  <c r="AP129" i="5" s="1"/>
  <c r="AF360" i="5"/>
  <c r="AF401" i="5"/>
  <c r="AF474" i="5"/>
  <c r="AF344" i="5"/>
  <c r="AF110" i="5"/>
  <c r="AF529" i="5"/>
  <c r="AF392" i="5"/>
  <c r="AF244" i="5"/>
  <c r="AF56" i="5"/>
  <c r="AF251" i="5"/>
  <c r="AF323" i="5"/>
  <c r="AF361" i="5"/>
  <c r="AF38" i="5"/>
  <c r="AF232" i="5"/>
  <c r="AF198" i="5"/>
  <c r="AF411" i="5"/>
  <c r="AF163" i="5"/>
  <c r="AF25" i="5"/>
  <c r="AF112" i="5"/>
  <c r="AF22" i="5"/>
  <c r="AI462" i="5"/>
  <c r="AH462" i="5"/>
  <c r="AI338" i="5"/>
  <c r="AH338" i="5"/>
  <c r="AH245" i="5"/>
  <c r="AI245" i="5"/>
  <c r="AI70" i="5"/>
  <c r="AH70" i="5"/>
  <c r="AH486" i="5"/>
  <c r="AI486" i="5"/>
  <c r="AI340" i="5"/>
  <c r="AH340" i="5"/>
  <c r="AH210" i="5"/>
  <c r="AI210" i="5"/>
  <c r="AH78" i="5"/>
  <c r="AI78" i="5"/>
  <c r="AI524" i="5"/>
  <c r="AH524" i="5"/>
  <c r="AI381" i="5"/>
  <c r="AH381" i="5"/>
  <c r="AI205" i="5"/>
  <c r="AH205" i="5"/>
  <c r="AH138" i="5"/>
  <c r="AI138" i="5"/>
  <c r="AH428" i="5"/>
  <c r="AI428" i="5"/>
  <c r="AI418" i="5"/>
  <c r="AH418" i="5"/>
  <c r="AI348" i="5"/>
  <c r="AH348" i="5"/>
  <c r="AH252" i="5"/>
  <c r="AI252" i="5"/>
  <c r="AI45" i="5"/>
  <c r="AH45" i="5"/>
  <c r="AI380" i="5"/>
  <c r="AH380" i="5"/>
  <c r="AH417" i="5"/>
  <c r="AI417" i="5"/>
  <c r="AH281" i="5"/>
  <c r="AI281" i="5"/>
  <c r="AH233" i="5"/>
  <c r="AI233" i="5"/>
  <c r="AI130" i="5"/>
  <c r="AH130" i="5"/>
  <c r="AH42" i="5"/>
  <c r="AI42" i="5"/>
  <c r="AN520" i="5"/>
  <c r="AO520" i="5"/>
  <c r="AN346" i="5"/>
  <c r="AO346" i="5"/>
  <c r="AN173" i="5"/>
  <c r="AO173" i="5"/>
  <c r="AN458" i="5"/>
  <c r="AO458" i="5"/>
  <c r="AN298" i="5"/>
  <c r="AO298" i="5"/>
  <c r="AN38" i="5"/>
  <c r="AO38" i="5"/>
  <c r="AO484" i="5"/>
  <c r="AN484" i="5"/>
  <c r="AN389" i="5"/>
  <c r="AO389" i="5"/>
  <c r="AN204" i="5"/>
  <c r="AO204" i="5"/>
  <c r="AO28" i="5"/>
  <c r="AN28" i="5"/>
  <c r="AO493" i="5"/>
  <c r="AN493" i="5"/>
  <c r="AO338" i="5"/>
  <c r="AN338" i="5"/>
  <c r="AN141" i="5"/>
  <c r="AO141" i="5"/>
  <c r="AO481" i="5"/>
  <c r="AN481" i="5"/>
  <c r="AN394" i="5"/>
  <c r="AO394" i="5"/>
  <c r="AO358" i="5"/>
  <c r="AN358" i="5"/>
  <c r="AO161" i="5"/>
  <c r="AN161" i="5"/>
  <c r="AN110" i="5"/>
  <c r="AO110" i="5"/>
  <c r="AS83" i="4"/>
  <c r="U83" i="4"/>
  <c r="AS90" i="4"/>
  <c r="V90" i="4"/>
  <c r="U90" i="4"/>
  <c r="AS17" i="4"/>
  <c r="U17" i="4"/>
  <c r="V17" i="4"/>
  <c r="V149" i="4"/>
  <c r="V156" i="4"/>
  <c r="AS156" i="4"/>
  <c r="U156" i="4"/>
  <c r="U139" i="4"/>
  <c r="AS139" i="4"/>
  <c r="V139" i="4"/>
  <c r="U146" i="4"/>
  <c r="AS28" i="4"/>
  <c r="U28" i="4"/>
  <c r="V28" i="4"/>
  <c r="AS136" i="4"/>
  <c r="U136" i="4"/>
  <c r="V136" i="4"/>
  <c r="AH525" i="5"/>
  <c r="AI525" i="5"/>
  <c r="AN431" i="5"/>
  <c r="AO431" i="5"/>
  <c r="AN455" i="5"/>
  <c r="AO455" i="5"/>
  <c r="AI495" i="5"/>
  <c r="AH495" i="5"/>
  <c r="AH335" i="5"/>
  <c r="AI335" i="5"/>
  <c r="AJ367" i="5"/>
  <c r="AJ223" i="5"/>
  <c r="U255" i="5"/>
  <c r="V255" i="5"/>
  <c r="AJ303" i="5"/>
  <c r="AI127" i="5"/>
  <c r="AH127" i="5"/>
  <c r="AI159" i="5"/>
  <c r="AH159" i="5"/>
  <c r="AI175" i="5"/>
  <c r="AH175" i="5"/>
  <c r="AI47" i="5"/>
  <c r="AH47" i="5"/>
  <c r="AI87" i="5"/>
  <c r="AH87" i="5"/>
  <c r="AJ111" i="5"/>
  <c r="V179" i="5"/>
  <c r="U179" i="5"/>
  <c r="U49" i="5"/>
  <c r="V49" i="5"/>
  <c r="U197" i="5"/>
  <c r="V197" i="5"/>
  <c r="U68" i="5"/>
  <c r="V68" i="5"/>
  <c r="U148" i="5"/>
  <c r="V148" i="5"/>
  <c r="AJ7" i="5"/>
  <c r="AG7" i="5"/>
  <c r="AM7" i="5"/>
  <c r="T7" i="5"/>
  <c r="Q7" i="5"/>
  <c r="W7" i="5"/>
  <c r="AI432" i="5"/>
  <c r="AH432" i="5"/>
  <c r="AH496" i="5"/>
  <c r="AI496" i="5"/>
  <c r="AI328" i="5"/>
  <c r="AH328" i="5"/>
  <c r="AJ368" i="5"/>
  <c r="AJ416" i="5"/>
  <c r="AJ240" i="5"/>
  <c r="AI280" i="5"/>
  <c r="AH280" i="5"/>
  <c r="AO312" i="5"/>
  <c r="AN312" i="5"/>
  <c r="AJ144" i="5"/>
  <c r="AH176" i="5"/>
  <c r="AI176" i="5"/>
  <c r="U200" i="5"/>
  <c r="V200" i="5"/>
  <c r="AJ32" i="5"/>
  <c r="AJ56" i="5"/>
  <c r="AO72" i="5"/>
  <c r="AN72" i="5"/>
  <c r="AI104" i="5"/>
  <c r="AH104" i="5"/>
  <c r="V50" i="4"/>
  <c r="V131" i="4"/>
  <c r="AK187" i="5"/>
  <c r="AL187" i="5"/>
  <c r="AO195" i="5"/>
  <c r="AN195" i="5"/>
  <c r="AK521" i="5"/>
  <c r="AL521" i="5"/>
  <c r="AH129" i="5"/>
  <c r="AI129" i="5"/>
  <c r="AK153" i="5"/>
  <c r="AO235" i="5"/>
  <c r="AN235" i="5"/>
  <c r="AI283" i="5"/>
  <c r="AH283" i="5"/>
  <c r="AK147" i="5"/>
  <c r="AL147" i="5"/>
  <c r="AN41" i="5"/>
  <c r="AO41" i="5"/>
  <c r="AO459" i="5"/>
  <c r="AN459" i="5"/>
  <c r="AH387" i="5"/>
  <c r="AI387" i="5"/>
  <c r="AJ97" i="5"/>
  <c r="AJ459" i="5"/>
  <c r="AJ541" i="5"/>
  <c r="AJ35" i="5"/>
  <c r="AJ99" i="5"/>
  <c r="AJ8" i="5"/>
  <c r="AI560" i="5"/>
  <c r="AH560" i="5"/>
  <c r="AI434" i="5"/>
  <c r="AH434" i="5"/>
  <c r="AH300" i="5"/>
  <c r="AI300" i="5"/>
  <c r="AI194" i="5"/>
  <c r="AH194" i="5"/>
  <c r="AI58" i="5"/>
  <c r="AH58" i="5"/>
  <c r="AI460" i="5"/>
  <c r="AH460" i="5"/>
  <c r="AH262" i="5"/>
  <c r="AI262" i="5"/>
  <c r="AI314" i="5"/>
  <c r="AH314" i="5"/>
  <c r="AH69" i="5"/>
  <c r="AI69" i="5"/>
  <c r="AH302" i="5"/>
  <c r="AI302" i="5"/>
  <c r="AI333" i="5"/>
  <c r="AH333" i="5"/>
  <c r="AI238" i="5"/>
  <c r="AH238" i="5"/>
  <c r="AH109" i="5"/>
  <c r="AI109" i="5"/>
  <c r="AI540" i="5"/>
  <c r="AH540" i="5"/>
  <c r="AH405" i="5"/>
  <c r="AI405" i="5"/>
  <c r="AI318" i="5"/>
  <c r="AH318" i="5"/>
  <c r="AI212" i="5"/>
  <c r="AH212" i="5"/>
  <c r="AI544" i="5"/>
  <c r="AH544" i="5"/>
  <c r="AH548" i="5"/>
  <c r="AI548" i="5"/>
  <c r="AI396" i="5"/>
  <c r="AH396" i="5"/>
  <c r="AI237" i="5"/>
  <c r="AH237" i="5"/>
  <c r="AH229" i="5"/>
  <c r="AI229" i="5"/>
  <c r="AH92" i="5"/>
  <c r="AI92" i="5"/>
  <c r="AH38" i="5"/>
  <c r="AI38" i="5"/>
  <c r="AO434" i="5"/>
  <c r="AN434" i="5"/>
  <c r="AO306" i="5"/>
  <c r="AN306" i="5"/>
  <c r="AN122" i="5"/>
  <c r="AO122" i="5"/>
  <c r="AO437" i="5"/>
  <c r="AN437" i="5"/>
  <c r="AO354" i="5"/>
  <c r="AN354" i="5"/>
  <c r="AN282" i="5"/>
  <c r="AO282" i="5"/>
  <c r="AN26" i="5"/>
  <c r="AO26" i="5"/>
  <c r="AN293" i="5"/>
  <c r="AO293" i="5"/>
  <c r="AN205" i="5"/>
  <c r="AO205" i="5"/>
  <c r="AO42" i="5"/>
  <c r="AN42" i="5"/>
  <c r="AO514" i="5"/>
  <c r="AN514" i="5"/>
  <c r="AN206" i="5"/>
  <c r="AO206" i="5"/>
  <c r="AN149" i="5"/>
  <c r="AO149" i="5"/>
  <c r="AO530" i="5"/>
  <c r="AN530" i="5"/>
  <c r="AN422" i="5"/>
  <c r="AO422" i="5"/>
  <c r="AO332" i="5"/>
  <c r="AN332" i="5"/>
  <c r="AO194" i="5"/>
  <c r="AN194" i="5"/>
  <c r="AO105" i="5"/>
  <c r="AN105" i="5"/>
  <c r="V51" i="4"/>
  <c r="AS51" i="4"/>
  <c r="U51" i="4"/>
  <c r="U58" i="4"/>
  <c r="AS117" i="4"/>
  <c r="V124" i="4"/>
  <c r="AS124" i="4"/>
  <c r="U124" i="4"/>
  <c r="AS107" i="4"/>
  <c r="U107" i="4"/>
  <c r="V107" i="4"/>
  <c r="AS114" i="4"/>
  <c r="U114" i="4"/>
  <c r="V104" i="4"/>
  <c r="AS104" i="4"/>
  <c r="U104" i="4"/>
  <c r="V113" i="4"/>
  <c r="AS113" i="4"/>
  <c r="U113" i="4"/>
  <c r="AO525" i="5"/>
  <c r="AN525" i="5"/>
  <c r="AJ439" i="5"/>
  <c r="AO463" i="5"/>
  <c r="AN463" i="5"/>
  <c r="AN335" i="5"/>
  <c r="AO335" i="5"/>
  <c r="AI223" i="5"/>
  <c r="AH223" i="5"/>
  <c r="AI255" i="5"/>
  <c r="AH255" i="5"/>
  <c r="AJ311" i="5"/>
  <c r="AN127" i="5"/>
  <c r="AO127" i="5"/>
  <c r="AN159" i="5"/>
  <c r="AO159" i="5"/>
  <c r="AJ183" i="5"/>
  <c r="AH23" i="5"/>
  <c r="AI23" i="5"/>
  <c r="AJ55" i="5"/>
  <c r="AO87" i="5"/>
  <c r="AN87" i="5"/>
  <c r="V278" i="5"/>
  <c r="U62" i="5"/>
  <c r="V62" i="5"/>
  <c r="U209" i="5"/>
  <c r="V209" i="5"/>
  <c r="U116" i="5"/>
  <c r="V116" i="5"/>
  <c r="U29" i="5"/>
  <c r="V29" i="5"/>
  <c r="AO554" i="5"/>
  <c r="AN554" i="5"/>
  <c r="AJ432" i="5"/>
  <c r="AN496" i="5"/>
  <c r="AO496" i="5"/>
  <c r="AJ328" i="5"/>
  <c r="AI368" i="5"/>
  <c r="AH368" i="5"/>
  <c r="AJ224" i="5"/>
  <c r="AN256" i="5"/>
  <c r="AO256" i="5"/>
  <c r="AJ280" i="5"/>
  <c r="U120" i="5"/>
  <c r="V120" i="5"/>
  <c r="AJ152" i="5"/>
  <c r="AO176" i="5"/>
  <c r="AN176" i="5"/>
  <c r="AJ200" i="5"/>
  <c r="AJ40" i="5"/>
  <c r="AI56" i="5"/>
  <c r="AH56" i="5"/>
  <c r="AJ88" i="5"/>
  <c r="AO112" i="5"/>
  <c r="AN112" i="5"/>
  <c r="AJ217" i="5"/>
  <c r="V114" i="4"/>
  <c r="AP510" i="5" l="1"/>
  <c r="U8" i="4"/>
  <c r="AH100" i="5"/>
  <c r="AI100" i="5"/>
  <c r="AH74" i="5"/>
  <c r="AI74" i="5"/>
  <c r="AI414" i="5"/>
  <c r="AH414" i="5"/>
  <c r="AH124" i="5"/>
  <c r="AI124" i="5"/>
  <c r="AH206" i="5"/>
  <c r="AI206" i="5"/>
  <c r="AH125" i="5"/>
  <c r="AI125" i="5"/>
  <c r="AI442" i="5"/>
  <c r="AH442" i="5"/>
  <c r="AP234" i="5"/>
  <c r="V120" i="4"/>
  <c r="AS85" i="4"/>
  <c r="V143" i="4"/>
  <c r="AM143" i="4" s="1"/>
  <c r="AH168" i="5"/>
  <c r="AI168" i="5"/>
  <c r="AH132" i="5"/>
  <c r="AI132" i="5"/>
  <c r="AH503" i="5"/>
  <c r="AI503" i="5"/>
  <c r="AH247" i="5"/>
  <c r="AI247" i="5"/>
  <c r="AP394" i="5"/>
  <c r="U120" i="4"/>
  <c r="U72" i="4"/>
  <c r="AS120" i="4"/>
  <c r="U82" i="4"/>
  <c r="U44" i="4"/>
  <c r="AH163" i="5"/>
  <c r="AI163" i="5"/>
  <c r="AI292" i="5"/>
  <c r="AH292" i="5"/>
  <c r="AS82" i="4"/>
  <c r="AS44" i="4"/>
  <c r="AN259" i="5"/>
  <c r="AI435" i="5"/>
  <c r="AH435" i="5"/>
  <c r="V82" i="4"/>
  <c r="V44" i="4"/>
  <c r="AP307" i="5"/>
  <c r="AP227" i="5"/>
  <c r="AP313" i="5"/>
  <c r="U138" i="4"/>
  <c r="AH138" i="4" s="1"/>
  <c r="U60" i="4"/>
  <c r="AS8" i="4"/>
  <c r="AS24" i="4"/>
  <c r="AI481" i="5"/>
  <c r="AH481" i="5"/>
  <c r="AI311" i="5"/>
  <c r="AH311" i="5"/>
  <c r="AH61" i="5"/>
  <c r="AI61" i="5"/>
  <c r="AP465" i="5"/>
  <c r="AL465" i="5"/>
  <c r="AP552" i="5"/>
  <c r="AS138" i="4"/>
  <c r="U151" i="4"/>
  <c r="V8" i="4"/>
  <c r="AH265" i="5"/>
  <c r="AI265" i="5"/>
  <c r="AI298" i="5"/>
  <c r="AH298" i="5"/>
  <c r="S526" i="5"/>
  <c r="AO209" i="5"/>
  <c r="AN462" i="5"/>
  <c r="AP371" i="5"/>
  <c r="AN240" i="5"/>
  <c r="V219" i="5"/>
  <c r="AN467" i="5"/>
  <c r="AS126" i="4"/>
  <c r="U38" i="4"/>
  <c r="V102" i="4"/>
  <c r="AO58" i="5"/>
  <c r="AN61" i="5"/>
  <c r="U77" i="5"/>
  <c r="AO132" i="5"/>
  <c r="AO114" i="5"/>
  <c r="AO106" i="5"/>
  <c r="V49" i="4"/>
  <c r="V47" i="4"/>
  <c r="AO433" i="5"/>
  <c r="U71" i="4"/>
  <c r="V91" i="4"/>
  <c r="AM91" i="4" s="1"/>
  <c r="AN91" i="4" s="1"/>
  <c r="V127" i="4"/>
  <c r="AM127" i="4" s="1"/>
  <c r="AN127" i="4" s="1"/>
  <c r="AS38" i="4"/>
  <c r="U141" i="4"/>
  <c r="AH141" i="4" s="1"/>
  <c r="U73" i="4"/>
  <c r="V29" i="4"/>
  <c r="AL371" i="5"/>
  <c r="AN81" i="5"/>
  <c r="AS97" i="4"/>
  <c r="U49" i="4"/>
  <c r="AH49" i="4" s="1"/>
  <c r="U86" i="5"/>
  <c r="AS47" i="4"/>
  <c r="AS71" i="4"/>
  <c r="AS111" i="4"/>
  <c r="U70" i="4"/>
  <c r="U127" i="4"/>
  <c r="V38" i="4"/>
  <c r="V136" i="5"/>
  <c r="AO491" i="5"/>
  <c r="AS11" i="4"/>
  <c r="V182" i="5"/>
  <c r="U29" i="4"/>
  <c r="AO24" i="5"/>
  <c r="AN384" i="5"/>
  <c r="AN444" i="5"/>
  <c r="AO447" i="5"/>
  <c r="AS49" i="4"/>
  <c r="V116" i="4"/>
  <c r="W116" i="4" s="1"/>
  <c r="V111" i="4"/>
  <c r="AN140" i="5"/>
  <c r="U100" i="4"/>
  <c r="AN267" i="5"/>
  <c r="AO555" i="5"/>
  <c r="V18" i="4"/>
  <c r="AM18" i="4" s="1"/>
  <c r="AN18" i="4" s="1"/>
  <c r="V97" i="4"/>
  <c r="W97" i="4" s="1"/>
  <c r="Y97" i="4" s="1"/>
  <c r="AS29" i="4"/>
  <c r="AO550" i="5"/>
  <c r="AP166" i="5"/>
  <c r="AP65" i="5"/>
  <c r="U55" i="4"/>
  <c r="AN396" i="5"/>
  <c r="U97" i="4"/>
  <c r="AH97" i="4" s="1"/>
  <c r="V167" i="5"/>
  <c r="AN412" i="5"/>
  <c r="AO450" i="5"/>
  <c r="U116" i="4"/>
  <c r="U30" i="4"/>
  <c r="U111" i="4"/>
  <c r="AS100" i="4"/>
  <c r="AO504" i="5"/>
  <c r="AN65" i="5"/>
  <c r="AO49" i="5"/>
  <c r="AN557" i="5"/>
  <c r="Y365" i="5"/>
  <c r="U76" i="4"/>
  <c r="AP491" i="5"/>
  <c r="AS55" i="4"/>
  <c r="AO116" i="5"/>
  <c r="V103" i="5"/>
  <c r="AS60" i="4"/>
  <c r="AN397" i="5"/>
  <c r="AS116" i="4"/>
  <c r="V86" i="4"/>
  <c r="V100" i="4"/>
  <c r="AS70" i="4"/>
  <c r="U10" i="4"/>
  <c r="AH10" i="4" s="1"/>
  <c r="AS76" i="4"/>
  <c r="V55" i="4"/>
  <c r="AM55" i="4" s="1"/>
  <c r="AN55" i="4" s="1"/>
  <c r="V11" i="4"/>
  <c r="V60" i="4"/>
  <c r="U68" i="4"/>
  <c r="V126" i="4"/>
  <c r="W126" i="4" s="1"/>
  <c r="X126" i="4" s="1"/>
  <c r="AJ126" i="4" s="1"/>
  <c r="U86" i="4"/>
  <c r="V30" i="4"/>
  <c r="AM30" i="4" s="1"/>
  <c r="AN30" i="4" s="1"/>
  <c r="V70" i="4"/>
  <c r="W70" i="4" s="1"/>
  <c r="Y70" i="4" s="1"/>
  <c r="Z70" i="4" s="1"/>
  <c r="U102" i="4"/>
  <c r="AH102" i="4" s="1"/>
  <c r="AO225" i="5"/>
  <c r="AP273" i="5"/>
  <c r="V23" i="5"/>
  <c r="AS25" i="4"/>
  <c r="V104" i="5"/>
  <c r="AO432" i="5"/>
  <c r="U48" i="4"/>
  <c r="AO252" i="5"/>
  <c r="AO264" i="5"/>
  <c r="V106" i="4"/>
  <c r="V46" i="5"/>
  <c r="AN199" i="5"/>
  <c r="AO56" i="5"/>
  <c r="AN406" i="5"/>
  <c r="AS52" i="4"/>
  <c r="AO212" i="5"/>
  <c r="AO88" i="5"/>
  <c r="V146" i="4"/>
  <c r="AP25" i="5"/>
  <c r="AP287" i="5"/>
  <c r="AP410" i="5"/>
  <c r="AP135" i="5"/>
  <c r="AP380" i="5"/>
  <c r="AP153" i="5"/>
  <c r="AS48" i="4"/>
  <c r="U106" i="4"/>
  <c r="AS31" i="4"/>
  <c r="AO371" i="5"/>
  <c r="AN363" i="5"/>
  <c r="AP225" i="5"/>
  <c r="AO239" i="5"/>
  <c r="AN420" i="5"/>
  <c r="V60" i="5"/>
  <c r="V48" i="5"/>
  <c r="V147" i="5"/>
  <c r="V75" i="4"/>
  <c r="AM75" i="4" s="1"/>
  <c r="AN75" i="4" s="1"/>
  <c r="U95" i="4"/>
  <c r="AS146" i="4"/>
  <c r="AP105" i="5"/>
  <c r="V234" i="5"/>
  <c r="AP214" i="5"/>
  <c r="AP527" i="5"/>
  <c r="AP199" i="5"/>
  <c r="AP250" i="5"/>
  <c r="AS110" i="4"/>
  <c r="U75" i="4"/>
  <c r="AH75" i="4" s="1"/>
  <c r="AS95" i="4"/>
  <c r="AO415" i="5"/>
  <c r="AN415" i="5"/>
  <c r="V74" i="4"/>
  <c r="U25" i="4"/>
  <c r="V110" i="4"/>
  <c r="AL225" i="5"/>
  <c r="AO451" i="5"/>
  <c r="AN451" i="5"/>
  <c r="AS7" i="4"/>
  <c r="V118" i="4"/>
  <c r="AM118" i="4" s="1"/>
  <c r="AO331" i="5"/>
  <c r="AN331" i="5"/>
  <c r="AI388" i="5"/>
  <c r="AH388" i="5"/>
  <c r="AH331" i="5"/>
  <c r="AI331" i="5"/>
  <c r="AH52" i="5"/>
  <c r="AI52" i="5"/>
  <c r="AH263" i="5"/>
  <c r="AI263" i="5"/>
  <c r="AN51" i="5"/>
  <c r="AO51" i="5"/>
  <c r="AP556" i="5"/>
  <c r="AP58" i="5"/>
  <c r="AP175" i="5"/>
  <c r="AP130" i="5"/>
  <c r="V25" i="4"/>
  <c r="U257" i="5"/>
  <c r="AS75" i="4"/>
  <c r="V63" i="4"/>
  <c r="S480" i="5"/>
  <c r="V35" i="4"/>
  <c r="AM35" i="4" s="1"/>
  <c r="AN35" i="4" s="1"/>
  <c r="V76" i="4"/>
  <c r="AM76" i="4" s="1"/>
  <c r="AN76" i="4" s="1"/>
  <c r="AI399" i="5"/>
  <c r="AH399" i="5"/>
  <c r="AH329" i="5"/>
  <c r="AI329" i="5"/>
  <c r="AO499" i="5"/>
  <c r="AN499" i="5"/>
  <c r="AP333" i="5"/>
  <c r="U63" i="4"/>
  <c r="AH63" i="4" s="1"/>
  <c r="AS35" i="4"/>
  <c r="V9" i="4"/>
  <c r="AI369" i="5"/>
  <c r="AH369" i="5"/>
  <c r="AI241" i="5"/>
  <c r="AH241" i="5"/>
  <c r="AH431" i="5"/>
  <c r="AI431" i="5"/>
  <c r="AN427" i="5"/>
  <c r="AO427" i="5"/>
  <c r="AN539" i="5"/>
  <c r="AO539" i="5"/>
  <c r="AP354" i="5"/>
  <c r="AP450" i="5"/>
  <c r="AP324" i="5"/>
  <c r="U35" i="4"/>
  <c r="AH35" i="4" s="1"/>
  <c r="AS63" i="4"/>
  <c r="U12" i="4"/>
  <c r="U9" i="4"/>
  <c r="AO305" i="5"/>
  <c r="AH53" i="5"/>
  <c r="AI53" i="5"/>
  <c r="AI95" i="5"/>
  <c r="AH95" i="5"/>
  <c r="AI191" i="5"/>
  <c r="AH191" i="5"/>
  <c r="AN73" i="5"/>
  <c r="AO73" i="5"/>
  <c r="AP432" i="5"/>
  <c r="AP69" i="5"/>
  <c r="AP390" i="5"/>
  <c r="AP178" i="5"/>
  <c r="AP355" i="5"/>
  <c r="AP217" i="5"/>
  <c r="AP290" i="5"/>
  <c r="AP365" i="5"/>
  <c r="AP396" i="5"/>
  <c r="AP314" i="5"/>
  <c r="AP301" i="5"/>
  <c r="AP528" i="5"/>
  <c r="AP173" i="5"/>
  <c r="U74" i="4"/>
  <c r="AS106" i="4"/>
  <c r="V31" i="4"/>
  <c r="U110" i="4"/>
  <c r="AP348" i="5"/>
  <c r="AP387" i="5"/>
  <c r="AK105" i="5"/>
  <c r="V123" i="4"/>
  <c r="R554" i="5"/>
  <c r="AS12" i="4"/>
  <c r="AS9" i="4"/>
  <c r="U84" i="4"/>
  <c r="AI543" i="5"/>
  <c r="AH543" i="5"/>
  <c r="AH150" i="5"/>
  <c r="AI150" i="5"/>
  <c r="AI43" i="5"/>
  <c r="AH43" i="5"/>
  <c r="AN313" i="5"/>
  <c r="AO313" i="5"/>
  <c r="AO108" i="5"/>
  <c r="AN108" i="5"/>
  <c r="AP494" i="5"/>
  <c r="AP520" i="5"/>
  <c r="AP48" i="5"/>
  <c r="AP267" i="5"/>
  <c r="AP338" i="5"/>
  <c r="AP332" i="5"/>
  <c r="AP157" i="5"/>
  <c r="AP304" i="5"/>
  <c r="V48" i="4"/>
  <c r="AM48" i="4" s="1"/>
  <c r="AN48" i="4" s="1"/>
  <c r="AS74" i="4"/>
  <c r="U31" i="4"/>
  <c r="AP434" i="5"/>
  <c r="U7" i="4"/>
  <c r="U123" i="4"/>
  <c r="V52" i="4"/>
  <c r="W52" i="4" s="1"/>
  <c r="AN273" i="5"/>
  <c r="AO416" i="5"/>
  <c r="AH325" i="5"/>
  <c r="AI325" i="5"/>
  <c r="AI541" i="5"/>
  <c r="AH541" i="5"/>
  <c r="AP405" i="5"/>
  <c r="AP212" i="5"/>
  <c r="AP461" i="5"/>
  <c r="V7" i="4"/>
  <c r="AM7" i="4" s="1"/>
  <c r="AN7" i="4" s="1"/>
  <c r="AS123" i="4"/>
  <c r="U52" i="4"/>
  <c r="V95" i="4"/>
  <c r="AH430" i="5"/>
  <c r="AI430" i="5"/>
  <c r="AI342" i="5"/>
  <c r="AH342" i="5"/>
  <c r="AN171" i="5"/>
  <c r="AO171" i="5"/>
  <c r="B24" i="2"/>
  <c r="R88" i="5"/>
  <c r="R328" i="5"/>
  <c r="Y65" i="5"/>
  <c r="Y135" i="5"/>
  <c r="Y181" i="5"/>
  <c r="Y416" i="5"/>
  <c r="X206" i="5"/>
  <c r="X204" i="5"/>
  <c r="X74" i="5"/>
  <c r="Z560" i="5"/>
  <c r="AA560" i="5" s="1"/>
  <c r="Z552" i="5"/>
  <c r="AB552" i="5" s="1"/>
  <c r="Z544" i="5"/>
  <c r="AB544" i="5" s="1"/>
  <c r="Z536" i="5"/>
  <c r="Z528" i="5"/>
  <c r="Z520" i="5"/>
  <c r="AB520" i="5" s="1"/>
  <c r="Z512" i="5"/>
  <c r="Z504" i="5"/>
  <c r="AB504" i="5" s="1"/>
  <c r="Z496" i="5"/>
  <c r="Z488" i="5"/>
  <c r="AB488" i="5" s="1"/>
  <c r="Z480" i="5"/>
  <c r="AB480" i="5" s="1"/>
  <c r="Z472" i="5"/>
  <c r="AA472" i="5" s="1"/>
  <c r="Z464" i="5"/>
  <c r="AA464" i="5" s="1"/>
  <c r="Z456" i="5"/>
  <c r="AA456" i="5" s="1"/>
  <c r="Z448" i="5"/>
  <c r="AA448" i="5" s="1"/>
  <c r="Z440" i="5"/>
  <c r="Z432" i="5"/>
  <c r="Z424" i="5"/>
  <c r="AB424" i="5" s="1"/>
  <c r="Z416" i="5"/>
  <c r="AA416" i="5" s="1"/>
  <c r="Z408" i="5"/>
  <c r="AB408" i="5" s="1"/>
  <c r="Z400" i="5"/>
  <c r="AA400" i="5" s="1"/>
  <c r="Z392" i="5"/>
  <c r="AB392" i="5" s="1"/>
  <c r="Z384" i="5"/>
  <c r="AA384" i="5" s="1"/>
  <c r="Z376" i="5"/>
  <c r="AB376" i="5" s="1"/>
  <c r="Z368" i="5"/>
  <c r="AA368" i="5" s="1"/>
  <c r="Z360" i="5"/>
  <c r="AA360" i="5" s="1"/>
  <c r="Z352" i="5"/>
  <c r="AB352" i="5" s="1"/>
  <c r="Z344" i="5"/>
  <c r="Z336" i="5"/>
  <c r="AB336" i="5" s="1"/>
  <c r="Z328" i="5"/>
  <c r="AB328" i="5" s="1"/>
  <c r="Z320" i="5"/>
  <c r="AA320" i="5" s="1"/>
  <c r="Z312" i="5"/>
  <c r="AA312" i="5" s="1"/>
  <c r="Z304" i="5"/>
  <c r="AB304" i="5" s="1"/>
  <c r="Z296" i="5"/>
  <c r="AB296" i="5" s="1"/>
  <c r="Z288" i="5"/>
  <c r="AA288" i="5" s="1"/>
  <c r="Z280" i="5"/>
  <c r="Z272" i="5"/>
  <c r="AA272" i="5" s="1"/>
  <c r="Z264" i="5"/>
  <c r="Z256" i="5"/>
  <c r="AB256" i="5" s="1"/>
  <c r="Z248" i="5"/>
  <c r="Z240" i="5"/>
  <c r="Z232" i="5"/>
  <c r="Z224" i="5"/>
  <c r="AB224" i="5" s="1"/>
  <c r="Z216" i="5"/>
  <c r="Z208" i="5"/>
  <c r="AA208" i="5" s="1"/>
  <c r="Z200" i="5"/>
  <c r="Z192" i="5"/>
  <c r="AB192" i="5" s="1"/>
  <c r="Z184" i="5"/>
  <c r="Z176" i="5"/>
  <c r="AB176" i="5" s="1"/>
  <c r="Z168" i="5"/>
  <c r="AB168" i="5" s="1"/>
  <c r="Z160" i="5"/>
  <c r="AB160" i="5" s="1"/>
  <c r="Z152" i="5"/>
  <c r="AB152" i="5" s="1"/>
  <c r="Z144" i="5"/>
  <c r="AA144" i="5" s="1"/>
  <c r="Z136" i="5"/>
  <c r="Z128" i="5"/>
  <c r="AA128" i="5" s="1"/>
  <c r="Z112" i="5"/>
  <c r="AA112" i="5" s="1"/>
  <c r="Z96" i="5"/>
  <c r="AA96" i="5" s="1"/>
  <c r="Z80" i="5"/>
  <c r="AA80" i="5" s="1"/>
  <c r="Z56" i="5"/>
  <c r="AB56" i="5" s="1"/>
  <c r="Z34" i="5"/>
  <c r="AA34" i="5" s="1"/>
  <c r="Z29" i="5"/>
  <c r="AB29" i="5" s="1"/>
  <c r="Z559" i="5"/>
  <c r="Z551" i="5"/>
  <c r="AB551" i="5" s="1"/>
  <c r="Z543" i="5"/>
  <c r="AB543" i="5" s="1"/>
  <c r="Z535" i="5"/>
  <c r="AA535" i="5" s="1"/>
  <c r="Z527" i="5"/>
  <c r="AA527" i="5" s="1"/>
  <c r="Z519" i="5"/>
  <c r="AB519" i="5" s="1"/>
  <c r="Z511" i="5"/>
  <c r="AA511" i="5" s="1"/>
  <c r="Z503" i="5"/>
  <c r="AB503" i="5" s="1"/>
  <c r="Z495" i="5"/>
  <c r="AB495" i="5" s="1"/>
  <c r="Z487" i="5"/>
  <c r="AA487" i="5" s="1"/>
  <c r="Z479" i="5"/>
  <c r="Z471" i="5"/>
  <c r="AA471" i="5" s="1"/>
  <c r="Z463" i="5"/>
  <c r="AA463" i="5" s="1"/>
  <c r="Z455" i="5"/>
  <c r="AB455" i="5" s="1"/>
  <c r="Z447" i="5"/>
  <c r="AA447" i="5" s="1"/>
  <c r="Z439" i="5"/>
  <c r="AA439" i="5" s="1"/>
  <c r="Z431" i="5"/>
  <c r="AA431" i="5" s="1"/>
  <c r="Z423" i="5"/>
  <c r="AB423" i="5" s="1"/>
  <c r="Z415" i="5"/>
  <c r="AB415" i="5" s="1"/>
  <c r="Z407" i="5"/>
  <c r="AB407" i="5" s="1"/>
  <c r="Z399" i="5"/>
  <c r="Z391" i="5"/>
  <c r="AB391" i="5" s="1"/>
  <c r="Z383" i="5"/>
  <c r="AB383" i="5" s="1"/>
  <c r="Z375" i="5"/>
  <c r="AB375" i="5" s="1"/>
  <c r="Z367" i="5"/>
  <c r="AA367" i="5" s="1"/>
  <c r="Z359" i="5"/>
  <c r="AA359" i="5" s="1"/>
  <c r="Z351" i="5"/>
  <c r="AA351" i="5" s="1"/>
  <c r="Z343" i="5"/>
  <c r="AB343" i="5" s="1"/>
  <c r="Z335" i="5"/>
  <c r="AA335" i="5" s="1"/>
  <c r="Z327" i="5"/>
  <c r="AA327" i="5" s="1"/>
  <c r="Z319" i="5"/>
  <c r="AB319" i="5" s="1"/>
  <c r="Z311" i="5"/>
  <c r="AB311" i="5" s="1"/>
  <c r="Z303" i="5"/>
  <c r="AB303" i="5" s="1"/>
  <c r="Z295" i="5"/>
  <c r="Z287" i="5"/>
  <c r="AA287" i="5" s="1"/>
  <c r="Z279" i="5"/>
  <c r="Z271" i="5"/>
  <c r="AA271" i="5" s="1"/>
  <c r="Z263" i="5"/>
  <c r="AB263" i="5" s="1"/>
  <c r="Z255" i="5"/>
  <c r="AA255" i="5" s="1"/>
  <c r="Z247" i="5"/>
  <c r="AA247" i="5" s="1"/>
  <c r="Z239" i="5"/>
  <c r="AB239" i="5" s="1"/>
  <c r="Z231" i="5"/>
  <c r="AB231" i="5" s="1"/>
  <c r="Z223" i="5"/>
  <c r="AB223" i="5" s="1"/>
  <c r="Z215" i="5"/>
  <c r="AA215" i="5" s="1"/>
  <c r="Z207" i="5"/>
  <c r="AB207" i="5" s="1"/>
  <c r="Z199" i="5"/>
  <c r="AB199" i="5" s="1"/>
  <c r="Z191" i="5"/>
  <c r="AA191" i="5" s="1"/>
  <c r="Z183" i="5"/>
  <c r="Z175" i="5"/>
  <c r="AB175" i="5" s="1"/>
  <c r="Z167" i="5"/>
  <c r="AB167" i="5" s="1"/>
  <c r="Z159" i="5"/>
  <c r="AA159" i="5" s="1"/>
  <c r="Z151" i="5"/>
  <c r="AA151" i="5" s="1"/>
  <c r="Z143" i="5"/>
  <c r="AA143" i="5" s="1"/>
  <c r="Z135" i="5"/>
  <c r="AA135" i="5" s="1"/>
  <c r="Z127" i="5"/>
  <c r="Z119" i="5"/>
  <c r="AB119" i="5" s="1"/>
  <c r="Z111" i="5"/>
  <c r="AB111" i="5" s="1"/>
  <c r="Z103" i="5"/>
  <c r="AA103" i="5" s="1"/>
  <c r="Z95" i="5"/>
  <c r="AB95" i="5" s="1"/>
  <c r="Z87" i="5"/>
  <c r="AB87" i="5" s="1"/>
  <c r="Z79" i="5"/>
  <c r="AB79" i="5" s="1"/>
  <c r="Z71" i="5"/>
  <c r="AA71" i="5" s="1"/>
  <c r="Z63" i="5"/>
  <c r="AB63" i="5" s="1"/>
  <c r="Z55" i="5"/>
  <c r="AB55" i="5" s="1"/>
  <c r="Z47" i="5"/>
  <c r="AB47" i="5" s="1"/>
  <c r="Z39" i="5"/>
  <c r="AA39" i="5" s="1"/>
  <c r="Z33" i="5"/>
  <c r="Z25" i="5"/>
  <c r="AA25" i="5" s="1"/>
  <c r="Z12" i="5"/>
  <c r="Z166" i="5"/>
  <c r="AA166" i="5" s="1"/>
  <c r="Z150" i="5"/>
  <c r="AA150" i="5" s="1"/>
  <c r="Z134" i="5"/>
  <c r="Z118" i="5"/>
  <c r="AB118" i="5" s="1"/>
  <c r="Z102" i="5"/>
  <c r="Z78" i="5"/>
  <c r="Z62" i="5"/>
  <c r="AB62" i="5" s="1"/>
  <c r="Z54" i="5"/>
  <c r="AA54" i="5" s="1"/>
  <c r="Z32" i="5"/>
  <c r="AB32" i="5" s="1"/>
  <c r="Z10" i="5"/>
  <c r="AB10" i="5" s="1"/>
  <c r="Z131" i="5"/>
  <c r="AA131" i="5" s="1"/>
  <c r="Z91" i="5"/>
  <c r="AA91" i="5" s="1"/>
  <c r="Z43" i="5"/>
  <c r="AB43" i="5" s="1"/>
  <c r="Z558" i="5"/>
  <c r="Z550" i="5"/>
  <c r="AB550" i="5" s="1"/>
  <c r="Z542" i="5"/>
  <c r="AA542" i="5" s="1"/>
  <c r="Z534" i="5"/>
  <c r="Z526" i="5"/>
  <c r="AA526" i="5" s="1"/>
  <c r="Z518" i="5"/>
  <c r="AB518" i="5" s="1"/>
  <c r="Z510" i="5"/>
  <c r="AB510" i="5" s="1"/>
  <c r="Z502" i="5"/>
  <c r="AB502" i="5" s="1"/>
  <c r="Z494" i="5"/>
  <c r="AB494" i="5" s="1"/>
  <c r="Z486" i="5"/>
  <c r="AB486" i="5" s="1"/>
  <c r="Z478" i="5"/>
  <c r="AB478" i="5" s="1"/>
  <c r="Z470" i="5"/>
  <c r="AB470" i="5" s="1"/>
  <c r="Z462" i="5"/>
  <c r="AB462" i="5" s="1"/>
  <c r="Z454" i="5"/>
  <c r="AB454" i="5" s="1"/>
  <c r="Z446" i="5"/>
  <c r="Z438" i="5"/>
  <c r="AB438" i="5" s="1"/>
  <c r="Z430" i="5"/>
  <c r="AA430" i="5" s="1"/>
  <c r="Z422" i="5"/>
  <c r="AB422" i="5" s="1"/>
  <c r="Z414" i="5"/>
  <c r="AB414" i="5" s="1"/>
  <c r="Z406" i="5"/>
  <c r="AA406" i="5" s="1"/>
  <c r="Z398" i="5"/>
  <c r="Z390" i="5"/>
  <c r="AA390" i="5" s="1"/>
  <c r="Z382" i="5"/>
  <c r="AB382" i="5" s="1"/>
  <c r="Z374" i="5"/>
  <c r="AB374" i="5" s="1"/>
  <c r="Z366" i="5"/>
  <c r="AA366" i="5" s="1"/>
  <c r="Z358" i="5"/>
  <c r="AB358" i="5" s="1"/>
  <c r="Z350" i="5"/>
  <c r="AA350" i="5" s="1"/>
  <c r="Z342" i="5"/>
  <c r="Z334" i="5"/>
  <c r="Z326" i="5"/>
  <c r="AA326" i="5" s="1"/>
  <c r="Z318" i="5"/>
  <c r="AB318" i="5" s="1"/>
  <c r="Z310" i="5"/>
  <c r="Z302" i="5"/>
  <c r="AA302" i="5" s="1"/>
  <c r="Z294" i="5"/>
  <c r="AB294" i="5" s="1"/>
  <c r="Z286" i="5"/>
  <c r="AB286" i="5" s="1"/>
  <c r="Z278" i="5"/>
  <c r="AA278" i="5" s="1"/>
  <c r="Z270" i="5"/>
  <c r="AA270" i="5" s="1"/>
  <c r="Z262" i="5"/>
  <c r="AA262" i="5" s="1"/>
  <c r="Z254" i="5"/>
  <c r="AA254" i="5" s="1"/>
  <c r="Z246" i="5"/>
  <c r="AA246" i="5" s="1"/>
  <c r="Z238" i="5"/>
  <c r="Z230" i="5"/>
  <c r="AA230" i="5" s="1"/>
  <c r="Z222" i="5"/>
  <c r="AB222" i="5" s="1"/>
  <c r="Z214" i="5"/>
  <c r="AA214" i="5" s="1"/>
  <c r="Z206" i="5"/>
  <c r="AA206" i="5" s="1"/>
  <c r="Z198" i="5"/>
  <c r="Z190" i="5"/>
  <c r="AB190" i="5" s="1"/>
  <c r="Z182" i="5"/>
  <c r="Z174" i="5"/>
  <c r="AA174" i="5" s="1"/>
  <c r="Z158" i="5"/>
  <c r="Z142" i="5"/>
  <c r="AB142" i="5" s="1"/>
  <c r="Z126" i="5"/>
  <c r="Z110" i="5"/>
  <c r="AA110" i="5" s="1"/>
  <c r="Z94" i="5"/>
  <c r="AA94" i="5" s="1"/>
  <c r="Z86" i="5"/>
  <c r="AA86" i="5" s="1"/>
  <c r="Z70" i="5"/>
  <c r="AB70" i="5" s="1"/>
  <c r="Z46" i="5"/>
  <c r="Z38" i="5"/>
  <c r="AA38" i="5" s="1"/>
  <c r="Z24" i="5"/>
  <c r="Z147" i="5"/>
  <c r="Z107" i="5"/>
  <c r="AB107" i="5" s="1"/>
  <c r="Z67" i="5"/>
  <c r="Z7" i="5"/>
  <c r="AB7" i="5" s="1"/>
  <c r="Z557" i="5"/>
  <c r="AA557" i="5" s="1"/>
  <c r="Z549" i="5"/>
  <c r="AB549" i="5" s="1"/>
  <c r="Z541" i="5"/>
  <c r="Z533" i="5"/>
  <c r="AA533" i="5" s="1"/>
  <c r="Z525" i="5"/>
  <c r="AA525" i="5" s="1"/>
  <c r="Z517" i="5"/>
  <c r="AB517" i="5" s="1"/>
  <c r="Z509" i="5"/>
  <c r="AA509" i="5" s="1"/>
  <c r="Z501" i="5"/>
  <c r="AB501" i="5" s="1"/>
  <c r="Z493" i="5"/>
  <c r="AA493" i="5" s="1"/>
  <c r="Z485" i="5"/>
  <c r="AA485" i="5" s="1"/>
  <c r="Z477" i="5"/>
  <c r="AA477" i="5" s="1"/>
  <c r="Z469" i="5"/>
  <c r="AA469" i="5" s="1"/>
  <c r="Z461" i="5"/>
  <c r="AB461" i="5" s="1"/>
  <c r="Z453" i="5"/>
  <c r="AA453" i="5" s="1"/>
  <c r="Z445" i="5"/>
  <c r="AB445" i="5" s="1"/>
  <c r="Z437" i="5"/>
  <c r="AA437" i="5" s="1"/>
  <c r="Z429" i="5"/>
  <c r="AA429" i="5" s="1"/>
  <c r="Z421" i="5"/>
  <c r="AA421" i="5" s="1"/>
  <c r="Z413" i="5"/>
  <c r="AA413" i="5" s="1"/>
  <c r="Z405" i="5"/>
  <c r="AB405" i="5" s="1"/>
  <c r="Z397" i="5"/>
  <c r="AB397" i="5" s="1"/>
  <c r="Z389" i="5"/>
  <c r="AA389" i="5" s="1"/>
  <c r="Z381" i="5"/>
  <c r="Z373" i="5"/>
  <c r="AB373" i="5" s="1"/>
  <c r="Z365" i="5"/>
  <c r="Z357" i="5"/>
  <c r="AA357" i="5" s="1"/>
  <c r="Z349" i="5"/>
  <c r="Z341" i="5"/>
  <c r="AA341" i="5" s="1"/>
  <c r="Z333" i="5"/>
  <c r="AB333" i="5" s="1"/>
  <c r="Z325" i="5"/>
  <c r="Z317" i="5"/>
  <c r="AB317" i="5" s="1"/>
  <c r="Z309" i="5"/>
  <c r="AA309" i="5" s="1"/>
  <c r="Z301" i="5"/>
  <c r="AA301" i="5" s="1"/>
  <c r="Z293" i="5"/>
  <c r="AA293" i="5" s="1"/>
  <c r="Z285" i="5"/>
  <c r="Z277" i="5"/>
  <c r="AB277" i="5" s="1"/>
  <c r="Z269" i="5"/>
  <c r="AB269" i="5" s="1"/>
  <c r="Z261" i="5"/>
  <c r="AA261" i="5" s="1"/>
  <c r="Z253" i="5"/>
  <c r="Z245" i="5"/>
  <c r="Z237" i="5"/>
  <c r="Z229" i="5"/>
  <c r="Z221" i="5"/>
  <c r="AB221" i="5" s="1"/>
  <c r="Z213" i="5"/>
  <c r="AB213" i="5" s="1"/>
  <c r="Z205" i="5"/>
  <c r="AB205" i="5" s="1"/>
  <c r="Z197" i="5"/>
  <c r="Z189" i="5"/>
  <c r="AA189" i="5" s="1"/>
  <c r="Z181" i="5"/>
  <c r="AA181" i="5" s="1"/>
  <c r="Z173" i="5"/>
  <c r="Z165" i="5"/>
  <c r="AA165" i="5" s="1"/>
  <c r="Z157" i="5"/>
  <c r="AB157" i="5" s="1"/>
  <c r="Z149" i="5"/>
  <c r="AB149" i="5" s="1"/>
  <c r="Z141" i="5"/>
  <c r="Z133" i="5"/>
  <c r="AA133" i="5" s="1"/>
  <c r="Z125" i="5"/>
  <c r="AB125" i="5" s="1"/>
  <c r="Z117" i="5"/>
  <c r="AA117" i="5" s="1"/>
  <c r="Z109" i="5"/>
  <c r="AA109" i="5" s="1"/>
  <c r="Z101" i="5"/>
  <c r="AA101" i="5" s="1"/>
  <c r="Z93" i="5"/>
  <c r="AA93" i="5" s="1"/>
  <c r="Z85" i="5"/>
  <c r="AA85" i="5" s="1"/>
  <c r="Z77" i="5"/>
  <c r="AA77" i="5" s="1"/>
  <c r="Z69" i="5"/>
  <c r="AB69" i="5" s="1"/>
  <c r="Z61" i="5"/>
  <c r="AA61" i="5" s="1"/>
  <c r="Z53" i="5"/>
  <c r="AB53" i="5" s="1"/>
  <c r="Z45" i="5"/>
  <c r="Z37" i="5"/>
  <c r="AA37" i="5" s="1"/>
  <c r="Z31" i="5"/>
  <c r="AA31" i="5" s="1"/>
  <c r="Z23" i="5"/>
  <c r="AB23" i="5" s="1"/>
  <c r="Z148" i="5"/>
  <c r="AB148" i="5" s="1"/>
  <c r="Z132" i="5"/>
  <c r="AA132" i="5" s="1"/>
  <c r="Z124" i="5"/>
  <c r="AA124" i="5" s="1"/>
  <c r="Z108" i="5"/>
  <c r="AB108" i="5" s="1"/>
  <c r="Z92" i="5"/>
  <c r="AA92" i="5" s="1"/>
  <c r="Z84" i="5"/>
  <c r="AB84" i="5" s="1"/>
  <c r="Z68" i="5"/>
  <c r="Z52" i="5"/>
  <c r="AB52" i="5" s="1"/>
  <c r="Z36" i="5"/>
  <c r="AB36" i="5" s="1"/>
  <c r="Z22" i="5"/>
  <c r="Z171" i="5"/>
  <c r="AA171" i="5" s="1"/>
  <c r="Z139" i="5"/>
  <c r="AA139" i="5" s="1"/>
  <c r="Z123" i="5"/>
  <c r="AA123" i="5" s="1"/>
  <c r="Z83" i="5"/>
  <c r="AA83" i="5" s="1"/>
  <c r="Z51" i="5"/>
  <c r="AA51" i="5" s="1"/>
  <c r="Z556" i="5"/>
  <c r="Z548" i="5"/>
  <c r="AB548" i="5" s="1"/>
  <c r="Z540" i="5"/>
  <c r="AB540" i="5" s="1"/>
  <c r="Z532" i="5"/>
  <c r="AA532" i="5" s="1"/>
  <c r="Z524" i="5"/>
  <c r="AA524" i="5" s="1"/>
  <c r="Z516" i="5"/>
  <c r="AB516" i="5" s="1"/>
  <c r="Z508" i="5"/>
  <c r="Z500" i="5"/>
  <c r="Z492" i="5"/>
  <c r="AB492" i="5" s="1"/>
  <c r="Z484" i="5"/>
  <c r="AB484" i="5" s="1"/>
  <c r="Z476" i="5"/>
  <c r="Z468" i="5"/>
  <c r="AB468" i="5" s="1"/>
  <c r="Z460" i="5"/>
  <c r="AA460" i="5" s="1"/>
  <c r="Z452" i="5"/>
  <c r="AA452" i="5" s="1"/>
  <c r="Z444" i="5"/>
  <c r="AB444" i="5" s="1"/>
  <c r="Z436" i="5"/>
  <c r="AA436" i="5" s="1"/>
  <c r="Z428" i="5"/>
  <c r="AB428" i="5" s="1"/>
  <c r="Z420" i="5"/>
  <c r="AB420" i="5" s="1"/>
  <c r="Z412" i="5"/>
  <c r="AA412" i="5" s="1"/>
  <c r="Z404" i="5"/>
  <c r="AB404" i="5" s="1"/>
  <c r="Z396" i="5"/>
  <c r="AA396" i="5" s="1"/>
  <c r="Z388" i="5"/>
  <c r="AA388" i="5" s="1"/>
  <c r="Z380" i="5"/>
  <c r="AA380" i="5" s="1"/>
  <c r="Z372" i="5"/>
  <c r="AB372" i="5" s="1"/>
  <c r="Z364" i="5"/>
  <c r="AB364" i="5" s="1"/>
  <c r="Z356" i="5"/>
  <c r="AA356" i="5" s="1"/>
  <c r="Z348" i="5"/>
  <c r="AA348" i="5" s="1"/>
  <c r="Z340" i="5"/>
  <c r="AB340" i="5" s="1"/>
  <c r="Z332" i="5"/>
  <c r="AA332" i="5" s="1"/>
  <c r="Z324" i="5"/>
  <c r="AB324" i="5" s="1"/>
  <c r="Z316" i="5"/>
  <c r="AA316" i="5" s="1"/>
  <c r="Z308" i="5"/>
  <c r="Z300" i="5"/>
  <c r="Z292" i="5"/>
  <c r="AA292" i="5" s="1"/>
  <c r="Z284" i="5"/>
  <c r="AB284" i="5" s="1"/>
  <c r="Z276" i="5"/>
  <c r="AB276" i="5" s="1"/>
  <c r="Z268" i="5"/>
  <c r="AA268" i="5" s="1"/>
  <c r="Z260" i="5"/>
  <c r="AB260" i="5" s="1"/>
  <c r="Z252" i="5"/>
  <c r="AB252" i="5" s="1"/>
  <c r="Z244" i="5"/>
  <c r="AB244" i="5" s="1"/>
  <c r="Z236" i="5"/>
  <c r="AB236" i="5" s="1"/>
  <c r="Z228" i="5"/>
  <c r="AA228" i="5" s="1"/>
  <c r="Z220" i="5"/>
  <c r="AA220" i="5" s="1"/>
  <c r="Z212" i="5"/>
  <c r="AB212" i="5" s="1"/>
  <c r="Z204" i="5"/>
  <c r="Z196" i="5"/>
  <c r="AA196" i="5" s="1"/>
  <c r="Z188" i="5"/>
  <c r="AB188" i="5" s="1"/>
  <c r="Z180" i="5"/>
  <c r="AB180" i="5" s="1"/>
  <c r="Z172" i="5"/>
  <c r="AB172" i="5" s="1"/>
  <c r="Z164" i="5"/>
  <c r="AB164" i="5" s="1"/>
  <c r="Z156" i="5"/>
  <c r="AA156" i="5" s="1"/>
  <c r="Z140" i="5"/>
  <c r="AB140" i="5" s="1"/>
  <c r="Z116" i="5"/>
  <c r="AB116" i="5" s="1"/>
  <c r="Z100" i="5"/>
  <c r="AB100" i="5" s="1"/>
  <c r="Z76" i="5"/>
  <c r="AA76" i="5" s="1"/>
  <c r="Z60" i="5"/>
  <c r="AB60" i="5" s="1"/>
  <c r="Z44" i="5"/>
  <c r="Z30" i="5"/>
  <c r="AA30" i="5" s="1"/>
  <c r="Z8" i="5"/>
  <c r="AA8" i="5" s="1"/>
  <c r="Z155" i="5"/>
  <c r="AB155" i="5" s="1"/>
  <c r="Z99" i="5"/>
  <c r="Z59" i="5"/>
  <c r="AB59" i="5" s="1"/>
  <c r="Z555" i="5"/>
  <c r="Z547" i="5"/>
  <c r="AB547" i="5" s="1"/>
  <c r="Z539" i="5"/>
  <c r="AB539" i="5" s="1"/>
  <c r="Z531" i="5"/>
  <c r="AB531" i="5" s="1"/>
  <c r="Z523" i="5"/>
  <c r="AB523" i="5" s="1"/>
  <c r="Z515" i="5"/>
  <c r="AB515" i="5" s="1"/>
  <c r="Z507" i="5"/>
  <c r="AA507" i="5" s="1"/>
  <c r="Z499" i="5"/>
  <c r="AB499" i="5" s="1"/>
  <c r="Z491" i="5"/>
  <c r="AA491" i="5" s="1"/>
  <c r="Z483" i="5"/>
  <c r="Z475" i="5"/>
  <c r="AB475" i="5" s="1"/>
  <c r="Z467" i="5"/>
  <c r="AB467" i="5" s="1"/>
  <c r="Z459" i="5"/>
  <c r="AA459" i="5" s="1"/>
  <c r="Z451" i="5"/>
  <c r="Z443" i="5"/>
  <c r="AA443" i="5" s="1"/>
  <c r="Z435" i="5"/>
  <c r="AB435" i="5" s="1"/>
  <c r="Z427" i="5"/>
  <c r="Z419" i="5"/>
  <c r="AA419" i="5" s="1"/>
  <c r="Z411" i="5"/>
  <c r="AA411" i="5" s="1"/>
  <c r="Z403" i="5"/>
  <c r="AA403" i="5" s="1"/>
  <c r="Z395" i="5"/>
  <c r="Z387" i="5"/>
  <c r="AB387" i="5" s="1"/>
  <c r="Z379" i="5"/>
  <c r="AA379" i="5" s="1"/>
  <c r="Z371" i="5"/>
  <c r="AA371" i="5" s="1"/>
  <c r="Z363" i="5"/>
  <c r="AB363" i="5" s="1"/>
  <c r="Z355" i="5"/>
  <c r="AB355" i="5" s="1"/>
  <c r="Z347" i="5"/>
  <c r="AA347" i="5" s="1"/>
  <c r="Z339" i="5"/>
  <c r="Z331" i="5"/>
  <c r="AA331" i="5" s="1"/>
  <c r="Z323" i="5"/>
  <c r="Z315" i="5"/>
  <c r="AB315" i="5" s="1"/>
  <c r="Z307" i="5"/>
  <c r="AA307" i="5" s="1"/>
  <c r="Z299" i="5"/>
  <c r="AA299" i="5" s="1"/>
  <c r="Z291" i="5"/>
  <c r="AA291" i="5" s="1"/>
  <c r="Z283" i="5"/>
  <c r="AB283" i="5" s="1"/>
  <c r="Z275" i="5"/>
  <c r="AB275" i="5" s="1"/>
  <c r="Z267" i="5"/>
  <c r="AB267" i="5" s="1"/>
  <c r="Z259" i="5"/>
  <c r="AA259" i="5" s="1"/>
  <c r="Z251" i="5"/>
  <c r="AB251" i="5" s="1"/>
  <c r="Z243" i="5"/>
  <c r="AB243" i="5" s="1"/>
  <c r="Z235" i="5"/>
  <c r="AA235" i="5" s="1"/>
  <c r="Z227" i="5"/>
  <c r="AB227" i="5" s="1"/>
  <c r="Z219" i="5"/>
  <c r="AA219" i="5" s="1"/>
  <c r="Z211" i="5"/>
  <c r="AA211" i="5" s="1"/>
  <c r="Z203" i="5"/>
  <c r="AA203" i="5" s="1"/>
  <c r="Z195" i="5"/>
  <c r="AA195" i="5" s="1"/>
  <c r="Z187" i="5"/>
  <c r="AB187" i="5" s="1"/>
  <c r="Z179" i="5"/>
  <c r="AA179" i="5" s="1"/>
  <c r="Z163" i="5"/>
  <c r="AA163" i="5" s="1"/>
  <c r="Z115" i="5"/>
  <c r="Z75" i="5"/>
  <c r="Z554" i="5"/>
  <c r="AA554" i="5" s="1"/>
  <c r="Z546" i="5"/>
  <c r="AA546" i="5" s="1"/>
  <c r="Z538" i="5"/>
  <c r="AB538" i="5" s="1"/>
  <c r="Z530" i="5"/>
  <c r="Z522" i="5"/>
  <c r="AA522" i="5" s="1"/>
  <c r="Z514" i="5"/>
  <c r="AB514" i="5" s="1"/>
  <c r="Z506" i="5"/>
  <c r="AB506" i="5" s="1"/>
  <c r="Z498" i="5"/>
  <c r="AA498" i="5" s="1"/>
  <c r="Z490" i="5"/>
  <c r="AB490" i="5" s="1"/>
  <c r="Z482" i="5"/>
  <c r="Z474" i="5"/>
  <c r="AA474" i="5" s="1"/>
  <c r="Z466" i="5"/>
  <c r="Z458" i="5"/>
  <c r="AA458" i="5" s="1"/>
  <c r="Z450" i="5"/>
  <c r="Z442" i="5"/>
  <c r="AB442" i="5" s="1"/>
  <c r="Z434" i="5"/>
  <c r="Z426" i="5"/>
  <c r="AA426" i="5" s="1"/>
  <c r="Z418" i="5"/>
  <c r="AB418" i="5" s="1"/>
  <c r="Z410" i="5"/>
  <c r="AB410" i="5" s="1"/>
  <c r="Z402" i="5"/>
  <c r="AB402" i="5" s="1"/>
  <c r="Z394" i="5"/>
  <c r="AB394" i="5" s="1"/>
  <c r="Z386" i="5"/>
  <c r="AA386" i="5" s="1"/>
  <c r="Z378" i="5"/>
  <c r="Z370" i="5"/>
  <c r="AA370" i="5" s="1"/>
  <c r="Z362" i="5"/>
  <c r="AA362" i="5" s="1"/>
  <c r="Z354" i="5"/>
  <c r="AA354" i="5" s="1"/>
  <c r="Z346" i="5"/>
  <c r="AB346" i="5" s="1"/>
  <c r="Z338" i="5"/>
  <c r="AB338" i="5" s="1"/>
  <c r="Z330" i="5"/>
  <c r="AB330" i="5" s="1"/>
  <c r="Z322" i="5"/>
  <c r="AA322" i="5" s="1"/>
  <c r="Z314" i="5"/>
  <c r="AB314" i="5" s="1"/>
  <c r="Z306" i="5"/>
  <c r="AB306" i="5" s="1"/>
  <c r="Z298" i="5"/>
  <c r="AA298" i="5" s="1"/>
  <c r="Z290" i="5"/>
  <c r="AB290" i="5" s="1"/>
  <c r="Z282" i="5"/>
  <c r="AB282" i="5" s="1"/>
  <c r="Z274" i="5"/>
  <c r="AA274" i="5" s="1"/>
  <c r="Z266" i="5"/>
  <c r="Z258" i="5"/>
  <c r="AB258" i="5" s="1"/>
  <c r="Z250" i="5"/>
  <c r="AB250" i="5" s="1"/>
  <c r="Z242" i="5"/>
  <c r="AA242" i="5" s="1"/>
  <c r="Z234" i="5"/>
  <c r="Z226" i="5"/>
  <c r="AA226" i="5" s="1"/>
  <c r="Z218" i="5"/>
  <c r="Z210" i="5"/>
  <c r="Z202" i="5"/>
  <c r="AA202" i="5" s="1"/>
  <c r="Z194" i="5"/>
  <c r="AB194" i="5" s="1"/>
  <c r="Z186" i="5"/>
  <c r="Z178" i="5"/>
  <c r="Z170" i="5"/>
  <c r="AB170" i="5" s="1"/>
  <c r="Z162" i="5"/>
  <c r="AB162" i="5" s="1"/>
  <c r="Z154" i="5"/>
  <c r="AA154" i="5" s="1"/>
  <c r="Z146" i="5"/>
  <c r="AB146" i="5" s="1"/>
  <c r="Z138" i="5"/>
  <c r="AB138" i="5" s="1"/>
  <c r="Z130" i="5"/>
  <c r="AA130" i="5" s="1"/>
  <c r="Z122" i="5"/>
  <c r="Z114" i="5"/>
  <c r="AB114" i="5" s="1"/>
  <c r="Z106" i="5"/>
  <c r="AB106" i="5" s="1"/>
  <c r="Z98" i="5"/>
  <c r="AA98" i="5" s="1"/>
  <c r="Z90" i="5"/>
  <c r="AB90" i="5" s="1"/>
  <c r="Z82" i="5"/>
  <c r="AB82" i="5" s="1"/>
  <c r="Z74" i="5"/>
  <c r="AA74" i="5" s="1"/>
  <c r="Z66" i="5"/>
  <c r="AB66" i="5" s="1"/>
  <c r="Z58" i="5"/>
  <c r="Z50" i="5"/>
  <c r="AB50" i="5" s="1"/>
  <c r="Z42" i="5"/>
  <c r="AA42" i="5" s="1"/>
  <c r="Z35" i="5"/>
  <c r="Z28" i="5"/>
  <c r="AB28" i="5" s="1"/>
  <c r="Z20" i="5"/>
  <c r="Z121" i="5"/>
  <c r="AA121" i="5" s="1"/>
  <c r="Z105" i="5"/>
  <c r="AA105" i="5" s="1"/>
  <c r="Z89" i="5"/>
  <c r="AB89" i="5" s="1"/>
  <c r="Z73" i="5"/>
  <c r="Z57" i="5"/>
  <c r="AB57" i="5" s="1"/>
  <c r="Z41" i="5"/>
  <c r="AA41" i="5" s="1"/>
  <c r="Z27" i="5"/>
  <c r="AB27" i="5" s="1"/>
  <c r="Z19" i="5"/>
  <c r="AA19" i="5" s="1"/>
  <c r="Z120" i="5"/>
  <c r="AA120" i="5" s="1"/>
  <c r="Z104" i="5"/>
  <c r="AB104" i="5" s="1"/>
  <c r="Z88" i="5"/>
  <c r="AA88" i="5" s="1"/>
  <c r="Z64" i="5"/>
  <c r="AB64" i="5" s="1"/>
  <c r="Z40" i="5"/>
  <c r="AA40" i="5" s="1"/>
  <c r="Z13" i="5"/>
  <c r="Z553" i="5"/>
  <c r="AB553" i="5" s="1"/>
  <c r="Z545" i="5"/>
  <c r="AA545" i="5" s="1"/>
  <c r="Z537" i="5"/>
  <c r="AA537" i="5" s="1"/>
  <c r="Z529" i="5"/>
  <c r="AA529" i="5" s="1"/>
  <c r="Z521" i="5"/>
  <c r="AA521" i="5" s="1"/>
  <c r="Z513" i="5"/>
  <c r="AA513" i="5" s="1"/>
  <c r="Z505" i="5"/>
  <c r="Z497" i="5"/>
  <c r="AB497" i="5" s="1"/>
  <c r="Z489" i="5"/>
  <c r="AB489" i="5" s="1"/>
  <c r="Z481" i="5"/>
  <c r="Z473" i="5"/>
  <c r="AA473" i="5" s="1"/>
  <c r="Z465" i="5"/>
  <c r="Z457" i="5"/>
  <c r="AB457" i="5" s="1"/>
  <c r="Z449" i="5"/>
  <c r="AA449" i="5" s="1"/>
  <c r="Z441" i="5"/>
  <c r="AB441" i="5" s="1"/>
  <c r="Z433" i="5"/>
  <c r="Z425" i="5"/>
  <c r="AA425" i="5" s="1"/>
  <c r="Z417" i="5"/>
  <c r="AA417" i="5" s="1"/>
  <c r="Z409" i="5"/>
  <c r="AB409" i="5" s="1"/>
  <c r="Z401" i="5"/>
  <c r="AA401" i="5" s="1"/>
  <c r="Z393" i="5"/>
  <c r="AA393" i="5" s="1"/>
  <c r="Z385" i="5"/>
  <c r="AB385" i="5" s="1"/>
  <c r="Z377" i="5"/>
  <c r="Z369" i="5"/>
  <c r="AB369" i="5" s="1"/>
  <c r="Z361" i="5"/>
  <c r="AB361" i="5" s="1"/>
  <c r="Z353" i="5"/>
  <c r="Z345" i="5"/>
  <c r="Z337" i="5"/>
  <c r="AB337" i="5" s="1"/>
  <c r="Z329" i="5"/>
  <c r="AB329" i="5" s="1"/>
  <c r="Z321" i="5"/>
  <c r="AB321" i="5" s="1"/>
  <c r="Z313" i="5"/>
  <c r="AB313" i="5" s="1"/>
  <c r="Z305" i="5"/>
  <c r="AB305" i="5" s="1"/>
  <c r="Z297" i="5"/>
  <c r="AB297" i="5" s="1"/>
  <c r="Z289" i="5"/>
  <c r="AB289" i="5" s="1"/>
  <c r="Z281" i="5"/>
  <c r="AB281" i="5" s="1"/>
  <c r="Z273" i="5"/>
  <c r="AB273" i="5" s="1"/>
  <c r="Z265" i="5"/>
  <c r="AB265" i="5" s="1"/>
  <c r="Z257" i="5"/>
  <c r="Z249" i="5"/>
  <c r="AA249" i="5" s="1"/>
  <c r="Z241" i="5"/>
  <c r="AB241" i="5" s="1"/>
  <c r="Z233" i="5"/>
  <c r="AA233" i="5" s="1"/>
  <c r="Z225" i="5"/>
  <c r="AB225" i="5" s="1"/>
  <c r="Z217" i="5"/>
  <c r="AA217" i="5" s="1"/>
  <c r="Z209" i="5"/>
  <c r="AA209" i="5" s="1"/>
  <c r="Z201" i="5"/>
  <c r="AB201" i="5" s="1"/>
  <c r="Z193" i="5"/>
  <c r="AB193" i="5" s="1"/>
  <c r="Z185" i="5"/>
  <c r="AB185" i="5" s="1"/>
  <c r="Z177" i="5"/>
  <c r="AB177" i="5" s="1"/>
  <c r="Z169" i="5"/>
  <c r="AA169" i="5" s="1"/>
  <c r="Z161" i="5"/>
  <c r="AA161" i="5" s="1"/>
  <c r="Z153" i="5"/>
  <c r="AB153" i="5" s="1"/>
  <c r="Z145" i="5"/>
  <c r="Z137" i="5"/>
  <c r="AB137" i="5" s="1"/>
  <c r="Z129" i="5"/>
  <c r="AB129" i="5" s="1"/>
  <c r="Z113" i="5"/>
  <c r="Z97" i="5"/>
  <c r="AB97" i="5" s="1"/>
  <c r="Z81" i="5"/>
  <c r="Z65" i="5"/>
  <c r="Z49" i="5"/>
  <c r="AA49" i="5" s="1"/>
  <c r="Z72" i="5"/>
  <c r="AB72" i="5" s="1"/>
  <c r="Z48" i="5"/>
  <c r="AB48" i="5" s="1"/>
  <c r="Z26" i="5"/>
  <c r="AB26" i="5" s="1"/>
  <c r="Z21" i="5"/>
  <c r="AJ9" i="5"/>
  <c r="AK9" i="5" s="1"/>
  <c r="Z9" i="5"/>
  <c r="S240" i="5"/>
  <c r="R312" i="5"/>
  <c r="T11" i="5"/>
  <c r="U11" i="5" s="1"/>
  <c r="Z11" i="5"/>
  <c r="AB11" i="5" s="1"/>
  <c r="R320" i="5"/>
  <c r="S128" i="5"/>
  <c r="U45" i="5"/>
  <c r="AP38" i="5"/>
  <c r="AP110" i="5"/>
  <c r="AR110" i="5" s="1"/>
  <c r="AP47" i="5"/>
  <c r="AR47" i="5" s="1"/>
  <c r="AP92" i="5"/>
  <c r="AQ92" i="5" s="1"/>
  <c r="AP64" i="5"/>
  <c r="V97" i="5"/>
  <c r="AP340" i="5"/>
  <c r="AR340" i="5" s="1"/>
  <c r="R472" i="5"/>
  <c r="V534" i="5"/>
  <c r="Y184" i="5"/>
  <c r="AP189" i="5"/>
  <c r="V145" i="5"/>
  <c r="V54" i="5"/>
  <c r="AP238" i="5"/>
  <c r="AQ238" i="5" s="1"/>
  <c r="AP42" i="5"/>
  <c r="AR42" i="5" s="1"/>
  <c r="AP506" i="5"/>
  <c r="U143" i="5"/>
  <c r="S224" i="5"/>
  <c r="Y179" i="5"/>
  <c r="Y326" i="5"/>
  <c r="AP112" i="5"/>
  <c r="AP497" i="5"/>
  <c r="AR497" i="5" s="1"/>
  <c r="AP276" i="5"/>
  <c r="AR276" i="5" s="1"/>
  <c r="AP146" i="5"/>
  <c r="AQ146" i="5" s="1"/>
  <c r="V99" i="5"/>
  <c r="AL227" i="5"/>
  <c r="S136" i="5"/>
  <c r="R216" i="5"/>
  <c r="R232" i="5"/>
  <c r="Y289" i="5"/>
  <c r="Y51" i="5"/>
  <c r="AP252" i="5"/>
  <c r="AP159" i="5"/>
  <c r="AR159" i="5" s="1"/>
  <c r="AP406" i="5"/>
  <c r="AQ406" i="5" s="1"/>
  <c r="V21" i="5"/>
  <c r="X553" i="5"/>
  <c r="Y554" i="5"/>
  <c r="X465" i="5"/>
  <c r="AN64" i="5"/>
  <c r="Y260" i="5"/>
  <c r="X274" i="5"/>
  <c r="AP119" i="5"/>
  <c r="AP346" i="5"/>
  <c r="AR346" i="5" s="1"/>
  <c r="AP182" i="5"/>
  <c r="AQ182" i="5" s="1"/>
  <c r="V102" i="5"/>
  <c r="AP72" i="5"/>
  <c r="AQ72" i="5" s="1"/>
  <c r="AP54" i="5"/>
  <c r="AR54" i="5" s="1"/>
  <c r="Y448" i="5"/>
  <c r="R280" i="5"/>
  <c r="R152" i="5"/>
  <c r="Y301" i="5"/>
  <c r="Y458" i="5"/>
  <c r="P487" i="5"/>
  <c r="S112" i="5"/>
  <c r="S208" i="5"/>
  <c r="S64" i="5"/>
  <c r="K28" i="2"/>
  <c r="K27" i="2"/>
  <c r="AP486" i="5"/>
  <c r="AP359" i="5"/>
  <c r="AP470" i="5"/>
  <c r="AP245" i="5"/>
  <c r="AP418" i="5"/>
  <c r="AQ418" i="5" s="1"/>
  <c r="AP258" i="5"/>
  <c r="AQ258" i="5" s="1"/>
  <c r="AP233" i="5"/>
  <c r="AQ233" i="5" s="1"/>
  <c r="AP476" i="5"/>
  <c r="AR476" i="5" s="1"/>
  <c r="AP536" i="5"/>
  <c r="AP560" i="5"/>
  <c r="AP485" i="5"/>
  <c r="AP335" i="5"/>
  <c r="AP398" i="5"/>
  <c r="N31" i="2"/>
  <c r="AP284" i="5"/>
  <c r="AQ284" i="5" s="1"/>
  <c r="AP24" i="5"/>
  <c r="AR24" i="5" s="1"/>
  <c r="AP306" i="5"/>
  <c r="B50" i="5"/>
  <c r="M31" i="2"/>
  <c r="AP512" i="5"/>
  <c r="B153" i="2"/>
  <c r="H39" i="1" s="1"/>
  <c r="L31" i="2"/>
  <c r="AP364" i="5"/>
  <c r="AQ364" i="5" s="1"/>
  <c r="AK451" i="5"/>
  <c r="AP300" i="5"/>
  <c r="AQ300" i="5" s="1"/>
  <c r="M35" i="2"/>
  <c r="N35" i="2" s="1"/>
  <c r="AP492" i="5"/>
  <c r="AP557" i="5"/>
  <c r="AP451" i="5"/>
  <c r="X96" i="5"/>
  <c r="X129" i="5"/>
  <c r="Y437" i="5"/>
  <c r="Y320" i="5"/>
  <c r="X319" i="5"/>
  <c r="R392" i="5"/>
  <c r="X156" i="5"/>
  <c r="X276" i="5"/>
  <c r="X399" i="5"/>
  <c r="Y342" i="5"/>
  <c r="S416" i="5"/>
  <c r="R432" i="5"/>
  <c r="Y35" i="5"/>
  <c r="X432" i="5"/>
  <c r="X451" i="5"/>
  <c r="Y28" i="5"/>
  <c r="X100" i="5"/>
  <c r="X394" i="5"/>
  <c r="Y286" i="5"/>
  <c r="R80" i="5"/>
  <c r="X491" i="5"/>
  <c r="S304" i="5"/>
  <c r="S8" i="5"/>
  <c r="Y211" i="5"/>
  <c r="Y69" i="5"/>
  <c r="X240" i="5"/>
  <c r="X355" i="5"/>
  <c r="Y214" i="5"/>
  <c r="X215" i="5"/>
  <c r="X412" i="5"/>
  <c r="Y126" i="5"/>
  <c r="Y517" i="5"/>
  <c r="X310" i="5"/>
  <c r="R488" i="5"/>
  <c r="S104" i="5"/>
  <c r="S344" i="5"/>
  <c r="R464" i="5"/>
  <c r="R32" i="5"/>
  <c r="R40" i="5"/>
  <c r="R456" i="5"/>
  <c r="R424" i="5"/>
  <c r="R168" i="5"/>
  <c r="X218" i="5"/>
  <c r="X259" i="5"/>
  <c r="X192" i="5"/>
  <c r="X52" i="5"/>
  <c r="X525" i="5"/>
  <c r="Y45" i="5"/>
  <c r="X434" i="5"/>
  <c r="Y531" i="5"/>
  <c r="Y55" i="5"/>
  <c r="Y158" i="5"/>
  <c r="X426" i="5"/>
  <c r="Y314" i="5"/>
  <c r="X95" i="5"/>
  <c r="X43" i="5"/>
  <c r="X518" i="5"/>
  <c r="Y264" i="5"/>
  <c r="S448" i="5"/>
  <c r="Y83" i="5"/>
  <c r="X313" i="5"/>
  <c r="Y389" i="5"/>
  <c r="Y383" i="5"/>
  <c r="R512" i="5"/>
  <c r="Y415" i="5"/>
  <c r="Y120" i="5"/>
  <c r="Y219" i="5"/>
  <c r="X128" i="5"/>
  <c r="X334" i="5"/>
  <c r="X117" i="5"/>
  <c r="X329" i="5"/>
  <c r="X155" i="5"/>
  <c r="X278" i="5"/>
  <c r="Y277" i="5"/>
  <c r="Y106" i="5"/>
  <c r="X533" i="5"/>
  <c r="R256" i="5"/>
  <c r="Y378" i="5"/>
  <c r="X302" i="5"/>
  <c r="AB334" i="5"/>
  <c r="V117" i="4"/>
  <c r="W117" i="4" s="1"/>
  <c r="Y117" i="4" s="1"/>
  <c r="AS26" i="4"/>
  <c r="U117" i="4"/>
  <c r="AH117" i="4" s="1"/>
  <c r="U115" i="4"/>
  <c r="AH115" i="4" s="1"/>
  <c r="AS87" i="4"/>
  <c r="AS37" i="4"/>
  <c r="U125" i="4"/>
  <c r="AH125" i="4" s="1"/>
  <c r="AS57" i="4"/>
  <c r="V46" i="4"/>
  <c r="AM46" i="4" s="1"/>
  <c r="AN46" i="4" s="1"/>
  <c r="AS115" i="4"/>
  <c r="V37" i="4"/>
  <c r="AM37" i="4" s="1"/>
  <c r="AN37" i="4" s="1"/>
  <c r="V61" i="4"/>
  <c r="AM61" i="4" s="1"/>
  <c r="AN61" i="4" s="1"/>
  <c r="V125" i="4"/>
  <c r="AM125" i="4" s="1"/>
  <c r="AN125" i="4" s="1"/>
  <c r="U14" i="4"/>
  <c r="AH14" i="4" s="1"/>
  <c r="V26" i="4"/>
  <c r="U37" i="4"/>
  <c r="AH37" i="4" s="1"/>
  <c r="V145" i="4"/>
  <c r="AM145" i="4" s="1"/>
  <c r="AN145" i="4" s="1"/>
  <c r="V57" i="4"/>
  <c r="AM57" i="4" s="1"/>
  <c r="AN57" i="4" s="1"/>
  <c r="U46" i="4"/>
  <c r="AH46" i="4" s="1"/>
  <c r="U20" i="4"/>
  <c r="AH20" i="4" s="1"/>
  <c r="U61" i="4"/>
  <c r="AH61" i="4" s="1"/>
  <c r="AS125" i="4"/>
  <c r="U134" i="4"/>
  <c r="AH134" i="4" s="1"/>
  <c r="U87" i="4"/>
  <c r="AH87" i="4" s="1"/>
  <c r="AS131" i="4"/>
  <c r="U145" i="4"/>
  <c r="AH145" i="4" s="1"/>
  <c r="AS46" i="4"/>
  <c r="U142" i="4"/>
  <c r="AH142" i="4" s="1"/>
  <c r="AS20" i="4"/>
  <c r="AS61" i="4"/>
  <c r="V12" i="4"/>
  <c r="AM12" i="4" s="1"/>
  <c r="AN12" i="4" s="1"/>
  <c r="V115" i="4"/>
  <c r="W115" i="4" s="1"/>
  <c r="Y115" i="4" s="1"/>
  <c r="AS145" i="4"/>
  <c r="V16" i="4"/>
  <c r="W16" i="4" s="1"/>
  <c r="Y16" i="4" s="1"/>
  <c r="AS142" i="4"/>
  <c r="V20" i="4"/>
  <c r="AM20" i="4" s="1"/>
  <c r="AN20" i="4" s="1"/>
  <c r="V14" i="4"/>
  <c r="AM14" i="4" s="1"/>
  <c r="AN14" i="4" s="1"/>
  <c r="V66" i="4"/>
  <c r="AM66" i="4" s="1"/>
  <c r="AN66" i="4" s="1"/>
  <c r="U18" i="4"/>
  <c r="U128" i="4"/>
  <c r="AH128" i="4" s="1"/>
  <c r="U57" i="4"/>
  <c r="AH57" i="4" s="1"/>
  <c r="V142" i="4"/>
  <c r="AM142" i="4" s="1"/>
  <c r="AN142" i="4" s="1"/>
  <c r="U16" i="4"/>
  <c r="AH16" i="4" s="1"/>
  <c r="V134" i="4"/>
  <c r="W134" i="4" s="1"/>
  <c r="V128" i="4"/>
  <c r="W128" i="4" s="1"/>
  <c r="AS14" i="4"/>
  <c r="U66" i="4"/>
  <c r="AH66" i="4" s="1"/>
  <c r="X395" i="5"/>
  <c r="Y363" i="5"/>
  <c r="X363" i="5"/>
  <c r="X167" i="5"/>
  <c r="Y167" i="5"/>
  <c r="S546" i="5"/>
  <c r="R546" i="5"/>
  <c r="Y145" i="5"/>
  <c r="X266" i="5"/>
  <c r="Y266" i="5"/>
  <c r="X479" i="5"/>
  <c r="Y479" i="5"/>
  <c r="Y373" i="5"/>
  <c r="X373" i="5"/>
  <c r="X68" i="5"/>
  <c r="Y68" i="5"/>
  <c r="X154" i="5"/>
  <c r="Y154" i="5"/>
  <c r="X132" i="5"/>
  <c r="Y132" i="5"/>
  <c r="X366" i="5"/>
  <c r="Y366" i="5"/>
  <c r="Y262" i="5"/>
  <c r="X262" i="5"/>
  <c r="R376" i="5"/>
  <c r="S376" i="5"/>
  <c r="Y110" i="5"/>
  <c r="X110" i="5"/>
  <c r="Y282" i="5"/>
  <c r="X282" i="5"/>
  <c r="R368" i="5"/>
  <c r="S368" i="5"/>
  <c r="Y331" i="5"/>
  <c r="X331" i="5"/>
  <c r="Y557" i="5"/>
  <c r="X557" i="5"/>
  <c r="R176" i="5"/>
  <c r="S176" i="5"/>
  <c r="S200" i="5"/>
  <c r="R200" i="5"/>
  <c r="S534" i="5"/>
  <c r="R534" i="5"/>
  <c r="X112" i="5"/>
  <c r="Y112" i="5"/>
  <c r="X456" i="5"/>
  <c r="Y456" i="5"/>
  <c r="X343" i="5"/>
  <c r="Y343" i="5"/>
  <c r="S248" i="5"/>
  <c r="Y427" i="5"/>
  <c r="X427" i="5"/>
  <c r="R384" i="5"/>
  <c r="X29" i="5"/>
  <c r="Y56" i="5"/>
  <c r="X56" i="5"/>
  <c r="Y290" i="5"/>
  <c r="X290" i="5"/>
  <c r="Y272" i="5"/>
  <c r="X272" i="5"/>
  <c r="X85" i="5"/>
  <c r="Y50" i="5"/>
  <c r="X50" i="5"/>
  <c r="X269" i="5"/>
  <c r="Y269" i="5"/>
  <c r="Y125" i="5"/>
  <c r="X125" i="5"/>
  <c r="Y212" i="5"/>
  <c r="X212" i="5"/>
  <c r="R48" i="5"/>
  <c r="X137" i="5"/>
  <c r="Y484" i="5"/>
  <c r="Y441" i="5"/>
  <c r="R408" i="5"/>
  <c r="R72" i="5"/>
  <c r="Y323" i="5"/>
  <c r="X435" i="5"/>
  <c r="Y435" i="5"/>
  <c r="X405" i="5"/>
  <c r="Y405" i="5"/>
  <c r="X453" i="5"/>
  <c r="Y115" i="5"/>
  <c r="Y403" i="5"/>
  <c r="X403" i="5"/>
  <c r="R360" i="5"/>
  <c r="X202" i="5"/>
  <c r="S296" i="5"/>
  <c r="Y82" i="5"/>
  <c r="X200" i="5"/>
  <c r="R504" i="5"/>
  <c r="R336" i="5"/>
  <c r="S144" i="5"/>
  <c r="R496" i="5"/>
  <c r="Y332" i="5"/>
  <c r="X409" i="5"/>
  <c r="X86" i="5"/>
  <c r="Y130" i="5"/>
  <c r="Y321" i="5"/>
  <c r="Y288" i="5"/>
  <c r="X358" i="5"/>
  <c r="X541" i="5"/>
  <c r="Y510" i="5"/>
  <c r="R440" i="5"/>
  <c r="Y386" i="5"/>
  <c r="Y424" i="5"/>
  <c r="R264" i="5"/>
  <c r="X78" i="5"/>
  <c r="Y555" i="5"/>
  <c r="Y98" i="5"/>
  <c r="R24" i="5"/>
  <c r="Y63" i="5"/>
  <c r="X298" i="5"/>
  <c r="Y391" i="5"/>
  <c r="X299" i="5"/>
  <c r="Y72" i="5"/>
  <c r="Y361" i="5"/>
  <c r="X549" i="5"/>
  <c r="X60" i="5"/>
  <c r="X257" i="5"/>
  <c r="Y464" i="5"/>
  <c r="X229" i="5"/>
  <c r="X62" i="5"/>
  <c r="X537" i="5"/>
  <c r="Y542" i="5"/>
  <c r="Y287" i="5"/>
  <c r="X387" i="5"/>
  <c r="Y199" i="5"/>
  <c r="Y119" i="5"/>
  <c r="Y253" i="5"/>
  <c r="X198" i="5"/>
  <c r="Y506" i="5"/>
  <c r="X178" i="5"/>
  <c r="Y486" i="5"/>
  <c r="X505" i="5"/>
  <c r="Y189" i="5"/>
  <c r="Y237" i="5"/>
  <c r="X270" i="5"/>
  <c r="X89" i="5"/>
  <c r="Y454" i="5"/>
  <c r="X275" i="5"/>
  <c r="Y139" i="5"/>
  <c r="Y543" i="5"/>
  <c r="X478" i="5"/>
  <c r="X466" i="5"/>
  <c r="X21" i="5"/>
  <c r="Y281" i="5"/>
  <c r="X551" i="5"/>
  <c r="X23" i="5"/>
  <c r="Y38" i="5"/>
  <c r="X247" i="5"/>
  <c r="Y208" i="5"/>
  <c r="X482" i="5"/>
  <c r="Y433" i="5"/>
  <c r="R400" i="5"/>
  <c r="Y480" i="5"/>
  <c r="X511" i="5"/>
  <c r="S56" i="5"/>
  <c r="S272" i="5"/>
  <c r="Y382" i="5"/>
  <c r="Y473" i="5"/>
  <c r="X341" i="5"/>
  <c r="Y271" i="5"/>
  <c r="X300" i="5"/>
  <c r="Y172" i="5"/>
  <c r="Y460" i="5"/>
  <c r="Y305" i="5"/>
  <c r="X400" i="5"/>
  <c r="Y490" i="5"/>
  <c r="X390" i="5"/>
  <c r="X470" i="5"/>
  <c r="Y153" i="5"/>
  <c r="X222" i="5"/>
  <c r="X509" i="5"/>
  <c r="X393" i="5"/>
  <c r="X550" i="5"/>
  <c r="S120" i="5"/>
  <c r="Y293" i="5"/>
  <c r="X445" i="5"/>
  <c r="Y93" i="5"/>
  <c r="X351" i="5"/>
  <c r="Y353" i="5"/>
  <c r="X481" i="5"/>
  <c r="X223" i="5"/>
  <c r="X519" i="5"/>
  <c r="Y169" i="5"/>
  <c r="Y530" i="5"/>
  <c r="X174" i="5"/>
  <c r="X512" i="5"/>
  <c r="X428" i="5"/>
  <c r="X64" i="5"/>
  <c r="X248" i="5"/>
  <c r="X243" i="5"/>
  <c r="Y57" i="5"/>
  <c r="Y444" i="5"/>
  <c r="Y26" i="5"/>
  <c r="Y233" i="5"/>
  <c r="X58" i="5"/>
  <c r="X273" i="5"/>
  <c r="X475" i="5"/>
  <c r="X194" i="5"/>
  <c r="Y46" i="5"/>
  <c r="Y401" i="5"/>
  <c r="Y312" i="5"/>
  <c r="Y180" i="5"/>
  <c r="Y142" i="5"/>
  <c r="X304" i="5"/>
  <c r="W96" i="4"/>
  <c r="Y96" i="4" s="1"/>
  <c r="Z96" i="4" s="1"/>
  <c r="AF96" i="4" s="1"/>
  <c r="AO96" i="4" s="1"/>
  <c r="Y529" i="5"/>
  <c r="Y425" i="5"/>
  <c r="X498" i="5"/>
  <c r="Y131" i="5"/>
  <c r="W73" i="4"/>
  <c r="X73" i="4" s="1"/>
  <c r="AJ73" i="4" s="1"/>
  <c r="X108" i="5"/>
  <c r="Y77" i="5"/>
  <c r="X102" i="5"/>
  <c r="X438" i="5"/>
  <c r="Y197" i="5"/>
  <c r="Y359" i="5"/>
  <c r="X552" i="5"/>
  <c r="X263" i="5"/>
  <c r="Y152" i="5"/>
  <c r="X535" i="5"/>
  <c r="X472" i="5"/>
  <c r="Y42" i="5"/>
  <c r="X36" i="5"/>
  <c r="X546" i="5"/>
  <c r="Y339" i="5"/>
  <c r="X254" i="5"/>
  <c r="Y196" i="5"/>
  <c r="X73" i="5"/>
  <c r="Y239" i="5"/>
  <c r="Y173" i="5"/>
  <c r="X61" i="5"/>
  <c r="Y296" i="5"/>
  <c r="Y381" i="5"/>
  <c r="Y48" i="5"/>
  <c r="X244" i="5"/>
  <c r="Y99" i="5"/>
  <c r="AM98" i="4"/>
  <c r="X258" i="5"/>
  <c r="Y22" i="5"/>
  <c r="X536" i="5"/>
  <c r="Y493" i="5"/>
  <c r="X133" i="5"/>
  <c r="Y284" i="5"/>
  <c r="Y463" i="5"/>
  <c r="Y350" i="5"/>
  <c r="Y357" i="5"/>
  <c r="Y317" i="5"/>
  <c r="Y187" i="5"/>
  <c r="Y485" i="5"/>
  <c r="X280" i="5"/>
  <c r="Y500" i="5"/>
  <c r="X507" i="5"/>
  <c r="Y291" i="5"/>
  <c r="X66" i="5"/>
  <c r="Y520" i="5"/>
  <c r="R184" i="5"/>
  <c r="X477" i="5"/>
  <c r="Y402" i="5"/>
  <c r="Y216" i="5"/>
  <c r="R538" i="5"/>
  <c r="Y440" i="5"/>
  <c r="Y101" i="5"/>
  <c r="X327" i="5"/>
  <c r="Y408" i="5"/>
  <c r="Y436" i="5"/>
  <c r="X191" i="5"/>
  <c r="Y376" i="5"/>
  <c r="X515" i="5"/>
  <c r="Y213" i="5"/>
  <c r="X474" i="5"/>
  <c r="Y84" i="5"/>
  <c r="Y346" i="5"/>
  <c r="X261" i="5"/>
  <c r="Y81" i="5"/>
  <c r="Y175" i="5"/>
  <c r="Y526" i="5"/>
  <c r="X392" i="5"/>
  <c r="X354" i="5"/>
  <c r="Y75" i="5"/>
  <c r="Y97" i="5"/>
  <c r="X372" i="5"/>
  <c r="X442" i="5"/>
  <c r="X249" i="5"/>
  <c r="Y487" i="5"/>
  <c r="Y492" i="5"/>
  <c r="Y410" i="5"/>
  <c r="R192" i="5"/>
  <c r="R160" i="5"/>
  <c r="Y238" i="5"/>
  <c r="Y92" i="5"/>
  <c r="Y148" i="5"/>
  <c r="Y20" i="5"/>
  <c r="Y422" i="5"/>
  <c r="Y59" i="5"/>
  <c r="Y267" i="5"/>
  <c r="X32" i="5"/>
  <c r="X79" i="5"/>
  <c r="X201" i="5"/>
  <c r="R352" i="5"/>
  <c r="Y360" i="5"/>
  <c r="X210" i="5"/>
  <c r="X183" i="5"/>
  <c r="Y385" i="5"/>
  <c r="Y279" i="5"/>
  <c r="X504" i="5"/>
  <c r="X88" i="5"/>
  <c r="X559" i="5"/>
  <c r="X170" i="5"/>
  <c r="X283" i="5"/>
  <c r="Y39" i="5"/>
  <c r="X234" i="5"/>
  <c r="X501" i="5"/>
  <c r="X232" i="5"/>
  <c r="X538" i="5"/>
  <c r="X344" i="5"/>
  <c r="Y503" i="5"/>
  <c r="X165" i="5"/>
  <c r="X168" i="5"/>
  <c r="Y265" i="5"/>
  <c r="Y255" i="5"/>
  <c r="X488" i="5"/>
  <c r="X483" i="5"/>
  <c r="X497" i="5"/>
  <c r="X160" i="5"/>
  <c r="X136" i="5"/>
  <c r="Y423" i="5"/>
  <c r="Y121" i="5"/>
  <c r="X455" i="5"/>
  <c r="X508" i="5"/>
  <c r="X164" i="5"/>
  <c r="X375" i="5"/>
  <c r="X540" i="5"/>
  <c r="Y417" i="5"/>
  <c r="X151" i="5"/>
  <c r="Y76" i="5"/>
  <c r="Y371" i="5"/>
  <c r="Y330" i="5"/>
  <c r="X388" i="5"/>
  <c r="Y252" i="5"/>
  <c r="X532" i="5"/>
  <c r="X27" i="5"/>
  <c r="Y54" i="5"/>
  <c r="X207" i="5"/>
  <c r="X449" i="5"/>
  <c r="Y545" i="5"/>
  <c r="Y380" i="5"/>
  <c r="X104" i="5"/>
  <c r="Y30" i="5"/>
  <c r="X306" i="5"/>
  <c r="Y241" i="5"/>
  <c r="X349" i="5"/>
  <c r="X406" i="5"/>
  <c r="Y70" i="5"/>
  <c r="W140" i="4"/>
  <c r="Y140" i="4" s="1"/>
  <c r="AM140" i="4"/>
  <c r="W105" i="4"/>
  <c r="AM105" i="4"/>
  <c r="AS58" i="4"/>
  <c r="AS149" i="4"/>
  <c r="AS157" i="4"/>
  <c r="AS77" i="4"/>
  <c r="V22" i="4"/>
  <c r="AM22" i="4" s="1"/>
  <c r="AN22" i="4" s="1"/>
  <c r="AS39" i="4"/>
  <c r="V109" i="4"/>
  <c r="AM109" i="4" s="1"/>
  <c r="AN109" i="4" s="1"/>
  <c r="X496" i="5"/>
  <c r="Y217" i="5"/>
  <c r="Y221" i="5"/>
  <c r="X333" i="5"/>
  <c r="Y242" i="5"/>
  <c r="Y220" i="5"/>
  <c r="X471" i="5"/>
  <c r="Y150" i="5"/>
  <c r="X140" i="5"/>
  <c r="U24" i="4"/>
  <c r="AH24" i="4" s="1"/>
  <c r="AL84" i="4"/>
  <c r="AS84" i="4"/>
  <c r="AL155" i="4"/>
  <c r="U155" i="4"/>
  <c r="AL118" i="4"/>
  <c r="AN118" i="4" s="1"/>
  <c r="AS118" i="4"/>
  <c r="Y122" i="5"/>
  <c r="X122" i="5"/>
  <c r="V83" i="4"/>
  <c r="V67" i="4"/>
  <c r="AM67" i="4" s="1"/>
  <c r="AN67" i="4" s="1"/>
  <c r="X328" i="5"/>
  <c r="R288" i="5"/>
  <c r="V39" i="4"/>
  <c r="AM39" i="4" s="1"/>
  <c r="AN39" i="4" s="1"/>
  <c r="AS109" i="4"/>
  <c r="Y467" i="5"/>
  <c r="Y439" i="5"/>
  <c r="Y188" i="5"/>
  <c r="Y236" i="5"/>
  <c r="Y356" i="5"/>
  <c r="Y268" i="5"/>
  <c r="Y159" i="5"/>
  <c r="X476" i="5"/>
  <c r="U109" i="4"/>
  <c r="AH109" i="4" s="1"/>
  <c r="AL10" i="4"/>
  <c r="V10" i="4"/>
  <c r="AL101" i="4"/>
  <c r="U101" i="4"/>
  <c r="AH101" i="4" s="1"/>
  <c r="V101" i="4"/>
  <c r="AL62" i="4"/>
  <c r="AS62" i="4"/>
  <c r="V62" i="4"/>
  <c r="AS96" i="4"/>
  <c r="AL157" i="4"/>
  <c r="U157" i="4"/>
  <c r="AH157" i="4" s="1"/>
  <c r="AL77" i="4"/>
  <c r="U77" i="4"/>
  <c r="AH77" i="4" s="1"/>
  <c r="U42" i="4"/>
  <c r="AH42" i="4" s="1"/>
  <c r="AS33" i="4"/>
  <c r="U67" i="4"/>
  <c r="AH67" i="4" s="1"/>
  <c r="V15" i="4"/>
  <c r="AM15" i="4" s="1"/>
  <c r="AN15" i="4" s="1"/>
  <c r="AS121" i="4"/>
  <c r="V43" i="4"/>
  <c r="W43" i="4" s="1"/>
  <c r="Y43" i="4" s="1"/>
  <c r="X24" i="5"/>
  <c r="X256" i="5"/>
  <c r="AS135" i="4"/>
  <c r="Y352" i="5"/>
  <c r="U39" i="4"/>
  <c r="AH39" i="4" s="1"/>
  <c r="X123" i="5"/>
  <c r="Y246" i="5"/>
  <c r="Y523" i="5"/>
  <c r="Y190" i="5"/>
  <c r="X34" i="5"/>
  <c r="Y544" i="5"/>
  <c r="Y513" i="5"/>
  <c r="X149" i="5"/>
  <c r="V58" i="4"/>
  <c r="U91" i="4"/>
  <c r="AH91" i="4" s="1"/>
  <c r="AS101" i="4"/>
  <c r="AS137" i="4"/>
  <c r="AS42" i="4"/>
  <c r="V33" i="4"/>
  <c r="W33" i="4" s="1"/>
  <c r="Y33" i="4" s="1"/>
  <c r="Z33" i="4" s="1"/>
  <c r="AS67" i="4"/>
  <c r="AS15" i="4"/>
  <c r="V121" i="4"/>
  <c r="W121" i="4" s="1"/>
  <c r="Y121" i="4" s="1"/>
  <c r="Z121" i="4" s="1"/>
  <c r="U43" i="4"/>
  <c r="AH43" i="4" s="1"/>
  <c r="U129" i="4"/>
  <c r="AH129" i="4" s="1"/>
  <c r="AM9" i="5"/>
  <c r="AN9" i="5" s="1"/>
  <c r="AH103" i="4"/>
  <c r="V135" i="4"/>
  <c r="AM135" i="4" s="1"/>
  <c r="AN135" i="4" s="1"/>
  <c r="X447" i="5"/>
  <c r="X19" i="5"/>
  <c r="Y407" i="5"/>
  <c r="Y251" i="5"/>
  <c r="Y157" i="5"/>
  <c r="Y80" i="5"/>
  <c r="Y143" i="5"/>
  <c r="AL132" i="4"/>
  <c r="V132" i="4"/>
  <c r="U132" i="4"/>
  <c r="AH132" i="4" s="1"/>
  <c r="AL130" i="4"/>
  <c r="V130" i="4"/>
  <c r="AL98" i="4"/>
  <c r="AS98" i="4"/>
  <c r="Y469" i="5"/>
  <c r="X560" i="5"/>
  <c r="U94" i="4"/>
  <c r="AH94" i="4" s="1"/>
  <c r="V94" i="4"/>
  <c r="AS94" i="4"/>
  <c r="AL94" i="4"/>
  <c r="V155" i="4"/>
  <c r="V24" i="4"/>
  <c r="V129" i="4"/>
  <c r="AM129" i="4" s="1"/>
  <c r="AN129" i="4" s="1"/>
  <c r="AS72" i="4"/>
  <c r="V152" i="4"/>
  <c r="AM152" i="4" s="1"/>
  <c r="AN152" i="4" s="1"/>
  <c r="V148" i="4"/>
  <c r="AM148" i="4" s="1"/>
  <c r="AN148" i="4" s="1"/>
  <c r="X316" i="5"/>
  <c r="Y141" i="5"/>
  <c r="Y67" i="5"/>
  <c r="X177" i="5"/>
  <c r="Y429" i="5"/>
  <c r="Y521" i="5"/>
  <c r="Y430" i="5"/>
  <c r="Y556" i="5"/>
  <c r="X71" i="5"/>
  <c r="X348" i="5"/>
  <c r="X124" i="5"/>
  <c r="AS59" i="4"/>
  <c r="AL59" i="4"/>
  <c r="V59" i="4"/>
  <c r="U59" i="4"/>
  <c r="AH59" i="4" s="1"/>
  <c r="AS79" i="4"/>
  <c r="AL79" i="4"/>
  <c r="U79" i="4"/>
  <c r="AH79" i="4" s="1"/>
  <c r="V79" i="4"/>
  <c r="AL141" i="4"/>
  <c r="V141" i="4"/>
  <c r="AS73" i="4"/>
  <c r="AL73" i="4"/>
  <c r="AN73" i="4" s="1"/>
  <c r="AL133" i="4"/>
  <c r="U133" i="4"/>
  <c r="AH133" i="4" s="1"/>
  <c r="V133" i="4"/>
  <c r="AS18" i="4"/>
  <c r="AS130" i="4"/>
  <c r="AM11" i="5"/>
  <c r="AO11" i="5" s="1"/>
  <c r="AH122" i="4"/>
  <c r="V56" i="4"/>
  <c r="W56" i="4" s="1"/>
  <c r="Y56" i="4" s="1"/>
  <c r="Z56" i="4" s="1"/>
  <c r="U149" i="4"/>
  <c r="AH149" i="4" s="1"/>
  <c r="AS56" i="4"/>
  <c r="V72" i="4"/>
  <c r="AM72" i="4" s="1"/>
  <c r="AN72" i="4" s="1"/>
  <c r="AS152" i="4"/>
  <c r="U148" i="4"/>
  <c r="AH148" i="4" s="1"/>
  <c r="U22" i="4"/>
  <c r="AH22" i="4" s="1"/>
  <c r="AH23" i="4"/>
  <c r="Y384" i="5"/>
  <c r="X340" i="5"/>
  <c r="X114" i="5"/>
  <c r="AH96" i="4"/>
  <c r="AL34" i="4"/>
  <c r="AS34" i="4"/>
  <c r="V34" i="4"/>
  <c r="U34" i="4"/>
  <c r="AH34" i="4" s="1"/>
  <c r="AL140" i="4"/>
  <c r="U140" i="4"/>
  <c r="AH140" i="4" s="1"/>
  <c r="AS140" i="4"/>
  <c r="AL143" i="4"/>
  <c r="AS143" i="4"/>
  <c r="AL105" i="4"/>
  <c r="AS105" i="4"/>
  <c r="U105" i="4"/>
  <c r="AL21" i="4"/>
  <c r="V21" i="4"/>
  <c r="U21" i="4"/>
  <c r="AH21" i="4" s="1"/>
  <c r="AS21" i="4"/>
  <c r="AS132" i="4"/>
  <c r="V144" i="4"/>
  <c r="W118" i="4"/>
  <c r="Y118" i="4" s="1"/>
  <c r="Z118" i="4" s="1"/>
  <c r="Y8" i="5"/>
  <c r="X338" i="5"/>
  <c r="Y53" i="5"/>
  <c r="X420" i="5"/>
  <c r="X431" i="5"/>
  <c r="Y369" i="5"/>
  <c r="Y90" i="5"/>
  <c r="X548" i="5"/>
  <c r="X522" i="5"/>
  <c r="Y186" i="5"/>
  <c r="X468" i="5"/>
  <c r="X324" i="5"/>
  <c r="X226" i="5"/>
  <c r="X31" i="5"/>
  <c r="Y245" i="5"/>
  <c r="Y33" i="5"/>
  <c r="X195" i="5"/>
  <c r="X311" i="5"/>
  <c r="Y294" i="5"/>
  <c r="Y182" i="5"/>
  <c r="X25" i="5"/>
  <c r="Y494" i="5"/>
  <c r="Y443" i="5"/>
  <c r="X303" i="5"/>
  <c r="Y421" i="5"/>
  <c r="Y524" i="5"/>
  <c r="Y176" i="5"/>
  <c r="X44" i="5"/>
  <c r="Y418" i="5"/>
  <c r="X40" i="5"/>
  <c r="X91" i="5"/>
  <c r="X528" i="5"/>
  <c r="X368" i="5"/>
  <c r="X228" i="5"/>
  <c r="X127" i="5"/>
  <c r="Y127" i="5"/>
  <c r="X461" i="5"/>
  <c r="Y461" i="5"/>
  <c r="AH38" i="4"/>
  <c r="Y502" i="5"/>
  <c r="Y450" i="5"/>
  <c r="X309" i="5"/>
  <c r="X146" i="5"/>
  <c r="X166" i="5"/>
  <c r="Y109" i="5"/>
  <c r="Y230" i="5"/>
  <c r="X230" i="5"/>
  <c r="X171" i="5"/>
  <c r="Y171" i="5"/>
  <c r="Y113" i="5"/>
  <c r="X113" i="5"/>
  <c r="Y377" i="5"/>
  <c r="X377" i="5"/>
  <c r="Y193" i="5"/>
  <c r="X193" i="5"/>
  <c r="Y285" i="5"/>
  <c r="X285" i="5"/>
  <c r="X235" i="5"/>
  <c r="Y235" i="5"/>
  <c r="X94" i="5"/>
  <c r="Y370" i="5"/>
  <c r="X370" i="5"/>
  <c r="AH11" i="4"/>
  <c r="Y397" i="5"/>
  <c r="X111" i="5"/>
  <c r="X495" i="5"/>
  <c r="Y105" i="5"/>
  <c r="Y396" i="5"/>
  <c r="X367" i="5"/>
  <c r="X414" i="5"/>
  <c r="X462" i="5"/>
  <c r="Y209" i="5"/>
  <c r="X459" i="5"/>
  <c r="Y459" i="5"/>
  <c r="X307" i="5"/>
  <c r="Y307" i="5"/>
  <c r="Y527" i="5"/>
  <c r="AH15" i="4"/>
  <c r="AH53" i="4"/>
  <c r="X534" i="5"/>
  <c r="X227" i="5"/>
  <c r="Y116" i="5"/>
  <c r="Y250" i="5"/>
  <c r="Y107" i="5"/>
  <c r="Y162" i="5"/>
  <c r="X295" i="5"/>
  <c r="Y49" i="5"/>
  <c r="X49" i="5"/>
  <c r="X413" i="5"/>
  <c r="X398" i="5"/>
  <c r="Y419" i="5"/>
  <c r="Y558" i="5"/>
  <c r="Y452" i="5"/>
  <c r="X452" i="5"/>
  <c r="X147" i="5"/>
  <c r="Y147" i="5"/>
  <c r="X47" i="5"/>
  <c r="Y47" i="5"/>
  <c r="Y446" i="5"/>
  <c r="X292" i="5"/>
  <c r="Y336" i="5"/>
  <c r="Y41" i="5"/>
  <c r="X347" i="5"/>
  <c r="Y364" i="5"/>
  <c r="AH74" i="4"/>
  <c r="Y185" i="5"/>
  <c r="Y37" i="5"/>
  <c r="Y362" i="5"/>
  <c r="Y411" i="5"/>
  <c r="Y144" i="5"/>
  <c r="Y308" i="5"/>
  <c r="X224" i="5"/>
  <c r="Y337" i="5"/>
  <c r="X231" i="5"/>
  <c r="X335" i="5"/>
  <c r="Y297" i="5"/>
  <c r="Y87" i="5"/>
  <c r="Y547" i="5"/>
  <c r="X547" i="5"/>
  <c r="AH8" i="4"/>
  <c r="Y318" i="5"/>
  <c r="X322" i="5"/>
  <c r="Y134" i="5"/>
  <c r="Y163" i="5"/>
  <c r="Y539" i="5"/>
  <c r="Y379" i="5"/>
  <c r="Y225" i="5"/>
  <c r="X457" i="5"/>
  <c r="Y325" i="5"/>
  <c r="X325" i="5"/>
  <c r="X489" i="5"/>
  <c r="Y489" i="5"/>
  <c r="X205" i="5"/>
  <c r="Y205" i="5"/>
  <c r="AJ11" i="5"/>
  <c r="AK11" i="5" s="1"/>
  <c r="AM84" i="4"/>
  <c r="W84" i="4"/>
  <c r="X138" i="5"/>
  <c r="Y499" i="5"/>
  <c r="X499" i="5"/>
  <c r="Y514" i="5"/>
  <c r="X203" i="5"/>
  <c r="Y103" i="5"/>
  <c r="X103" i="5"/>
  <c r="Y404" i="5"/>
  <c r="X404" i="5"/>
  <c r="X345" i="5"/>
  <c r="Y345" i="5"/>
  <c r="W9" i="5"/>
  <c r="T9" i="5"/>
  <c r="AG9" i="5"/>
  <c r="Q9" i="5"/>
  <c r="X118" i="5"/>
  <c r="Y118" i="5"/>
  <c r="X374" i="5"/>
  <c r="Y374" i="5"/>
  <c r="Y315" i="5"/>
  <c r="X315" i="5"/>
  <c r="X516" i="5"/>
  <c r="P326" i="5"/>
  <c r="P32" i="5"/>
  <c r="P375" i="5"/>
  <c r="P445" i="5"/>
  <c r="P93" i="5"/>
  <c r="P342" i="5"/>
  <c r="P195" i="5"/>
  <c r="P279" i="5"/>
  <c r="P242" i="5"/>
  <c r="P465" i="5"/>
  <c r="P263" i="5"/>
  <c r="P210" i="5"/>
  <c r="P72" i="5"/>
  <c r="P454" i="5"/>
  <c r="P270" i="5"/>
  <c r="P475" i="5"/>
  <c r="P254" i="5"/>
  <c r="P98" i="5"/>
  <c r="P460" i="5"/>
  <c r="P492" i="5"/>
  <c r="P282" i="5"/>
  <c r="P172" i="5"/>
  <c r="P132" i="5"/>
  <c r="P413" i="5"/>
  <c r="P438" i="5"/>
  <c r="P336" i="5"/>
  <c r="P428" i="5"/>
  <c r="P115" i="5"/>
  <c r="P140" i="5"/>
  <c r="P154" i="5"/>
  <c r="P528" i="5"/>
  <c r="P322" i="5"/>
  <c r="P398" i="5"/>
  <c r="P327" i="5"/>
  <c r="P332" i="5"/>
  <c r="P53" i="5"/>
  <c r="P213" i="5"/>
  <c r="P409" i="5"/>
  <c r="P385" i="5"/>
  <c r="P557" i="5"/>
  <c r="P560" i="5"/>
  <c r="P27" i="5"/>
  <c r="P36" i="5"/>
  <c r="P504" i="5"/>
  <c r="P266" i="5"/>
  <c r="P264" i="5"/>
  <c r="P468" i="5"/>
  <c r="P11" i="5"/>
  <c r="P476" i="5"/>
  <c r="P436" i="5"/>
  <c r="P146" i="5"/>
  <c r="P548" i="5"/>
  <c r="P78" i="5"/>
  <c r="P352" i="5"/>
  <c r="P104" i="5"/>
  <c r="P404" i="5"/>
  <c r="P382" i="5"/>
  <c r="P239" i="5"/>
  <c r="P33" i="5"/>
  <c r="P479" i="5"/>
  <c r="P247" i="5"/>
  <c r="P477" i="5"/>
  <c r="P143" i="5"/>
  <c r="P505" i="5"/>
  <c r="P538" i="5"/>
  <c r="P376" i="5"/>
  <c r="P121" i="5"/>
  <c r="P109" i="5"/>
  <c r="P388" i="5"/>
  <c r="P131" i="5"/>
  <c r="P373" i="5"/>
  <c r="P116" i="5"/>
  <c r="P537" i="5"/>
  <c r="P514" i="5"/>
  <c r="P499" i="5"/>
  <c r="P311" i="5"/>
  <c r="P387" i="5"/>
  <c r="P170" i="5"/>
  <c r="P248" i="5"/>
  <c r="P318" i="5"/>
  <c r="P293" i="5"/>
  <c r="P464" i="5"/>
  <c r="P128" i="5"/>
  <c r="P35" i="5"/>
  <c r="P22" i="5"/>
  <c r="P364" i="5"/>
  <c r="P530" i="5"/>
  <c r="P296" i="5"/>
  <c r="P486" i="5"/>
  <c r="P230" i="5"/>
  <c r="P452" i="5"/>
  <c r="P295" i="5"/>
  <c r="P187" i="5"/>
  <c r="P163" i="5"/>
  <c r="P66" i="5"/>
  <c r="P356" i="5"/>
  <c r="P369" i="5"/>
  <c r="P312" i="5"/>
  <c r="P51" i="5"/>
  <c r="P467" i="5"/>
  <c r="P12" i="5"/>
  <c r="P134" i="5"/>
  <c r="P501" i="5"/>
  <c r="P315" i="5"/>
  <c r="P152" i="5"/>
  <c r="P106" i="5"/>
  <c r="P67" i="5"/>
  <c r="P240" i="5"/>
  <c r="P553" i="5"/>
  <c r="P357" i="5"/>
  <c r="P473" i="5"/>
  <c r="P105" i="5"/>
  <c r="P396" i="5"/>
  <c r="P215" i="5"/>
  <c r="P150" i="5"/>
  <c r="P194" i="5"/>
  <c r="P103" i="5"/>
  <c r="P304" i="5"/>
  <c r="P75" i="5"/>
  <c r="P201" i="5"/>
  <c r="P298" i="5"/>
  <c r="P457" i="5"/>
  <c r="P395" i="5"/>
  <c r="P427" i="5"/>
  <c r="P156" i="5"/>
  <c r="P56" i="5"/>
  <c r="P219" i="5"/>
  <c r="P258" i="5"/>
  <c r="P453" i="5"/>
  <c r="P419" i="5"/>
  <c r="P440" i="5"/>
  <c r="P372" i="5"/>
  <c r="P144" i="5"/>
  <c r="P439" i="5"/>
  <c r="P273" i="5"/>
  <c r="P392" i="5"/>
  <c r="P28" i="5"/>
  <c r="P435" i="5"/>
  <c r="P474" i="5"/>
  <c r="P490" i="5"/>
  <c r="P100" i="5"/>
  <c r="P168" i="5"/>
  <c r="P19" i="5"/>
  <c r="P360" i="5"/>
  <c r="P193" i="5"/>
  <c r="P160" i="5"/>
  <c r="P124" i="5"/>
  <c r="P229" i="5"/>
  <c r="P255" i="5"/>
  <c r="P299" i="5"/>
  <c r="P268" i="5"/>
  <c r="P54" i="5"/>
  <c r="P503" i="5"/>
  <c r="P207" i="5"/>
  <c r="P543" i="5"/>
  <c r="P149" i="5"/>
  <c r="P44" i="5"/>
  <c r="P80" i="5"/>
  <c r="P269" i="5"/>
  <c r="P158" i="5"/>
  <c r="P523" i="5"/>
  <c r="P233" i="5"/>
  <c r="P330" i="5"/>
  <c r="P378" i="5"/>
  <c r="P192" i="5"/>
  <c r="P246" i="5"/>
  <c r="P200" i="5"/>
  <c r="P287" i="5"/>
  <c r="P232" i="5"/>
  <c r="P88" i="5"/>
  <c r="P218" i="5"/>
  <c r="P259" i="5"/>
  <c r="P231" i="5"/>
  <c r="P161" i="5"/>
  <c r="P549" i="5"/>
  <c r="P175" i="5"/>
  <c r="P433" i="5"/>
  <c r="P281" i="5"/>
  <c r="P502" i="5"/>
  <c r="P24" i="5"/>
  <c r="P120" i="5"/>
  <c r="P506" i="5"/>
  <c r="P112" i="5"/>
  <c r="P97" i="5"/>
  <c r="P459" i="5"/>
  <c r="P173" i="5"/>
  <c r="P74" i="5"/>
  <c r="P493" i="5"/>
  <c r="P344" i="5"/>
  <c r="P186" i="5"/>
  <c r="P339" i="5"/>
  <c r="P346" i="5"/>
  <c r="P145" i="5"/>
  <c r="P226" i="5"/>
  <c r="P489" i="5"/>
  <c r="P261" i="5"/>
  <c r="P370" i="5"/>
  <c r="P283" i="5"/>
  <c r="P221" i="5"/>
  <c r="P46" i="5"/>
  <c r="P554" i="5"/>
  <c r="P177" i="5"/>
  <c r="P516" i="5"/>
  <c r="P358" i="5"/>
  <c r="P447" i="5"/>
  <c r="P204" i="5"/>
  <c r="P275" i="5"/>
  <c r="P434" i="5"/>
  <c r="P211" i="5"/>
  <c r="P85" i="5"/>
  <c r="P38" i="5"/>
  <c r="P350" i="5"/>
  <c r="P71" i="5"/>
  <c r="P485" i="5"/>
  <c r="P271" i="5"/>
  <c r="P43" i="5"/>
  <c r="P250" i="5"/>
  <c r="P559" i="5"/>
  <c r="P73" i="5"/>
  <c r="P347" i="5"/>
  <c r="P49" i="5"/>
  <c r="P472" i="5"/>
  <c r="P48" i="5"/>
  <c r="P110" i="5"/>
  <c r="P442" i="5"/>
  <c r="P420" i="5"/>
  <c r="P400" i="5"/>
  <c r="P397" i="5"/>
  <c r="P34" i="5"/>
  <c r="P203" i="5"/>
  <c r="P519" i="5"/>
  <c r="P123" i="5"/>
  <c r="P113" i="5"/>
  <c r="P305" i="5"/>
  <c r="P243" i="5"/>
  <c r="P47" i="5"/>
  <c r="P386" i="5"/>
  <c r="P313" i="5"/>
  <c r="P424" i="5"/>
  <c r="P328" i="5"/>
  <c r="P402" i="5"/>
  <c r="P294" i="5"/>
  <c r="P343" i="5"/>
  <c r="P359" i="5"/>
  <c r="P61" i="5"/>
  <c r="P354" i="5"/>
  <c r="P544" i="5"/>
  <c r="P345" i="5"/>
  <c r="P63" i="5"/>
  <c r="P135" i="5"/>
  <c r="P362" i="5"/>
  <c r="P165" i="5"/>
  <c r="P507" i="5"/>
  <c r="P338" i="5"/>
  <c r="P518" i="5"/>
  <c r="P421" i="5"/>
  <c r="P69" i="5"/>
  <c r="P183" i="5"/>
  <c r="P290" i="5"/>
  <c r="P510" i="5"/>
  <c r="P300" i="5"/>
  <c r="P189" i="5"/>
  <c r="P23" i="5"/>
  <c r="P462" i="5"/>
  <c r="P59" i="5"/>
  <c r="P450" i="5"/>
  <c r="P306" i="5"/>
  <c r="P374" i="5"/>
  <c r="P353" i="5"/>
  <c r="P535" i="5"/>
  <c r="P235" i="5"/>
  <c r="P301" i="5"/>
  <c r="P209" i="5"/>
  <c r="P390" i="5"/>
  <c r="P65" i="5"/>
  <c r="P317" i="5"/>
  <c r="P81" i="5"/>
  <c r="P237" i="5"/>
  <c r="P202" i="5"/>
  <c r="P176" i="5"/>
  <c r="P236" i="5"/>
  <c r="P188" i="5"/>
  <c r="P451" i="5"/>
  <c r="P411" i="5"/>
  <c r="P122" i="5"/>
  <c r="P547" i="5"/>
  <c r="P83" i="5"/>
  <c r="P274" i="5"/>
  <c r="P129" i="5"/>
  <c r="P111" i="5"/>
  <c r="P491" i="5"/>
  <c r="P166" i="5"/>
  <c r="P288" i="5"/>
  <c r="P214" i="5"/>
  <c r="P449" i="5"/>
  <c r="P363" i="5"/>
  <c r="P77" i="5"/>
  <c r="P171" i="5"/>
  <c r="P216" i="5"/>
  <c r="P431" i="5"/>
  <c r="P119" i="5"/>
  <c r="P245" i="5"/>
  <c r="P463" i="5"/>
  <c r="P222" i="5"/>
  <c r="P118" i="5"/>
  <c r="P552" i="5"/>
  <c r="P205" i="5"/>
  <c r="P401" i="5"/>
  <c r="P280" i="5"/>
  <c r="P522" i="5"/>
  <c r="P422" i="5"/>
  <c r="P84" i="5"/>
  <c r="P94" i="5"/>
  <c r="P368" i="5"/>
  <c r="P456" i="5"/>
  <c r="P86" i="5"/>
  <c r="P414" i="5"/>
  <c r="P515" i="5"/>
  <c r="P162" i="5"/>
  <c r="P92" i="5"/>
  <c r="P484" i="5"/>
  <c r="P31" i="5"/>
  <c r="P334" i="5"/>
  <c r="P52" i="5"/>
  <c r="P406" i="5"/>
  <c r="P249" i="5"/>
  <c r="P126" i="5"/>
  <c r="P418" i="5"/>
  <c r="P212" i="5"/>
  <c r="P366" i="5"/>
  <c r="P417" i="5"/>
  <c r="P539" i="5"/>
  <c r="P365" i="5"/>
  <c r="P335" i="5"/>
  <c r="P348" i="5"/>
  <c r="P310" i="5"/>
  <c r="P542" i="5"/>
  <c r="P532" i="5"/>
  <c r="P470" i="5"/>
  <c r="P130" i="5"/>
  <c r="P89" i="5"/>
  <c r="P276" i="5"/>
  <c r="P471" i="5"/>
  <c r="P399" i="5"/>
  <c r="P29" i="5"/>
  <c r="P244" i="5"/>
  <c r="P410" i="5"/>
  <c r="P153" i="5"/>
  <c r="P308" i="5"/>
  <c r="P540" i="5"/>
  <c r="P147" i="5"/>
  <c r="P164" i="5"/>
  <c r="P408" i="5"/>
  <c r="P319" i="5"/>
  <c r="P511" i="5"/>
  <c r="P320" i="5"/>
  <c r="P443" i="5"/>
  <c r="P289" i="5"/>
  <c r="P50" i="5"/>
  <c r="P151" i="5"/>
  <c r="P291" i="5"/>
  <c r="P480" i="5"/>
  <c r="P37" i="5"/>
  <c r="P531" i="5"/>
  <c r="P534" i="5"/>
  <c r="P225" i="5"/>
  <c r="P136" i="5"/>
  <c r="P526" i="5"/>
  <c r="P224" i="5"/>
  <c r="P333" i="5"/>
  <c r="P340" i="5"/>
  <c r="P556" i="5"/>
  <c r="P430" i="5"/>
  <c r="P96" i="5"/>
  <c r="P139" i="5"/>
  <c r="P384" i="5"/>
  <c r="P496" i="5"/>
  <c r="P91" i="5"/>
  <c r="P355" i="5"/>
  <c r="P558" i="5"/>
  <c r="P208" i="5"/>
  <c r="P142" i="5"/>
  <c r="P533" i="5"/>
  <c r="P181" i="5"/>
  <c r="P377" i="5"/>
  <c r="P198" i="5"/>
  <c r="P498" i="5"/>
  <c r="P278" i="5"/>
  <c r="P10" i="5"/>
  <c r="P114" i="5"/>
  <c r="P323" i="5"/>
  <c r="P525" i="5"/>
  <c r="P513" i="5"/>
  <c r="P512" i="5"/>
  <c r="P367" i="5"/>
  <c r="P90" i="5"/>
  <c r="P196" i="5"/>
  <c r="P316" i="5"/>
  <c r="P536" i="5"/>
  <c r="P148" i="5"/>
  <c r="P551" i="5"/>
  <c r="P546" i="5"/>
  <c r="P455" i="5"/>
  <c r="P79" i="5"/>
  <c r="P541" i="5"/>
  <c r="P241" i="5"/>
  <c r="P314" i="5"/>
  <c r="P285" i="5"/>
  <c r="P500" i="5"/>
  <c r="P302" i="5"/>
  <c r="P39" i="5"/>
  <c r="P101" i="5"/>
  <c r="P303" i="5"/>
  <c r="P371" i="5"/>
  <c r="P62" i="5"/>
  <c r="P307" i="5"/>
  <c r="P68" i="5"/>
  <c r="P169" i="5"/>
  <c r="P416" i="5"/>
  <c r="P412" i="5"/>
  <c r="P41" i="5"/>
  <c r="P555" i="5"/>
  <c r="P127" i="5"/>
  <c r="P379" i="5"/>
  <c r="P117" i="5"/>
  <c r="P297" i="5"/>
  <c r="P260" i="5"/>
  <c r="P8" i="5"/>
  <c r="P108" i="5"/>
  <c r="P337" i="5"/>
  <c r="P481" i="5"/>
  <c r="P448" i="5"/>
  <c r="P125" i="5"/>
  <c r="P425" i="5"/>
  <c r="P178" i="5"/>
  <c r="P157" i="5"/>
  <c r="P466" i="5"/>
  <c r="P137" i="5"/>
  <c r="P426" i="5"/>
  <c r="P228" i="5"/>
  <c r="P380" i="5"/>
  <c r="P361" i="5"/>
  <c r="P42" i="5"/>
  <c r="P159" i="5"/>
  <c r="P383" i="5"/>
  <c r="P461" i="5"/>
  <c r="P441" i="5"/>
  <c r="P517" i="5"/>
  <c r="P381" i="5"/>
  <c r="P190" i="5"/>
  <c r="P107" i="5"/>
  <c r="P509" i="5"/>
  <c r="P99" i="5"/>
  <c r="P238" i="5"/>
  <c r="P95" i="5"/>
  <c r="P284" i="5"/>
  <c r="P253" i="5"/>
  <c r="P217" i="5"/>
  <c r="P21" i="5"/>
  <c r="P286" i="5"/>
  <c r="P437" i="5"/>
  <c r="P469" i="5"/>
  <c r="P394" i="5"/>
  <c r="P251" i="5"/>
  <c r="P60" i="5"/>
  <c r="P155" i="5"/>
  <c r="P331" i="5"/>
  <c r="P521" i="5"/>
  <c r="P58" i="5"/>
  <c r="P446" i="5"/>
  <c r="P432" i="5"/>
  <c r="P483" i="5"/>
  <c r="P351" i="5"/>
  <c r="P527" i="5"/>
  <c r="P257" i="5"/>
  <c r="P197" i="5"/>
  <c r="P482" i="5"/>
  <c r="P444" i="5"/>
  <c r="P429" i="5"/>
  <c r="P234" i="5"/>
  <c r="P184" i="5"/>
  <c r="P141" i="5"/>
  <c r="P277" i="5"/>
  <c r="P341" i="5"/>
  <c r="P87" i="5"/>
  <c r="P185" i="5"/>
  <c r="P64" i="5"/>
  <c r="P70" i="5"/>
  <c r="P550" i="5"/>
  <c r="P138" i="5"/>
  <c r="P191" i="5"/>
  <c r="P30" i="5"/>
  <c r="P524" i="5"/>
  <c r="P13" i="5"/>
  <c r="P494" i="5"/>
  <c r="P223" i="5"/>
  <c r="P252" i="5"/>
  <c r="P57" i="5"/>
  <c r="P262" i="5"/>
  <c r="P520" i="5"/>
  <c r="P403" i="5"/>
  <c r="P423" i="5"/>
  <c r="P206" i="5"/>
  <c r="P133" i="5"/>
  <c r="P76" i="5"/>
  <c r="P407" i="5"/>
  <c r="P26" i="5"/>
  <c r="P324" i="5"/>
  <c r="P220" i="5"/>
  <c r="P292" i="5"/>
  <c r="P309" i="5"/>
  <c r="P40" i="5"/>
  <c r="P82" i="5"/>
  <c r="P329" i="5"/>
  <c r="P497" i="5"/>
  <c r="P389" i="5"/>
  <c r="P349" i="5"/>
  <c r="P265" i="5"/>
  <c r="P179" i="5"/>
  <c r="P45" i="5"/>
  <c r="P488" i="5"/>
  <c r="P180" i="5"/>
  <c r="P321" i="5"/>
  <c r="P415" i="5"/>
  <c r="P267" i="5"/>
  <c r="P174" i="5"/>
  <c r="P167" i="5"/>
  <c r="P20" i="5"/>
  <c r="P227" i="5"/>
  <c r="P393" i="5"/>
  <c r="P256" i="5"/>
  <c r="P529" i="5"/>
  <c r="P272" i="5"/>
  <c r="P9" i="5"/>
  <c r="P102" i="5"/>
  <c r="P199" i="5"/>
  <c r="P508" i="5"/>
  <c r="P478" i="5"/>
  <c r="P25" i="5"/>
  <c r="P325" i="5"/>
  <c r="P545" i="5"/>
  <c r="P458" i="5"/>
  <c r="P495" i="5"/>
  <c r="P182" i="5"/>
  <c r="P55" i="5"/>
  <c r="P391" i="5"/>
  <c r="P405" i="5"/>
  <c r="S474" i="5"/>
  <c r="R474" i="5"/>
  <c r="R548" i="5"/>
  <c r="S548" i="5"/>
  <c r="R525" i="5"/>
  <c r="S525" i="5"/>
  <c r="S36" i="5"/>
  <c r="R36" i="5"/>
  <c r="R134" i="5"/>
  <c r="S134" i="5"/>
  <c r="R397" i="5"/>
  <c r="S397" i="5"/>
  <c r="S501" i="5"/>
  <c r="R501" i="5"/>
  <c r="R394" i="5"/>
  <c r="S394" i="5"/>
  <c r="R157" i="5"/>
  <c r="S157" i="5"/>
  <c r="R194" i="5"/>
  <c r="S194" i="5"/>
  <c r="S270" i="5"/>
  <c r="R270" i="5"/>
  <c r="R286" i="5"/>
  <c r="S286" i="5"/>
  <c r="R214" i="5"/>
  <c r="S214" i="5"/>
  <c r="R241" i="5"/>
  <c r="S241" i="5"/>
  <c r="R190" i="5"/>
  <c r="S190" i="5"/>
  <c r="S132" i="5"/>
  <c r="R132" i="5"/>
  <c r="R162" i="5"/>
  <c r="S162" i="5"/>
  <c r="S530" i="5"/>
  <c r="R530" i="5"/>
  <c r="S483" i="5"/>
  <c r="R483" i="5"/>
  <c r="R282" i="5"/>
  <c r="S282" i="5"/>
  <c r="S211" i="5"/>
  <c r="R211" i="5"/>
  <c r="R171" i="5"/>
  <c r="S171" i="5"/>
  <c r="R121" i="5"/>
  <c r="S121" i="5"/>
  <c r="R61" i="5"/>
  <c r="S61" i="5"/>
  <c r="S522" i="5"/>
  <c r="R522" i="5"/>
  <c r="S477" i="5"/>
  <c r="R477" i="5"/>
  <c r="R370" i="5"/>
  <c r="S370" i="5"/>
  <c r="S257" i="5"/>
  <c r="R257" i="5"/>
  <c r="R313" i="5"/>
  <c r="S313" i="5"/>
  <c r="R164" i="5"/>
  <c r="S164" i="5"/>
  <c r="S89" i="5"/>
  <c r="R89" i="5"/>
  <c r="S42" i="5"/>
  <c r="R42" i="5"/>
  <c r="S518" i="5"/>
  <c r="R518" i="5"/>
  <c r="R473" i="5"/>
  <c r="S473" i="5"/>
  <c r="R249" i="5"/>
  <c r="S249" i="5"/>
  <c r="S141" i="5"/>
  <c r="R141" i="5"/>
  <c r="R233" i="5"/>
  <c r="S233" i="5"/>
  <c r="S105" i="5"/>
  <c r="R105" i="5"/>
  <c r="R63" i="5"/>
  <c r="S63" i="5"/>
  <c r="S443" i="5"/>
  <c r="R443" i="5"/>
  <c r="R467" i="5"/>
  <c r="S467" i="5"/>
  <c r="R351" i="5"/>
  <c r="S351" i="5"/>
  <c r="S350" i="5"/>
  <c r="R350" i="5"/>
  <c r="S299" i="5"/>
  <c r="R299" i="5"/>
  <c r="R183" i="5"/>
  <c r="S183" i="5"/>
  <c r="S103" i="5"/>
  <c r="R103" i="5"/>
  <c r="S26" i="5"/>
  <c r="R26" i="5"/>
  <c r="S502" i="5"/>
  <c r="R502" i="5"/>
  <c r="S468" i="5"/>
  <c r="R468" i="5"/>
  <c r="S442" i="5"/>
  <c r="R442" i="5"/>
  <c r="S326" i="5"/>
  <c r="R326" i="5"/>
  <c r="S228" i="5"/>
  <c r="R228" i="5"/>
  <c r="R83" i="5"/>
  <c r="S83" i="5"/>
  <c r="R58" i="5"/>
  <c r="S58" i="5"/>
  <c r="R364" i="5"/>
  <c r="S364" i="5"/>
  <c r="R452" i="5"/>
  <c r="S452" i="5"/>
  <c r="R338" i="5"/>
  <c r="S338" i="5"/>
  <c r="S346" i="5"/>
  <c r="R346" i="5"/>
  <c r="S291" i="5"/>
  <c r="R291" i="5"/>
  <c r="S179" i="5"/>
  <c r="R179" i="5"/>
  <c r="R82" i="5"/>
  <c r="S82" i="5"/>
  <c r="S516" i="5"/>
  <c r="R516" i="5"/>
  <c r="S444" i="5"/>
  <c r="R444" i="5"/>
  <c r="S387" i="5"/>
  <c r="R387" i="5"/>
  <c r="S407" i="5"/>
  <c r="R407" i="5"/>
  <c r="R285" i="5"/>
  <c r="S285" i="5"/>
  <c r="R107" i="5"/>
  <c r="S107" i="5"/>
  <c r="R100" i="5"/>
  <c r="S100" i="5"/>
  <c r="S50" i="5"/>
  <c r="R50" i="5"/>
  <c r="S383" i="5"/>
  <c r="R383" i="5"/>
  <c r="S521" i="5"/>
  <c r="R521" i="5"/>
  <c r="S495" i="5"/>
  <c r="R495" i="5"/>
  <c r="R542" i="5"/>
  <c r="S542" i="5"/>
  <c r="R459" i="5"/>
  <c r="S459" i="5"/>
  <c r="S119" i="5"/>
  <c r="R119" i="5"/>
  <c r="R205" i="5"/>
  <c r="S205" i="5"/>
  <c r="R325" i="5"/>
  <c r="S325" i="5"/>
  <c r="S310" i="5"/>
  <c r="R310" i="5"/>
  <c r="S303" i="5"/>
  <c r="R303" i="5"/>
  <c r="S66" i="5"/>
  <c r="R66" i="5"/>
  <c r="S244" i="5"/>
  <c r="R244" i="5"/>
  <c r="R139" i="5"/>
  <c r="S139" i="5"/>
  <c r="S158" i="5"/>
  <c r="R158" i="5"/>
  <c r="R131" i="5"/>
  <c r="S131" i="5"/>
  <c r="R109" i="5"/>
  <c r="S109" i="5"/>
  <c r="R93" i="5"/>
  <c r="S93" i="5"/>
  <c r="R484" i="5"/>
  <c r="S484" i="5"/>
  <c r="S461" i="5"/>
  <c r="R461" i="5"/>
  <c r="S438" i="5"/>
  <c r="R438" i="5"/>
  <c r="S307" i="5"/>
  <c r="R307" i="5"/>
  <c r="R219" i="5"/>
  <c r="S219" i="5"/>
  <c r="R149" i="5"/>
  <c r="S149" i="5"/>
  <c r="R38" i="5"/>
  <c r="S38" i="5"/>
  <c r="R552" i="5"/>
  <c r="S552" i="5"/>
  <c r="S435" i="5"/>
  <c r="R435" i="5"/>
  <c r="R263" i="5"/>
  <c r="S263" i="5"/>
  <c r="R329" i="5"/>
  <c r="S329" i="5"/>
  <c r="R269" i="5"/>
  <c r="S269" i="5"/>
  <c r="S166" i="5"/>
  <c r="R166" i="5"/>
  <c r="S110" i="5"/>
  <c r="R110" i="5"/>
  <c r="S19" i="5"/>
  <c r="R19" i="5"/>
  <c r="R465" i="5"/>
  <c r="S465" i="5"/>
  <c r="R453" i="5"/>
  <c r="S453" i="5"/>
  <c r="S423" i="5"/>
  <c r="R423" i="5"/>
  <c r="R300" i="5"/>
  <c r="S300" i="5"/>
  <c r="R191" i="5"/>
  <c r="S191" i="5"/>
  <c r="R140" i="5"/>
  <c r="S140" i="5"/>
  <c r="R59" i="5"/>
  <c r="S59" i="5"/>
  <c r="R532" i="5"/>
  <c r="S532" i="5"/>
  <c r="R422" i="5"/>
  <c r="S422" i="5"/>
  <c r="S414" i="5"/>
  <c r="R414" i="5"/>
  <c r="S317" i="5"/>
  <c r="R317" i="5"/>
  <c r="R246" i="5"/>
  <c r="S246" i="5"/>
  <c r="R145" i="5"/>
  <c r="S145" i="5"/>
  <c r="R87" i="5"/>
  <c r="S87" i="5"/>
  <c r="S539" i="5"/>
  <c r="R539" i="5"/>
  <c r="S449" i="5"/>
  <c r="R449" i="5"/>
  <c r="R393" i="5"/>
  <c r="S393" i="5"/>
  <c r="S411" i="5"/>
  <c r="R411" i="5"/>
  <c r="R293" i="5"/>
  <c r="S293" i="5"/>
  <c r="S186" i="5"/>
  <c r="R186" i="5"/>
  <c r="R125" i="5"/>
  <c r="S125" i="5"/>
  <c r="S27" i="5"/>
  <c r="R27" i="5"/>
  <c r="R508" i="5"/>
  <c r="S508" i="5"/>
  <c r="R410" i="5"/>
  <c r="S410" i="5"/>
  <c r="R404" i="5"/>
  <c r="S404" i="5"/>
  <c r="S309" i="5"/>
  <c r="R309" i="5"/>
  <c r="R213" i="5"/>
  <c r="S213" i="5"/>
  <c r="S188" i="5"/>
  <c r="R188" i="5"/>
  <c r="S95" i="5"/>
  <c r="R95" i="5"/>
  <c r="R544" i="5"/>
  <c r="S544" i="5"/>
  <c r="S510" i="5"/>
  <c r="R510" i="5"/>
  <c r="S412" i="5"/>
  <c r="R412" i="5"/>
  <c r="R372" i="5"/>
  <c r="S372" i="5"/>
  <c r="S229" i="5"/>
  <c r="R229" i="5"/>
  <c r="R199" i="5"/>
  <c r="S199" i="5"/>
  <c r="R137" i="5"/>
  <c r="S137" i="5"/>
  <c r="S25" i="5"/>
  <c r="R25" i="5"/>
  <c r="R262" i="5"/>
  <c r="S262" i="5"/>
  <c r="R267" i="5"/>
  <c r="S267" i="5"/>
  <c r="S405" i="5"/>
  <c r="R405" i="5"/>
  <c r="R511" i="5"/>
  <c r="S511" i="5"/>
  <c r="R490" i="5"/>
  <c r="S490" i="5"/>
  <c r="R537" i="5"/>
  <c r="S537" i="5"/>
  <c r="S65" i="5"/>
  <c r="R65" i="5"/>
  <c r="R49" i="5"/>
  <c r="S49" i="5"/>
  <c r="R54" i="5"/>
  <c r="S54" i="5"/>
  <c r="R528" i="5"/>
  <c r="S528" i="5"/>
  <c r="R428" i="5"/>
  <c r="S428" i="5"/>
  <c r="S122" i="5"/>
  <c r="R122" i="5"/>
  <c r="R78" i="5"/>
  <c r="S78" i="5"/>
  <c r="S37" i="5"/>
  <c r="R37" i="5"/>
  <c r="S34" i="5"/>
  <c r="R34" i="5"/>
  <c r="R39" i="5"/>
  <c r="S39" i="5"/>
  <c r="S505" i="5"/>
  <c r="R505" i="5"/>
  <c r="S437" i="5"/>
  <c r="R437" i="5"/>
  <c r="S381" i="5"/>
  <c r="R381" i="5"/>
  <c r="R396" i="5"/>
  <c r="S396" i="5"/>
  <c r="R281" i="5"/>
  <c r="S281" i="5"/>
  <c r="R251" i="5"/>
  <c r="S251" i="5"/>
  <c r="S98" i="5"/>
  <c r="R98" i="5"/>
  <c r="R46" i="5"/>
  <c r="S46" i="5"/>
  <c r="S481" i="5"/>
  <c r="R481" i="5"/>
  <c r="R337" i="5"/>
  <c r="S337" i="5"/>
  <c r="R388" i="5"/>
  <c r="S388" i="5"/>
  <c r="R287" i="5"/>
  <c r="S287" i="5"/>
  <c r="S101" i="5"/>
  <c r="R101" i="5"/>
  <c r="S163" i="5"/>
  <c r="R163" i="5"/>
  <c r="R91" i="5"/>
  <c r="S91" i="5"/>
  <c r="R429" i="5"/>
  <c r="S429" i="5"/>
  <c r="S342" i="5"/>
  <c r="R342" i="5"/>
  <c r="S359" i="5"/>
  <c r="R359" i="5"/>
  <c r="S386" i="5"/>
  <c r="R386" i="5"/>
  <c r="S259" i="5"/>
  <c r="R259" i="5"/>
  <c r="S238" i="5"/>
  <c r="R238" i="5"/>
  <c r="R154" i="5"/>
  <c r="S154" i="5"/>
  <c r="S35" i="5"/>
  <c r="R35" i="5"/>
  <c r="S447" i="5"/>
  <c r="R447" i="5"/>
  <c r="S252" i="5"/>
  <c r="R252" i="5"/>
  <c r="S379" i="5"/>
  <c r="R379" i="5"/>
  <c r="R278" i="5"/>
  <c r="S278" i="5"/>
  <c r="S237" i="5"/>
  <c r="R237" i="5"/>
  <c r="S92" i="5"/>
  <c r="R92" i="5"/>
  <c r="S77" i="5"/>
  <c r="R77" i="5"/>
  <c r="R403" i="5"/>
  <c r="S403" i="5"/>
  <c r="S520" i="5"/>
  <c r="R520" i="5"/>
  <c r="S421" i="5"/>
  <c r="R421" i="5"/>
  <c r="R380" i="5"/>
  <c r="S380" i="5"/>
  <c r="S253" i="5"/>
  <c r="R253" i="5"/>
  <c r="S235" i="5"/>
  <c r="R235" i="5"/>
  <c r="S151" i="5"/>
  <c r="R151" i="5"/>
  <c r="S30" i="5"/>
  <c r="R30" i="5"/>
  <c r="R559" i="5"/>
  <c r="S559" i="5"/>
  <c r="R524" i="5"/>
  <c r="S524" i="5"/>
  <c r="R365" i="5"/>
  <c r="S365" i="5"/>
  <c r="S275" i="5"/>
  <c r="R275" i="5"/>
  <c r="S231" i="5"/>
  <c r="R231" i="5"/>
  <c r="R155" i="5"/>
  <c r="S155" i="5"/>
  <c r="S71" i="5"/>
  <c r="R71" i="5"/>
  <c r="R558" i="5"/>
  <c r="S558" i="5"/>
  <c r="S486" i="5"/>
  <c r="R486" i="5"/>
  <c r="R377" i="5"/>
  <c r="S377" i="5"/>
  <c r="S289" i="5"/>
  <c r="R289" i="5"/>
  <c r="S323" i="5"/>
  <c r="R323" i="5"/>
  <c r="S178" i="5"/>
  <c r="R178" i="5"/>
  <c r="S108" i="5"/>
  <c r="R108" i="5"/>
  <c r="S47" i="5"/>
  <c r="R47" i="5"/>
  <c r="S212" i="5"/>
  <c r="R212" i="5"/>
  <c r="R148" i="5"/>
  <c r="S148" i="5"/>
  <c r="S193" i="5"/>
  <c r="R193" i="5"/>
  <c r="S260" i="5"/>
  <c r="R260" i="5"/>
  <c r="R22" i="5"/>
  <c r="S22" i="5"/>
  <c r="R560" i="5"/>
  <c r="S560" i="5"/>
  <c r="S182" i="5"/>
  <c r="R182" i="5"/>
  <c r="S462" i="5"/>
  <c r="R462" i="5"/>
  <c r="R97" i="5"/>
  <c r="S97" i="5"/>
  <c r="R62" i="5"/>
  <c r="S62" i="5"/>
  <c r="S84" i="5"/>
  <c r="R84" i="5"/>
  <c r="S458" i="5"/>
  <c r="R458" i="5"/>
  <c r="R513" i="5"/>
  <c r="S513" i="5"/>
  <c r="R507" i="5"/>
  <c r="S507" i="5"/>
  <c r="S551" i="5"/>
  <c r="R551" i="5"/>
  <c r="S533" i="5"/>
  <c r="R533" i="5"/>
  <c r="R506" i="5"/>
  <c r="S506" i="5"/>
  <c r="R406" i="5"/>
  <c r="S406" i="5"/>
  <c r="S371" i="5"/>
  <c r="R371" i="5"/>
  <c r="R218" i="5"/>
  <c r="S218" i="5"/>
  <c r="R198" i="5"/>
  <c r="S198" i="5"/>
  <c r="S135" i="5"/>
  <c r="R135" i="5"/>
  <c r="R43" i="5"/>
  <c r="S43" i="5"/>
  <c r="S545" i="5"/>
  <c r="R545" i="5"/>
  <c r="S519" i="5"/>
  <c r="R519" i="5"/>
  <c r="S354" i="5"/>
  <c r="R354" i="5"/>
  <c r="S265" i="5"/>
  <c r="R265" i="5"/>
  <c r="S217" i="5"/>
  <c r="R217" i="5"/>
  <c r="R147" i="5"/>
  <c r="S147" i="5"/>
  <c r="S81" i="5"/>
  <c r="R81" i="5"/>
  <c r="R466" i="5"/>
  <c r="S466" i="5"/>
  <c r="S492" i="5"/>
  <c r="R492" i="5"/>
  <c r="S398" i="5"/>
  <c r="R398" i="5"/>
  <c r="S334" i="5"/>
  <c r="R334" i="5"/>
  <c r="R196" i="5"/>
  <c r="S196" i="5"/>
  <c r="R181" i="5"/>
  <c r="S181" i="5"/>
  <c r="S123" i="5"/>
  <c r="R123" i="5"/>
  <c r="R23" i="5"/>
  <c r="S23" i="5"/>
  <c r="S541" i="5"/>
  <c r="R541" i="5"/>
  <c r="S503" i="5"/>
  <c r="R503" i="5"/>
  <c r="R343" i="5"/>
  <c r="S343" i="5"/>
  <c r="R243" i="5"/>
  <c r="S243" i="5"/>
  <c r="S206" i="5"/>
  <c r="R206" i="5"/>
  <c r="R129" i="5"/>
  <c r="S129" i="5"/>
  <c r="S70" i="5"/>
  <c r="R70" i="5"/>
  <c r="S557" i="5"/>
  <c r="R557" i="5"/>
  <c r="S489" i="5"/>
  <c r="R489" i="5"/>
  <c r="S395" i="5"/>
  <c r="R395" i="5"/>
  <c r="R306" i="5"/>
  <c r="S306" i="5"/>
  <c r="S331" i="5"/>
  <c r="R331" i="5"/>
  <c r="R202" i="5"/>
  <c r="S202" i="5"/>
  <c r="R117" i="5"/>
  <c r="S117" i="5"/>
  <c r="R20" i="5"/>
  <c r="S20" i="5"/>
  <c r="R536" i="5"/>
  <c r="S536" i="5"/>
  <c r="R500" i="5"/>
  <c r="S500" i="5"/>
  <c r="S314" i="5"/>
  <c r="R314" i="5"/>
  <c r="R223" i="5"/>
  <c r="S223" i="5"/>
  <c r="S204" i="5"/>
  <c r="R204" i="5"/>
  <c r="S126" i="5"/>
  <c r="R126" i="5"/>
  <c r="S69" i="5"/>
  <c r="R69" i="5"/>
  <c r="S550" i="5"/>
  <c r="R550" i="5"/>
  <c r="S446" i="5"/>
  <c r="R446" i="5"/>
  <c r="S327" i="5"/>
  <c r="R327" i="5"/>
  <c r="R341" i="5"/>
  <c r="S341" i="5"/>
  <c r="R284" i="5"/>
  <c r="S284" i="5"/>
  <c r="R175" i="5"/>
  <c r="S175" i="5"/>
  <c r="S44" i="5"/>
  <c r="R44" i="5"/>
  <c r="R311" i="5"/>
  <c r="S311" i="5"/>
  <c r="S222" i="5"/>
  <c r="R222" i="5"/>
  <c r="S215" i="5"/>
  <c r="R215" i="5"/>
  <c r="R209" i="5"/>
  <c r="S209" i="5"/>
  <c r="S333" i="5"/>
  <c r="R333" i="5"/>
  <c r="S127" i="5"/>
  <c r="R127" i="5"/>
  <c r="R116" i="5"/>
  <c r="S116" i="5"/>
  <c r="S439" i="5"/>
  <c r="R439" i="5"/>
  <c r="S113" i="5"/>
  <c r="R113" i="5"/>
  <c r="R167" i="5"/>
  <c r="S167" i="5"/>
  <c r="S543" i="5"/>
  <c r="R543" i="5"/>
  <c r="S362" i="5"/>
  <c r="R362" i="5"/>
  <c r="S493" i="5"/>
  <c r="R493" i="5"/>
  <c r="S470" i="5"/>
  <c r="R470" i="5"/>
  <c r="R434" i="5"/>
  <c r="S434" i="5"/>
  <c r="R549" i="5"/>
  <c r="S549" i="5"/>
  <c r="R482" i="5"/>
  <c r="S482" i="5"/>
  <c r="R374" i="5"/>
  <c r="S374" i="5"/>
  <c r="S273" i="5"/>
  <c r="R273" i="5"/>
  <c r="R316" i="5"/>
  <c r="S316" i="5"/>
  <c r="S170" i="5"/>
  <c r="R170" i="5"/>
  <c r="S99" i="5"/>
  <c r="R99" i="5"/>
  <c r="S45" i="5"/>
  <c r="R45" i="5"/>
  <c r="S529" i="5"/>
  <c r="R529" i="5"/>
  <c r="S475" i="5"/>
  <c r="R475" i="5"/>
  <c r="R279" i="5"/>
  <c r="S279" i="5"/>
  <c r="R173" i="5"/>
  <c r="S173" i="5"/>
  <c r="R165" i="5"/>
  <c r="S165" i="5"/>
  <c r="R118" i="5"/>
  <c r="S118" i="5"/>
  <c r="R57" i="5"/>
  <c r="S57" i="5"/>
  <c r="R460" i="5"/>
  <c r="S460" i="5"/>
  <c r="S469" i="5"/>
  <c r="R469" i="5"/>
  <c r="S358" i="5"/>
  <c r="R358" i="5"/>
  <c r="R357" i="5"/>
  <c r="S357" i="5"/>
  <c r="R302" i="5"/>
  <c r="S302" i="5"/>
  <c r="R185" i="5"/>
  <c r="S185" i="5"/>
  <c r="S106" i="5"/>
  <c r="R106" i="5"/>
  <c r="S31" i="5"/>
  <c r="R31" i="5"/>
  <c r="R509" i="5"/>
  <c r="S509" i="5"/>
  <c r="R471" i="5"/>
  <c r="S471" i="5"/>
  <c r="S245" i="5"/>
  <c r="R245" i="5"/>
  <c r="S330" i="5"/>
  <c r="R330" i="5"/>
  <c r="S230" i="5"/>
  <c r="R230" i="5"/>
  <c r="R102" i="5"/>
  <c r="S102" i="5"/>
  <c r="R60" i="5"/>
  <c r="S60" i="5"/>
  <c r="S430" i="5"/>
  <c r="R430" i="5"/>
  <c r="R457" i="5"/>
  <c r="S457" i="5"/>
  <c r="S347" i="5"/>
  <c r="R347" i="5"/>
  <c r="S348" i="5"/>
  <c r="R348" i="5"/>
  <c r="R292" i="5"/>
  <c r="S292" i="5"/>
  <c r="S180" i="5"/>
  <c r="R180" i="5"/>
  <c r="S94" i="5"/>
  <c r="R94" i="5"/>
  <c r="S21" i="5"/>
  <c r="R21" i="5"/>
  <c r="S497" i="5"/>
  <c r="R497" i="5"/>
  <c r="S463" i="5"/>
  <c r="R463" i="5"/>
  <c r="S441" i="5"/>
  <c r="R441" i="5"/>
  <c r="R321" i="5"/>
  <c r="S321" i="5"/>
  <c r="R225" i="5"/>
  <c r="S225" i="5"/>
  <c r="R159" i="5"/>
  <c r="S159" i="5"/>
  <c r="S55" i="5"/>
  <c r="R55" i="5"/>
  <c r="S498" i="5"/>
  <c r="R498" i="5"/>
  <c r="S369" i="5"/>
  <c r="R369" i="5"/>
  <c r="R402" i="5"/>
  <c r="S402" i="5"/>
  <c r="R297" i="5"/>
  <c r="S297" i="5"/>
  <c r="R203" i="5"/>
  <c r="S203" i="5"/>
  <c r="R174" i="5"/>
  <c r="S174" i="5"/>
  <c r="R86" i="5"/>
  <c r="S86" i="5"/>
  <c r="S261" i="5"/>
  <c r="R261" i="5"/>
  <c r="R361" i="5"/>
  <c r="S361" i="5"/>
  <c r="S356" i="5"/>
  <c r="R356" i="5"/>
  <c r="R349" i="5"/>
  <c r="S349" i="5"/>
  <c r="R332" i="5"/>
  <c r="S332" i="5"/>
  <c r="S340" i="5"/>
  <c r="R340" i="5"/>
  <c r="R487" i="5"/>
  <c r="S487" i="5"/>
  <c r="S494" i="5"/>
  <c r="R494" i="5"/>
  <c r="R454" i="5"/>
  <c r="S454" i="5"/>
  <c r="R478" i="5"/>
  <c r="S478" i="5"/>
  <c r="R517" i="5"/>
  <c r="S517" i="5"/>
  <c r="R366" i="5"/>
  <c r="S366" i="5"/>
  <c r="S401" i="5"/>
  <c r="R401" i="5"/>
  <c r="S367" i="5"/>
  <c r="R367" i="5"/>
  <c r="S419" i="5"/>
  <c r="R419" i="5"/>
  <c r="S555" i="5"/>
  <c r="R555" i="5"/>
  <c r="S436" i="5"/>
  <c r="R436" i="5"/>
  <c r="S322" i="5"/>
  <c r="R322" i="5"/>
  <c r="S339" i="5"/>
  <c r="R339" i="5"/>
  <c r="R276" i="5"/>
  <c r="S276" i="5"/>
  <c r="S172" i="5"/>
  <c r="R172" i="5"/>
  <c r="S111" i="5"/>
  <c r="R111" i="5"/>
  <c r="AG11" i="5"/>
  <c r="Q11" i="5"/>
  <c r="W11" i="5"/>
  <c r="R479" i="5"/>
  <c r="S479" i="5"/>
  <c r="S455" i="5"/>
  <c r="R455" i="5"/>
  <c r="S431" i="5"/>
  <c r="R431" i="5"/>
  <c r="R305" i="5"/>
  <c r="S305" i="5"/>
  <c r="S210" i="5"/>
  <c r="R210" i="5"/>
  <c r="S146" i="5"/>
  <c r="R146" i="5"/>
  <c r="R67" i="5"/>
  <c r="S67" i="5"/>
  <c r="S547" i="5"/>
  <c r="R547" i="5"/>
  <c r="R425" i="5"/>
  <c r="S425" i="5"/>
  <c r="R417" i="5"/>
  <c r="S417" i="5"/>
  <c r="R319" i="5"/>
  <c r="S319" i="5"/>
  <c r="S258" i="5"/>
  <c r="R258" i="5"/>
  <c r="R161" i="5"/>
  <c r="S161" i="5"/>
  <c r="S90" i="5"/>
  <c r="R90" i="5"/>
  <c r="S540" i="5"/>
  <c r="R540" i="5"/>
  <c r="R450" i="5"/>
  <c r="S450" i="5"/>
  <c r="R433" i="5"/>
  <c r="S433" i="5"/>
  <c r="R418" i="5"/>
  <c r="S418" i="5"/>
  <c r="R298" i="5"/>
  <c r="S298" i="5"/>
  <c r="S189" i="5"/>
  <c r="R189" i="5"/>
  <c r="S138" i="5"/>
  <c r="R138" i="5"/>
  <c r="S51" i="5"/>
  <c r="R51" i="5"/>
  <c r="R515" i="5"/>
  <c r="S515" i="5"/>
  <c r="S420" i="5"/>
  <c r="R420" i="5"/>
  <c r="R413" i="5"/>
  <c r="S413" i="5"/>
  <c r="R315" i="5"/>
  <c r="S315" i="5"/>
  <c r="S227" i="5"/>
  <c r="R227" i="5"/>
  <c r="R130" i="5"/>
  <c r="S130" i="5"/>
  <c r="R85" i="5"/>
  <c r="S85" i="5"/>
  <c r="S531" i="5"/>
  <c r="R531" i="5"/>
  <c r="S445" i="5"/>
  <c r="R445" i="5"/>
  <c r="R390" i="5"/>
  <c r="S390" i="5"/>
  <c r="S409" i="5"/>
  <c r="R409" i="5"/>
  <c r="S290" i="5"/>
  <c r="R290" i="5"/>
  <c r="S177" i="5"/>
  <c r="R177" i="5"/>
  <c r="S114" i="5"/>
  <c r="R114" i="5"/>
  <c r="R52" i="5"/>
  <c r="S52" i="5"/>
  <c r="R553" i="5"/>
  <c r="S553" i="5"/>
  <c r="S523" i="5"/>
  <c r="R523" i="5"/>
  <c r="S363" i="5"/>
  <c r="R363" i="5"/>
  <c r="S274" i="5"/>
  <c r="R274" i="5"/>
  <c r="S226" i="5"/>
  <c r="R226" i="5"/>
  <c r="R150" i="5"/>
  <c r="S150" i="5"/>
  <c r="R73" i="5"/>
  <c r="S73" i="5"/>
  <c r="S476" i="5"/>
  <c r="R476" i="5"/>
  <c r="S266" i="5"/>
  <c r="R266" i="5"/>
  <c r="S28" i="5"/>
  <c r="R28" i="5"/>
  <c r="S133" i="5"/>
  <c r="R133" i="5"/>
  <c r="R74" i="5"/>
  <c r="S74" i="5"/>
  <c r="R207" i="5"/>
  <c r="S207" i="5"/>
  <c r="R239" i="5"/>
  <c r="S239" i="5"/>
  <c r="S295" i="5"/>
  <c r="R295" i="5"/>
  <c r="R221" i="5"/>
  <c r="S221" i="5"/>
  <c r="R143" i="5"/>
  <c r="S143" i="5"/>
  <c r="S335" i="5"/>
  <c r="R335" i="5"/>
  <c r="S353" i="5"/>
  <c r="R353" i="5"/>
  <c r="S389" i="5"/>
  <c r="R389" i="5"/>
  <c r="R355" i="5"/>
  <c r="S355" i="5"/>
  <c r="R254" i="5"/>
  <c r="S254" i="5"/>
  <c r="R324" i="5"/>
  <c r="S324" i="5"/>
  <c r="S491" i="5"/>
  <c r="R491" i="5"/>
  <c r="R345" i="5"/>
  <c r="S345" i="5"/>
  <c r="R399" i="5"/>
  <c r="S399" i="5"/>
  <c r="R294" i="5"/>
  <c r="S294" i="5"/>
  <c r="S187" i="5"/>
  <c r="R187" i="5"/>
  <c r="R169" i="5"/>
  <c r="S169" i="5"/>
  <c r="R76" i="5"/>
  <c r="S76" i="5"/>
  <c r="R499" i="5"/>
  <c r="S499" i="5"/>
  <c r="S426" i="5"/>
  <c r="R426" i="5"/>
  <c r="R378" i="5"/>
  <c r="S378" i="5"/>
  <c r="S391" i="5"/>
  <c r="R391" i="5"/>
  <c r="S271" i="5"/>
  <c r="R271" i="5"/>
  <c r="S250" i="5"/>
  <c r="R250" i="5"/>
  <c r="R53" i="5"/>
  <c r="S53" i="5"/>
  <c r="S41" i="5"/>
  <c r="R41" i="5"/>
  <c r="R451" i="5"/>
  <c r="S451" i="5"/>
  <c r="R301" i="5"/>
  <c r="S301" i="5"/>
  <c r="S382" i="5"/>
  <c r="R382" i="5"/>
  <c r="S283" i="5"/>
  <c r="R283" i="5"/>
  <c r="R242" i="5"/>
  <c r="S242" i="5"/>
  <c r="R115" i="5"/>
  <c r="S115" i="5"/>
  <c r="R79" i="5"/>
  <c r="S79" i="5"/>
  <c r="S427" i="5"/>
  <c r="R427" i="5"/>
  <c r="R197" i="5"/>
  <c r="S197" i="5"/>
  <c r="S318" i="5"/>
  <c r="R318" i="5"/>
  <c r="S385" i="5"/>
  <c r="R385" i="5"/>
  <c r="R255" i="5"/>
  <c r="S255" i="5"/>
  <c r="S236" i="5"/>
  <c r="R236" i="5"/>
  <c r="R153" i="5"/>
  <c r="S153" i="5"/>
  <c r="S33" i="5"/>
  <c r="R33" i="5"/>
  <c r="R268" i="5"/>
  <c r="S268" i="5"/>
  <c r="S527" i="5"/>
  <c r="R527" i="5"/>
  <c r="R373" i="5"/>
  <c r="S373" i="5"/>
  <c r="S277" i="5"/>
  <c r="R277" i="5"/>
  <c r="S234" i="5"/>
  <c r="R234" i="5"/>
  <c r="S156" i="5"/>
  <c r="R156" i="5"/>
  <c r="S75" i="5"/>
  <c r="R75" i="5"/>
  <c r="R556" i="5"/>
  <c r="S556" i="5"/>
  <c r="S514" i="5"/>
  <c r="R514" i="5"/>
  <c r="R415" i="5"/>
  <c r="S415" i="5"/>
  <c r="S375" i="5"/>
  <c r="R375" i="5"/>
  <c r="R247" i="5"/>
  <c r="S247" i="5"/>
  <c r="S201" i="5"/>
  <c r="R201" i="5"/>
  <c r="R142" i="5"/>
  <c r="S142" i="5"/>
  <c r="S29" i="5"/>
  <c r="R29" i="5"/>
  <c r="S535" i="5"/>
  <c r="R535" i="5"/>
  <c r="R485" i="5"/>
  <c r="S485" i="5"/>
  <c r="S308" i="5"/>
  <c r="R308" i="5"/>
  <c r="S220" i="5"/>
  <c r="R220" i="5"/>
  <c r="S195" i="5"/>
  <c r="R195" i="5"/>
  <c r="R124" i="5"/>
  <c r="S124" i="5"/>
  <c r="R68" i="5"/>
  <c r="S68" i="5"/>
  <c r="AP525" i="5"/>
  <c r="AR525" i="5" s="1"/>
  <c r="AP23" i="5"/>
  <c r="AR23" i="5" s="1"/>
  <c r="AP462" i="5"/>
  <c r="AQ462" i="5" s="1"/>
  <c r="AP483" i="5"/>
  <c r="AQ483" i="5" s="1"/>
  <c r="AP244" i="5"/>
  <c r="AQ244" i="5" s="1"/>
  <c r="AP66" i="5"/>
  <c r="AR66" i="5" s="1"/>
  <c r="AP350" i="5"/>
  <c r="AR350" i="5" s="1"/>
  <c r="AP21" i="5"/>
  <c r="AR21" i="5" s="1"/>
  <c r="AP118" i="5"/>
  <c r="AP219" i="5"/>
  <c r="AR219" i="5" s="1"/>
  <c r="AP345" i="5"/>
  <c r="AR345" i="5" s="1"/>
  <c r="AP498" i="5"/>
  <c r="AQ498" i="5" s="1"/>
  <c r="AP496" i="5"/>
  <c r="AQ496" i="5" s="1"/>
  <c r="AP392" i="5"/>
  <c r="AR392" i="5" s="1"/>
  <c r="AP428" i="5"/>
  <c r="AQ428" i="5" s="1"/>
  <c r="AP194" i="5"/>
  <c r="AQ194" i="5" s="1"/>
  <c r="AP524" i="5"/>
  <c r="AQ524" i="5" s="1"/>
  <c r="AP142" i="5"/>
  <c r="AR142" i="5" s="1"/>
  <c r="AP544" i="5"/>
  <c r="AR544" i="5" s="1"/>
  <c r="AP93" i="5"/>
  <c r="AR93" i="5" s="1"/>
  <c r="AP372" i="5"/>
  <c r="AR372" i="5" s="1"/>
  <c r="AP436" i="5"/>
  <c r="AQ436" i="5" s="1"/>
  <c r="AP158" i="5"/>
  <c r="AR158" i="5" s="1"/>
  <c r="AP45" i="5"/>
  <c r="AQ45" i="5" s="1"/>
  <c r="AP237" i="5"/>
  <c r="AQ237" i="5" s="1"/>
  <c r="AP34" i="5"/>
  <c r="AQ34" i="5" s="1"/>
  <c r="AP368" i="5"/>
  <c r="AQ368" i="5" s="1"/>
  <c r="AP330" i="5"/>
  <c r="AQ330" i="5" s="1"/>
  <c r="AP205" i="5"/>
  <c r="AP522" i="5"/>
  <c r="AQ522" i="5" s="1"/>
  <c r="AP302" i="5"/>
  <c r="AR302" i="5" s="1"/>
  <c r="AP190" i="5"/>
  <c r="AR190" i="5" s="1"/>
  <c r="AP337" i="5"/>
  <c r="AQ337" i="5" s="1"/>
  <c r="AP22" i="5"/>
  <c r="AR22" i="5" s="1"/>
  <c r="AP257" i="5"/>
  <c r="AR257" i="5" s="1"/>
  <c r="AP558" i="5"/>
  <c r="AQ558" i="5" s="1"/>
  <c r="AP278" i="5"/>
  <c r="AQ278" i="5" s="1"/>
  <c r="AP438" i="5"/>
  <c r="AR438" i="5" s="1"/>
  <c r="AP477" i="5"/>
  <c r="AQ477" i="5" s="1"/>
  <c r="AP82" i="5"/>
  <c r="AQ82" i="5" s="1"/>
  <c r="AP20" i="5"/>
  <c r="AQ20" i="5" s="1"/>
  <c r="AP184" i="5"/>
  <c r="AR184" i="5" s="1"/>
  <c r="AP545" i="5"/>
  <c r="AR545" i="5" s="1"/>
  <c r="AP402" i="5"/>
  <c r="AR402" i="5" s="1"/>
  <c r="AP444" i="5"/>
  <c r="AR444" i="5" s="1"/>
  <c r="AP259" i="5"/>
  <c r="AR259" i="5" s="1"/>
  <c r="AP417" i="5"/>
  <c r="AQ417" i="5" s="1"/>
  <c r="AP460" i="5"/>
  <c r="AR460" i="5" s="1"/>
  <c r="AP144" i="5"/>
  <c r="AQ144" i="5" s="1"/>
  <c r="AP165" i="5"/>
  <c r="AQ165" i="5" s="1"/>
  <c r="AP542" i="5"/>
  <c r="AR542" i="5" s="1"/>
  <c r="AP262" i="5"/>
  <c r="AQ262" i="5" s="1"/>
  <c r="AP87" i="5"/>
  <c r="AR87" i="5" s="1"/>
  <c r="AP103" i="5"/>
  <c r="AQ103" i="5" s="1"/>
  <c r="AP211" i="5"/>
  <c r="AR211" i="5" s="1"/>
  <c r="AP378" i="5"/>
  <c r="AQ378" i="5" s="1"/>
  <c r="AP138" i="5"/>
  <c r="AQ138" i="5" s="1"/>
  <c r="AP493" i="5"/>
  <c r="AQ493" i="5" s="1"/>
  <c r="AP495" i="5"/>
  <c r="AQ495" i="5" s="1"/>
  <c r="AP104" i="5"/>
  <c r="AR104" i="5" s="1"/>
  <c r="AP384" i="5"/>
  <c r="AQ384" i="5" s="1"/>
  <c r="AP261" i="5"/>
  <c r="AQ261" i="5" s="1"/>
  <c r="AP70" i="5"/>
  <c r="AQ70" i="5" s="1"/>
  <c r="AP56" i="5"/>
  <c r="AQ56" i="5" s="1"/>
  <c r="AP397" i="5"/>
  <c r="AQ397" i="5" s="1"/>
  <c r="AP457" i="5"/>
  <c r="AR457" i="5" s="1"/>
  <c r="AP370" i="5"/>
  <c r="AR370" i="5" s="1"/>
  <c r="AP454" i="5"/>
  <c r="AR454" i="5" s="1"/>
  <c r="AP318" i="5"/>
  <c r="AR318" i="5" s="1"/>
  <c r="U312" i="5"/>
  <c r="V312" i="5"/>
  <c r="AN150" i="5"/>
  <c r="AO150" i="5"/>
  <c r="AO399" i="5"/>
  <c r="AN399" i="5"/>
  <c r="AO381" i="5"/>
  <c r="AN381" i="5"/>
  <c r="AO60" i="5"/>
  <c r="AN60" i="5"/>
  <c r="AO408" i="5"/>
  <c r="AN408" i="5"/>
  <c r="U427" i="5"/>
  <c r="V427" i="5"/>
  <c r="U409" i="5"/>
  <c r="V409" i="5"/>
  <c r="U271" i="5"/>
  <c r="V271" i="5"/>
  <c r="V557" i="5"/>
  <c r="U557" i="5"/>
  <c r="AN59" i="5"/>
  <c r="AO59" i="5"/>
  <c r="AP533" i="5"/>
  <c r="AQ533" i="5" s="1"/>
  <c r="AP404" i="5"/>
  <c r="AR404" i="5" s="1"/>
  <c r="AP488" i="5"/>
  <c r="AR488" i="5" s="1"/>
  <c r="AP291" i="5"/>
  <c r="AR291" i="5" s="1"/>
  <c r="AP260" i="5"/>
  <c r="AQ260" i="5" s="1"/>
  <c r="AP37" i="5"/>
  <c r="AR37" i="5" s="1"/>
  <c r="AP422" i="5"/>
  <c r="AQ422" i="5" s="1"/>
  <c r="AP226" i="5"/>
  <c r="AQ226" i="5" s="1"/>
  <c r="AP420" i="5"/>
  <c r="AR420" i="5" s="1"/>
  <c r="U384" i="5"/>
  <c r="V384" i="5"/>
  <c r="AN254" i="5"/>
  <c r="AO254" i="5"/>
  <c r="AO361" i="5"/>
  <c r="AN361" i="5"/>
  <c r="AO478" i="5"/>
  <c r="AN478" i="5"/>
  <c r="AN398" i="5"/>
  <c r="AO398" i="5"/>
  <c r="AN511" i="5"/>
  <c r="AO511" i="5"/>
  <c r="AO271" i="5"/>
  <c r="AN271" i="5"/>
  <c r="AN503" i="5"/>
  <c r="AO503" i="5"/>
  <c r="AN373" i="5"/>
  <c r="AO373" i="5"/>
  <c r="AO146" i="5"/>
  <c r="AN146" i="5"/>
  <c r="AO401" i="5"/>
  <c r="AN401" i="5"/>
  <c r="AN143" i="5"/>
  <c r="AO143" i="5"/>
  <c r="AN441" i="5"/>
  <c r="AO441" i="5"/>
  <c r="AN226" i="5"/>
  <c r="AO226" i="5"/>
  <c r="AO542" i="5"/>
  <c r="AN542" i="5"/>
  <c r="AN377" i="5"/>
  <c r="AO377" i="5"/>
  <c r="AO190" i="5"/>
  <c r="AN190" i="5"/>
  <c r="AO553" i="5"/>
  <c r="AN553" i="5"/>
  <c r="AN321" i="5"/>
  <c r="AO321" i="5"/>
  <c r="AN21" i="5"/>
  <c r="AO21" i="5"/>
  <c r="AN196" i="5"/>
  <c r="AO196" i="5"/>
  <c r="AN36" i="5"/>
  <c r="AO36" i="5"/>
  <c r="AM47" i="4"/>
  <c r="AN47" i="4" s="1"/>
  <c r="W47" i="4"/>
  <c r="AN257" i="5"/>
  <c r="AO257" i="5"/>
  <c r="AM111" i="4"/>
  <c r="AN111" i="4" s="1"/>
  <c r="W111" i="4"/>
  <c r="Y111" i="4" s="1"/>
  <c r="Z111" i="4" s="1"/>
  <c r="AN376" i="5"/>
  <c r="AO376" i="5"/>
  <c r="AM93" i="4"/>
  <c r="AN93" i="4" s="1"/>
  <c r="W93" i="4"/>
  <c r="U88" i="5"/>
  <c r="V88" i="5"/>
  <c r="AN248" i="5"/>
  <c r="AO248" i="5"/>
  <c r="AO57" i="5"/>
  <c r="AN57" i="5"/>
  <c r="U24" i="5"/>
  <c r="V24" i="5"/>
  <c r="AO280" i="5"/>
  <c r="AN280" i="5"/>
  <c r="U376" i="5"/>
  <c r="V376" i="5"/>
  <c r="AM40" i="4"/>
  <c r="AN40" i="4" s="1"/>
  <c r="W40" i="4"/>
  <c r="Y40" i="4" s="1"/>
  <c r="Z40" i="4" s="1"/>
  <c r="AF40" i="4" s="1"/>
  <c r="V309" i="5"/>
  <c r="U309" i="5"/>
  <c r="V497" i="5"/>
  <c r="U497" i="5"/>
  <c r="U490" i="5"/>
  <c r="V490" i="5"/>
  <c r="V556" i="5"/>
  <c r="U556" i="5"/>
  <c r="V541" i="5"/>
  <c r="U541" i="5"/>
  <c r="U421" i="5"/>
  <c r="V421" i="5"/>
  <c r="V370" i="5"/>
  <c r="U370" i="5"/>
  <c r="U404" i="5"/>
  <c r="V404" i="5"/>
  <c r="V551" i="5"/>
  <c r="U551" i="5"/>
  <c r="V483" i="5"/>
  <c r="U483" i="5"/>
  <c r="U365" i="5"/>
  <c r="V365" i="5"/>
  <c r="V343" i="5"/>
  <c r="U343" i="5"/>
  <c r="U241" i="5"/>
  <c r="V241" i="5"/>
  <c r="U137" i="5"/>
  <c r="V137" i="5"/>
  <c r="V543" i="5"/>
  <c r="U543" i="5"/>
  <c r="V358" i="5"/>
  <c r="U358" i="5"/>
  <c r="V294" i="5"/>
  <c r="U294" i="5"/>
  <c r="U335" i="5"/>
  <c r="V335" i="5"/>
  <c r="U265" i="5"/>
  <c r="V265" i="5"/>
  <c r="U130" i="5"/>
  <c r="V130" i="5"/>
  <c r="U527" i="5"/>
  <c r="V527" i="5"/>
  <c r="U333" i="5"/>
  <c r="V333" i="5"/>
  <c r="V361" i="5"/>
  <c r="U361" i="5"/>
  <c r="U330" i="5"/>
  <c r="V330" i="5"/>
  <c r="V263" i="5"/>
  <c r="U263" i="5"/>
  <c r="U119" i="5"/>
  <c r="V119" i="5"/>
  <c r="V545" i="5"/>
  <c r="U545" i="5"/>
  <c r="U501" i="5"/>
  <c r="V501" i="5"/>
  <c r="V355" i="5"/>
  <c r="U355" i="5"/>
  <c r="U326" i="5"/>
  <c r="V326" i="5"/>
  <c r="U260" i="5"/>
  <c r="V260" i="5"/>
  <c r="U115" i="5"/>
  <c r="V115" i="5"/>
  <c r="U505" i="5"/>
  <c r="V505" i="5"/>
  <c r="U369" i="5"/>
  <c r="V369" i="5"/>
  <c r="U258" i="5"/>
  <c r="V258" i="5"/>
  <c r="U206" i="5"/>
  <c r="V206" i="5"/>
  <c r="U36" i="5"/>
  <c r="V36" i="5"/>
  <c r="U463" i="5"/>
  <c r="V463" i="5"/>
  <c r="V499" i="5"/>
  <c r="U499" i="5"/>
  <c r="U341" i="5"/>
  <c r="V341" i="5"/>
  <c r="V299" i="5"/>
  <c r="U299" i="5"/>
  <c r="V215" i="5"/>
  <c r="U215" i="5"/>
  <c r="V63" i="5"/>
  <c r="U63" i="5"/>
  <c r="U517" i="5"/>
  <c r="V517" i="5"/>
  <c r="U385" i="5"/>
  <c r="V385" i="5"/>
  <c r="V292" i="5"/>
  <c r="U292" i="5"/>
  <c r="U211" i="5"/>
  <c r="V211" i="5"/>
  <c r="V39" i="5"/>
  <c r="U39" i="5"/>
  <c r="U94" i="5"/>
  <c r="V94" i="5"/>
  <c r="U66" i="5"/>
  <c r="V66" i="5"/>
  <c r="U70" i="5"/>
  <c r="V70" i="5"/>
  <c r="U448" i="5"/>
  <c r="V448" i="5"/>
  <c r="AP218" i="5"/>
  <c r="AR218" i="5" s="1"/>
  <c r="AO507" i="5"/>
  <c r="AN507" i="5"/>
  <c r="AO316" i="5"/>
  <c r="AN316" i="5"/>
  <c r="V456" i="5"/>
  <c r="U456" i="5"/>
  <c r="U248" i="5"/>
  <c r="V248" i="5"/>
  <c r="V297" i="5"/>
  <c r="U297" i="5"/>
  <c r="V548" i="5"/>
  <c r="U548" i="5"/>
  <c r="U396" i="5"/>
  <c r="V396" i="5"/>
  <c r="U430" i="5"/>
  <c r="V430" i="5"/>
  <c r="AP535" i="5"/>
  <c r="AQ535" i="5" s="1"/>
  <c r="AP551" i="5"/>
  <c r="AQ551" i="5" s="1"/>
  <c r="AP327" i="5"/>
  <c r="AQ327" i="5" s="1"/>
  <c r="AP134" i="5"/>
  <c r="AP326" i="5"/>
  <c r="AR326" i="5" s="1"/>
  <c r="AP463" i="5"/>
  <c r="AQ463" i="5" s="1"/>
  <c r="AP77" i="5"/>
  <c r="AR77" i="5" s="1"/>
  <c r="AP126" i="5"/>
  <c r="AQ126" i="5" s="1"/>
  <c r="AP117" i="5"/>
  <c r="AQ117" i="5" s="1"/>
  <c r="AP530" i="5"/>
  <c r="AR530" i="5" s="1"/>
  <c r="AP321" i="5"/>
  <c r="AQ321" i="5" s="1"/>
  <c r="AN368" i="5"/>
  <c r="AO368" i="5"/>
  <c r="AO279" i="5"/>
  <c r="AN279" i="5"/>
  <c r="AN182" i="5"/>
  <c r="AO182" i="5"/>
  <c r="AO393" i="5"/>
  <c r="AN393" i="5"/>
  <c r="AO275" i="5"/>
  <c r="AN275" i="5"/>
  <c r="AN403" i="5"/>
  <c r="AO403" i="5"/>
  <c r="AN183" i="5"/>
  <c r="AO183" i="5"/>
  <c r="AO453" i="5"/>
  <c r="AN453" i="5"/>
  <c r="AN330" i="5"/>
  <c r="AO330" i="5"/>
  <c r="AO54" i="5"/>
  <c r="AN54" i="5"/>
  <c r="AO342" i="5"/>
  <c r="AN342" i="5"/>
  <c r="AN138" i="5"/>
  <c r="AO138" i="5"/>
  <c r="AN470" i="5"/>
  <c r="AO470" i="5"/>
  <c r="AN213" i="5"/>
  <c r="AO213" i="5"/>
  <c r="AO558" i="5"/>
  <c r="AN558" i="5"/>
  <c r="AN428" i="5"/>
  <c r="AO428" i="5"/>
  <c r="AN180" i="5"/>
  <c r="AO180" i="5"/>
  <c r="AN545" i="5"/>
  <c r="AO545" i="5"/>
  <c r="AO303" i="5"/>
  <c r="AN303" i="5"/>
  <c r="AO22" i="5"/>
  <c r="AN22" i="5"/>
  <c r="AN201" i="5"/>
  <c r="AO201" i="5"/>
  <c r="AM69" i="4"/>
  <c r="AN69" i="4" s="1"/>
  <c r="W69" i="4"/>
  <c r="U504" i="5"/>
  <c r="V504" i="5"/>
  <c r="AN337" i="5"/>
  <c r="AO337" i="5"/>
  <c r="V336" i="5"/>
  <c r="U336" i="5"/>
  <c r="AM71" i="4"/>
  <c r="AN71" i="4" s="1"/>
  <c r="W71" i="4"/>
  <c r="Y71" i="4" s="1"/>
  <c r="Z71" i="4" s="1"/>
  <c r="AF71" i="4" s="1"/>
  <c r="AN344" i="5"/>
  <c r="AO344" i="5"/>
  <c r="AO308" i="5"/>
  <c r="AN308" i="5"/>
  <c r="AN120" i="5"/>
  <c r="AO120" i="5"/>
  <c r="V224" i="5"/>
  <c r="U224" i="5"/>
  <c r="AO177" i="5"/>
  <c r="AN177" i="5"/>
  <c r="U264" i="5"/>
  <c r="V264" i="5"/>
  <c r="V480" i="5"/>
  <c r="U480" i="5"/>
  <c r="U314" i="5"/>
  <c r="V314" i="5"/>
  <c r="V444" i="5"/>
  <c r="U444" i="5"/>
  <c r="U422" i="5"/>
  <c r="V422" i="5"/>
  <c r="U395" i="5"/>
  <c r="V395" i="5"/>
  <c r="V491" i="5"/>
  <c r="U491" i="5"/>
  <c r="U325" i="5"/>
  <c r="V325" i="5"/>
  <c r="V390" i="5"/>
  <c r="U390" i="5"/>
  <c r="U359" i="5"/>
  <c r="V359" i="5"/>
  <c r="U450" i="5"/>
  <c r="V450" i="5"/>
  <c r="U459" i="5"/>
  <c r="V459" i="5"/>
  <c r="U319" i="5"/>
  <c r="V319" i="5"/>
  <c r="V305" i="5"/>
  <c r="U305" i="5"/>
  <c r="U210" i="5"/>
  <c r="V210" i="5"/>
  <c r="U126" i="5"/>
  <c r="V126" i="5"/>
  <c r="V426" i="5"/>
  <c r="U426" i="5"/>
  <c r="U347" i="5"/>
  <c r="V347" i="5"/>
  <c r="V407" i="5"/>
  <c r="U407" i="5"/>
  <c r="V303" i="5"/>
  <c r="U303" i="5"/>
  <c r="U207" i="5"/>
  <c r="V207" i="5"/>
  <c r="U131" i="5"/>
  <c r="V131" i="5"/>
  <c r="U412" i="5"/>
  <c r="V412" i="5"/>
  <c r="U503" i="5"/>
  <c r="V503" i="5"/>
  <c r="U275" i="5"/>
  <c r="V275" i="5"/>
  <c r="V300" i="5"/>
  <c r="U300" i="5"/>
  <c r="V236" i="5"/>
  <c r="U236" i="5"/>
  <c r="U123" i="5"/>
  <c r="V123" i="5"/>
  <c r="U465" i="5"/>
  <c r="V465" i="5"/>
  <c r="U474" i="5"/>
  <c r="V474" i="5"/>
  <c r="U391" i="5"/>
  <c r="V391" i="5"/>
  <c r="V298" i="5"/>
  <c r="U298" i="5"/>
  <c r="U235" i="5"/>
  <c r="V235" i="5"/>
  <c r="U101" i="5"/>
  <c r="V101" i="5"/>
  <c r="U460" i="5"/>
  <c r="V460" i="5"/>
  <c r="V433" i="5"/>
  <c r="U433" i="5"/>
  <c r="V327" i="5"/>
  <c r="U327" i="5"/>
  <c r="U172" i="5"/>
  <c r="V172" i="5"/>
  <c r="U479" i="5"/>
  <c r="V479" i="5"/>
  <c r="U434" i="5"/>
  <c r="V434" i="5"/>
  <c r="U458" i="5"/>
  <c r="V458" i="5"/>
  <c r="V429" i="5"/>
  <c r="U429" i="5"/>
  <c r="V251" i="5"/>
  <c r="U251" i="5"/>
  <c r="V204" i="5"/>
  <c r="U204" i="5"/>
  <c r="U22" i="5"/>
  <c r="V22" i="5"/>
  <c r="U431" i="5"/>
  <c r="V431" i="5"/>
  <c r="V317" i="5"/>
  <c r="U317" i="5"/>
  <c r="U250" i="5"/>
  <c r="V250" i="5"/>
  <c r="V201" i="5"/>
  <c r="U201" i="5"/>
  <c r="V139" i="5"/>
  <c r="U139" i="5"/>
  <c r="V41" i="5"/>
  <c r="U41" i="5"/>
  <c r="V33" i="5"/>
  <c r="U33" i="5"/>
  <c r="U34" i="5"/>
  <c r="V34" i="5"/>
  <c r="V296" i="5"/>
  <c r="U296" i="5"/>
  <c r="U432" i="5"/>
  <c r="V432" i="5"/>
  <c r="AO78" i="5"/>
  <c r="AN78" i="5"/>
  <c r="AO181" i="5"/>
  <c r="AN181" i="5"/>
  <c r="AO134" i="5"/>
  <c r="AN134" i="5"/>
  <c r="AO166" i="5"/>
  <c r="AN166" i="5"/>
  <c r="U440" i="5"/>
  <c r="V440" i="5"/>
  <c r="V476" i="5"/>
  <c r="U476" i="5"/>
  <c r="V291" i="5"/>
  <c r="U291" i="5"/>
  <c r="U281" i="5"/>
  <c r="V281" i="5"/>
  <c r="V229" i="5"/>
  <c r="U229" i="5"/>
  <c r="U269" i="5"/>
  <c r="V269" i="5"/>
  <c r="U268" i="5"/>
  <c r="V268" i="5"/>
  <c r="U133" i="5"/>
  <c r="V133" i="5"/>
  <c r="U346" i="5"/>
  <c r="V346" i="5"/>
  <c r="U154" i="5"/>
  <c r="V154" i="5"/>
  <c r="V38" i="5"/>
  <c r="U38" i="5"/>
  <c r="AM64" i="4"/>
  <c r="AN64" i="4" s="1"/>
  <c r="W64" i="4"/>
  <c r="X64" i="4" s="1"/>
  <c r="AJ64" i="4" s="1"/>
  <c r="AP78" i="5"/>
  <c r="AP448" i="5"/>
  <c r="AQ448" i="5" s="1"/>
  <c r="AP487" i="5"/>
  <c r="AR487" i="5" s="1"/>
  <c r="U8" i="5"/>
  <c r="V8" i="5"/>
  <c r="AN288" i="5"/>
  <c r="AO288" i="5"/>
  <c r="AN378" i="5"/>
  <c r="AO378" i="5"/>
  <c r="AO516" i="5"/>
  <c r="AN516" i="5"/>
  <c r="AO529" i="5"/>
  <c r="AN529" i="5"/>
  <c r="AN522" i="5"/>
  <c r="AO522" i="5"/>
  <c r="AN19" i="5"/>
  <c r="AO19" i="5"/>
  <c r="AO366" i="5"/>
  <c r="AN366" i="5"/>
  <c r="AN154" i="5"/>
  <c r="AO154" i="5"/>
  <c r="AO391" i="5"/>
  <c r="AN391" i="5"/>
  <c r="AO269" i="5"/>
  <c r="AN269" i="5"/>
  <c r="AN524" i="5"/>
  <c r="AO524" i="5"/>
  <c r="AO250" i="5"/>
  <c r="AN250" i="5"/>
  <c r="AN55" i="5"/>
  <c r="AO55" i="5"/>
  <c r="AN386" i="5"/>
  <c r="AO386" i="5"/>
  <c r="AO126" i="5"/>
  <c r="AN126" i="5"/>
  <c r="AO489" i="5"/>
  <c r="AN489" i="5"/>
  <c r="AN310" i="5"/>
  <c r="AO310" i="5"/>
  <c r="AO86" i="5"/>
  <c r="AN86" i="5"/>
  <c r="AO461" i="5"/>
  <c r="AN461" i="5"/>
  <c r="AN214" i="5"/>
  <c r="AO214" i="5"/>
  <c r="AO357" i="5"/>
  <c r="AN357" i="5"/>
  <c r="AN124" i="5"/>
  <c r="AO124" i="5"/>
  <c r="V80" i="5"/>
  <c r="U80" i="5"/>
  <c r="V288" i="5"/>
  <c r="U288" i="5"/>
  <c r="AM19" i="4"/>
  <c r="AN19" i="4" s="1"/>
  <c r="W19" i="4"/>
  <c r="Y19" i="4" s="1"/>
  <c r="Z19" i="4" s="1"/>
  <c r="AF19" i="4" s="1"/>
  <c r="AN148" i="5"/>
  <c r="AO148" i="5"/>
  <c r="U56" i="5"/>
  <c r="V56" i="5"/>
  <c r="W30" i="4"/>
  <c r="Y30" i="4" s="1"/>
  <c r="Z30" i="4" s="1"/>
  <c r="AF30" i="4" s="1"/>
  <c r="AN424" i="5"/>
  <c r="AO424" i="5"/>
  <c r="AM100" i="4"/>
  <c r="AN100" i="4" s="1"/>
  <c r="W100" i="4"/>
  <c r="U496" i="5"/>
  <c r="V496" i="5"/>
  <c r="V344" i="5"/>
  <c r="U344" i="5"/>
  <c r="AO448" i="5"/>
  <c r="AN448" i="5"/>
  <c r="AM44" i="4"/>
  <c r="AN44" i="4" s="1"/>
  <c r="W44" i="4"/>
  <c r="Y44" i="4" s="1"/>
  <c r="Z44" i="4" s="1"/>
  <c r="U100" i="5"/>
  <c r="V100" i="5"/>
  <c r="U462" i="5"/>
  <c r="V462" i="5"/>
  <c r="V418" i="5"/>
  <c r="U418" i="5"/>
  <c r="V380" i="5"/>
  <c r="U380" i="5"/>
  <c r="U242" i="5"/>
  <c r="V242" i="5"/>
  <c r="V69" i="5"/>
  <c r="U69" i="5"/>
  <c r="V67" i="5"/>
  <c r="U67" i="5"/>
  <c r="U194" i="5"/>
  <c r="V194" i="5"/>
  <c r="V338" i="5"/>
  <c r="U338" i="5"/>
  <c r="U515" i="5"/>
  <c r="V515" i="5"/>
  <c r="U247" i="5"/>
  <c r="V247" i="5"/>
  <c r="U253" i="5"/>
  <c r="V253" i="5"/>
  <c r="U205" i="5"/>
  <c r="V205" i="5"/>
  <c r="U50" i="5"/>
  <c r="V50" i="5"/>
  <c r="U529" i="5"/>
  <c r="V529" i="5"/>
  <c r="U478" i="5"/>
  <c r="V478" i="5"/>
  <c r="V214" i="5"/>
  <c r="U214" i="5"/>
  <c r="U246" i="5"/>
  <c r="V246" i="5"/>
  <c r="V239" i="5"/>
  <c r="U239" i="5"/>
  <c r="U92" i="5"/>
  <c r="V92" i="5"/>
  <c r="V560" i="5"/>
  <c r="U560" i="5"/>
  <c r="U454" i="5"/>
  <c r="V454" i="5"/>
  <c r="U372" i="5"/>
  <c r="V372" i="5"/>
  <c r="U231" i="5"/>
  <c r="V231" i="5"/>
  <c r="V227" i="5"/>
  <c r="U227" i="5"/>
  <c r="V61" i="5"/>
  <c r="U61" i="5"/>
  <c r="U493" i="5"/>
  <c r="V493" i="5"/>
  <c r="U537" i="5"/>
  <c r="V537" i="5"/>
  <c r="U436" i="5"/>
  <c r="V436" i="5"/>
  <c r="U226" i="5"/>
  <c r="V226" i="5"/>
  <c r="U212" i="5"/>
  <c r="V212" i="5"/>
  <c r="U53" i="5"/>
  <c r="V53" i="5"/>
  <c r="U414" i="5"/>
  <c r="V414" i="5"/>
  <c r="U366" i="5"/>
  <c r="V366" i="5"/>
  <c r="U254" i="5"/>
  <c r="V254" i="5"/>
  <c r="U134" i="5"/>
  <c r="V134" i="5"/>
  <c r="V555" i="5"/>
  <c r="U555" i="5"/>
  <c r="U519" i="5"/>
  <c r="V519" i="5"/>
  <c r="U411" i="5"/>
  <c r="V411" i="5"/>
  <c r="V315" i="5"/>
  <c r="U315" i="5"/>
  <c r="U279" i="5"/>
  <c r="V279" i="5"/>
  <c r="U118" i="5"/>
  <c r="V118" i="5"/>
  <c r="V531" i="5"/>
  <c r="U531" i="5"/>
  <c r="V494" i="5"/>
  <c r="U494" i="5"/>
  <c r="V362" i="5"/>
  <c r="U362" i="5"/>
  <c r="V274" i="5"/>
  <c r="U274" i="5"/>
  <c r="U187" i="5"/>
  <c r="V187" i="5"/>
  <c r="U98" i="5"/>
  <c r="V98" i="5"/>
  <c r="V47" i="5"/>
  <c r="U47" i="5"/>
  <c r="U84" i="5"/>
  <c r="V84" i="5"/>
  <c r="AO20" i="5"/>
  <c r="AN20" i="5"/>
  <c r="AM9" i="4"/>
  <c r="AN9" i="4" s="1"/>
  <c r="W9" i="4"/>
  <c r="Y9" i="4" s="1"/>
  <c r="Z9" i="4" s="1"/>
  <c r="AF9" i="4" s="1"/>
  <c r="AM27" i="4"/>
  <c r="AN27" i="4" s="1"/>
  <c r="W27" i="4"/>
  <c r="Y27" i="4" s="1"/>
  <c r="Z27" i="4" s="1"/>
  <c r="AF27" i="4" s="1"/>
  <c r="AN216" i="5"/>
  <c r="AO216" i="5"/>
  <c r="AN151" i="5"/>
  <c r="AO151" i="5"/>
  <c r="AO84" i="5"/>
  <c r="AN84" i="5"/>
  <c r="AN101" i="5"/>
  <c r="AO101" i="5"/>
  <c r="AM116" i="4"/>
  <c r="AN116" i="4" s="1"/>
  <c r="U512" i="5"/>
  <c r="V512" i="5"/>
  <c r="U435" i="5"/>
  <c r="V435" i="5"/>
  <c r="U244" i="5"/>
  <c r="V244" i="5"/>
  <c r="U82" i="5"/>
  <c r="V82" i="5"/>
  <c r="U484" i="5"/>
  <c r="V484" i="5"/>
  <c r="U453" i="5"/>
  <c r="V453" i="5"/>
  <c r="V57" i="5"/>
  <c r="U57" i="5"/>
  <c r="V549" i="5"/>
  <c r="U549" i="5"/>
  <c r="V428" i="5"/>
  <c r="U428" i="5"/>
  <c r="V322" i="5"/>
  <c r="U322" i="5"/>
  <c r="U393" i="5"/>
  <c r="V393" i="5"/>
  <c r="V27" i="5"/>
  <c r="U27" i="5"/>
  <c r="AP101" i="5"/>
  <c r="AR101" i="5" s="1"/>
  <c r="AP143" i="5"/>
  <c r="AR143" i="5" s="1"/>
  <c r="W91" i="4"/>
  <c r="X91" i="4" s="1"/>
  <c r="AP81" i="5"/>
  <c r="AQ81" i="5" s="1"/>
  <c r="U256" i="5"/>
  <c r="V256" i="5"/>
  <c r="V320" i="5"/>
  <c r="U320" i="5"/>
  <c r="AO290" i="5"/>
  <c r="AN290" i="5"/>
  <c r="AN245" i="5"/>
  <c r="AO245" i="5"/>
  <c r="AO429" i="5"/>
  <c r="AN429" i="5"/>
  <c r="AO471" i="5"/>
  <c r="AN471" i="5"/>
  <c r="AO407" i="5"/>
  <c r="AN407" i="5"/>
  <c r="AO417" i="5"/>
  <c r="AN417" i="5"/>
  <c r="AN90" i="5"/>
  <c r="AO90" i="5"/>
  <c r="AN452" i="5"/>
  <c r="AO452" i="5"/>
  <c r="AN266" i="5"/>
  <c r="AO266" i="5"/>
  <c r="AN425" i="5"/>
  <c r="AO425" i="5"/>
  <c r="AO329" i="5"/>
  <c r="AN329" i="5"/>
  <c r="AO44" i="5"/>
  <c r="AN44" i="5"/>
  <c r="AO319" i="5"/>
  <c r="AN319" i="5"/>
  <c r="AO94" i="5"/>
  <c r="AN94" i="5"/>
  <c r="AO405" i="5"/>
  <c r="AN405" i="5"/>
  <c r="AN188" i="5"/>
  <c r="AO188" i="5"/>
  <c r="AO76" i="5"/>
  <c r="AN76" i="5"/>
  <c r="AN375" i="5"/>
  <c r="AO375" i="5"/>
  <c r="AN165" i="5"/>
  <c r="AO165" i="5"/>
  <c r="AO295" i="5"/>
  <c r="AN295" i="5"/>
  <c r="AN100" i="5"/>
  <c r="AO100" i="5"/>
  <c r="V368" i="5"/>
  <c r="U368" i="5"/>
  <c r="W86" i="4"/>
  <c r="AM86" i="4"/>
  <c r="AN86" i="4" s="1"/>
  <c r="AN236" i="5"/>
  <c r="AO236" i="5"/>
  <c r="AO208" i="5"/>
  <c r="AN208" i="5"/>
  <c r="U400" i="5"/>
  <c r="V400" i="5"/>
  <c r="V112" i="5"/>
  <c r="U112" i="5"/>
  <c r="AO144" i="5"/>
  <c r="AN144" i="5"/>
  <c r="U526" i="5"/>
  <c r="V526" i="5"/>
  <c r="AM137" i="4"/>
  <c r="AN137" i="4" s="1"/>
  <c r="W137" i="4"/>
  <c r="AO480" i="5"/>
  <c r="AN480" i="5"/>
  <c r="AO300" i="5"/>
  <c r="AN300" i="5"/>
  <c r="V328" i="5"/>
  <c r="U328" i="5"/>
  <c r="AO35" i="5"/>
  <c r="AN35" i="5"/>
  <c r="U518" i="5"/>
  <c r="V518" i="5"/>
  <c r="U349" i="5"/>
  <c r="V349" i="5"/>
  <c r="U307" i="5"/>
  <c r="V307" i="5"/>
  <c r="V285" i="5"/>
  <c r="U285" i="5"/>
  <c r="U141" i="5"/>
  <c r="V141" i="5"/>
  <c r="U19" i="5"/>
  <c r="V19" i="5"/>
  <c r="U552" i="5"/>
  <c r="V552" i="5"/>
  <c r="V44" i="5"/>
  <c r="U44" i="5"/>
  <c r="U510" i="5"/>
  <c r="V510" i="5"/>
  <c r="V481" i="5"/>
  <c r="U481" i="5"/>
  <c r="U420" i="5"/>
  <c r="V420" i="5"/>
  <c r="U323" i="5"/>
  <c r="V323" i="5"/>
  <c r="U190" i="5"/>
  <c r="V190" i="5"/>
  <c r="U28" i="5"/>
  <c r="V28" i="5"/>
  <c r="V506" i="5"/>
  <c r="U506" i="5"/>
  <c r="U443" i="5"/>
  <c r="V443" i="5"/>
  <c r="V415" i="5"/>
  <c r="U415" i="5"/>
  <c r="V316" i="5"/>
  <c r="U316" i="5"/>
  <c r="U203" i="5"/>
  <c r="V203" i="5"/>
  <c r="U30" i="5"/>
  <c r="V30" i="5"/>
  <c r="U495" i="5"/>
  <c r="V495" i="5"/>
  <c r="V339" i="5"/>
  <c r="U339" i="5"/>
  <c r="U437" i="5"/>
  <c r="V437" i="5"/>
  <c r="V313" i="5"/>
  <c r="U313" i="5"/>
  <c r="U196" i="5"/>
  <c r="V196" i="5"/>
  <c r="U502" i="5"/>
  <c r="V502" i="5"/>
  <c r="U470" i="5"/>
  <c r="V470" i="5"/>
  <c r="V507" i="5"/>
  <c r="U507" i="5"/>
  <c r="U405" i="5"/>
  <c r="V405" i="5"/>
  <c r="V311" i="5"/>
  <c r="U311" i="5"/>
  <c r="V188" i="5"/>
  <c r="U188" i="5"/>
  <c r="Q10" i="5"/>
  <c r="AG10" i="5"/>
  <c r="T10" i="5"/>
  <c r="AM10" i="5"/>
  <c r="W10" i="5"/>
  <c r="V383" i="5"/>
  <c r="U383" i="5"/>
  <c r="V329" i="5"/>
  <c r="U329" i="5"/>
  <c r="U233" i="5"/>
  <c r="V233" i="5"/>
  <c r="U114" i="5"/>
  <c r="V114" i="5"/>
  <c r="U514" i="5"/>
  <c r="V514" i="5"/>
  <c r="U498" i="5"/>
  <c r="V498" i="5"/>
  <c r="U382" i="5"/>
  <c r="V382" i="5"/>
  <c r="U356" i="5"/>
  <c r="V356" i="5"/>
  <c r="U252" i="5"/>
  <c r="V252" i="5"/>
  <c r="U125" i="5"/>
  <c r="V125" i="5"/>
  <c r="V487" i="5"/>
  <c r="U487" i="5"/>
  <c r="V451" i="5"/>
  <c r="U451" i="5"/>
  <c r="U354" i="5"/>
  <c r="V354" i="5"/>
  <c r="U249" i="5"/>
  <c r="V249" i="5"/>
  <c r="V151" i="5"/>
  <c r="U151" i="5"/>
  <c r="U74" i="5"/>
  <c r="V74" i="5"/>
  <c r="V26" i="5"/>
  <c r="U26" i="5"/>
  <c r="U87" i="5"/>
  <c r="V87" i="5"/>
  <c r="AN292" i="5"/>
  <c r="AO292" i="5"/>
  <c r="V546" i="5"/>
  <c r="U546" i="5"/>
  <c r="AO456" i="5"/>
  <c r="AN456" i="5"/>
  <c r="AO255" i="5"/>
  <c r="AN255" i="5"/>
  <c r="AO229" i="5"/>
  <c r="AN229" i="5"/>
  <c r="U472" i="5"/>
  <c r="V472" i="5"/>
  <c r="U464" i="5"/>
  <c r="V464" i="5"/>
  <c r="U550" i="5"/>
  <c r="V550" i="5"/>
  <c r="U375" i="5"/>
  <c r="V375" i="5"/>
  <c r="U37" i="5"/>
  <c r="V37" i="5"/>
  <c r="U403" i="5"/>
  <c r="V403" i="5"/>
  <c r="U377" i="5"/>
  <c r="V377" i="5"/>
  <c r="V161" i="5"/>
  <c r="U161" i="5"/>
  <c r="U91" i="5"/>
  <c r="V91" i="5"/>
  <c r="U280" i="5"/>
  <c r="V280" i="5"/>
  <c r="AP229" i="5"/>
  <c r="AR229" i="5" s="1"/>
  <c r="AP131" i="5"/>
  <c r="AQ131" i="5" s="1"/>
  <c r="AP94" i="5"/>
  <c r="AQ94" i="5" s="1"/>
  <c r="AP274" i="5"/>
  <c r="AQ274" i="5" s="1"/>
  <c r="AP79" i="5"/>
  <c r="AR79" i="5" s="1"/>
  <c r="AP127" i="5"/>
  <c r="AR127" i="5" s="1"/>
  <c r="AM68" i="4"/>
  <c r="AN68" i="4" s="1"/>
  <c r="W68" i="4"/>
  <c r="AO95" i="5"/>
  <c r="AN95" i="5"/>
  <c r="AN202" i="5"/>
  <c r="AO202" i="5"/>
  <c r="AO350" i="5"/>
  <c r="AN350" i="5"/>
  <c r="AN351" i="5"/>
  <c r="AO351" i="5"/>
  <c r="AO517" i="5"/>
  <c r="AN517" i="5"/>
  <c r="AN345" i="5"/>
  <c r="AO345" i="5"/>
  <c r="AO483" i="5"/>
  <c r="AN483" i="5"/>
  <c r="AN364" i="5"/>
  <c r="AO364" i="5"/>
  <c r="AN244" i="5"/>
  <c r="AO244" i="5"/>
  <c r="AN502" i="5"/>
  <c r="AO502" i="5"/>
  <c r="AO247" i="5"/>
  <c r="AN247" i="5"/>
  <c r="AN559" i="5"/>
  <c r="AO559" i="5"/>
  <c r="AN315" i="5"/>
  <c r="AO315" i="5"/>
  <c r="AN77" i="5"/>
  <c r="AO77" i="5"/>
  <c r="AN468" i="5"/>
  <c r="AO468" i="5"/>
  <c r="AN323" i="5"/>
  <c r="AO323" i="5"/>
  <c r="AN52" i="5"/>
  <c r="AO52" i="5"/>
  <c r="AO414" i="5"/>
  <c r="AN414" i="5"/>
  <c r="AN170" i="5"/>
  <c r="AO170" i="5"/>
  <c r="AN317" i="5"/>
  <c r="AO317" i="5"/>
  <c r="AO74" i="5"/>
  <c r="AN74" i="5"/>
  <c r="U352" i="5"/>
  <c r="V352" i="5"/>
  <c r="AN440" i="5"/>
  <c r="AO440" i="5"/>
  <c r="AM123" i="4"/>
  <c r="AN123" i="4" s="1"/>
  <c r="W123" i="4"/>
  <c r="Y123" i="4" s="1"/>
  <c r="Z123" i="4" s="1"/>
  <c r="AN203" i="5"/>
  <c r="AO203" i="5"/>
  <c r="U272" i="5"/>
  <c r="V272" i="5"/>
  <c r="U424" i="5"/>
  <c r="V424" i="5"/>
  <c r="AM77" i="4"/>
  <c r="AN77" i="4" s="1"/>
  <c r="W77" i="4"/>
  <c r="X77" i="4" s="1"/>
  <c r="AM150" i="4"/>
  <c r="AN150" i="4" s="1"/>
  <c r="W150" i="4"/>
  <c r="X150" i="4" s="1"/>
  <c r="AJ150" i="4" s="1"/>
  <c r="V304" i="5"/>
  <c r="U304" i="5"/>
  <c r="V208" i="5"/>
  <c r="U208" i="5"/>
  <c r="AN464" i="5"/>
  <c r="AO464" i="5"/>
  <c r="AM23" i="4"/>
  <c r="AN23" i="4" s="1"/>
  <c r="W23" i="4"/>
  <c r="AO107" i="5"/>
  <c r="AN107" i="5"/>
  <c r="V160" i="5"/>
  <c r="U160" i="5"/>
  <c r="AO99" i="5"/>
  <c r="AN99" i="5"/>
  <c r="AM8" i="4"/>
  <c r="AN8" i="4" s="1"/>
  <c r="W8" i="4"/>
  <c r="U536" i="5"/>
  <c r="V536" i="5"/>
  <c r="V273" i="5"/>
  <c r="U273" i="5"/>
  <c r="U146" i="5"/>
  <c r="V146" i="5"/>
  <c r="U221" i="5"/>
  <c r="V221" i="5"/>
  <c r="U419" i="5"/>
  <c r="V419" i="5"/>
  <c r="V553" i="5"/>
  <c r="U553" i="5"/>
  <c r="V539" i="5"/>
  <c r="U539" i="5"/>
  <c r="V523" i="5"/>
  <c r="U523" i="5"/>
  <c r="V482" i="5"/>
  <c r="U482" i="5"/>
  <c r="U447" i="5"/>
  <c r="V447" i="5"/>
  <c r="U387" i="5"/>
  <c r="V387" i="5"/>
  <c r="V237" i="5"/>
  <c r="U237" i="5"/>
  <c r="U79" i="5"/>
  <c r="V79" i="5"/>
  <c r="V520" i="5"/>
  <c r="U520" i="5"/>
  <c r="U477" i="5"/>
  <c r="V477" i="5"/>
  <c r="U324" i="5"/>
  <c r="V324" i="5"/>
  <c r="V381" i="5"/>
  <c r="U381" i="5"/>
  <c r="V284" i="5"/>
  <c r="U284" i="5"/>
  <c r="V186" i="5"/>
  <c r="U186" i="5"/>
  <c r="U509" i="5"/>
  <c r="V509" i="5"/>
  <c r="U473" i="5"/>
  <c r="V473" i="5"/>
  <c r="U508" i="5"/>
  <c r="V508" i="5"/>
  <c r="V410" i="5"/>
  <c r="U410" i="5"/>
  <c r="U276" i="5"/>
  <c r="V276" i="5"/>
  <c r="V185" i="5"/>
  <c r="U185" i="5"/>
  <c r="U559" i="5"/>
  <c r="V559" i="5"/>
  <c r="U439" i="5"/>
  <c r="V439" i="5"/>
  <c r="U466" i="5"/>
  <c r="V466" i="5"/>
  <c r="V367" i="5"/>
  <c r="U367" i="5"/>
  <c r="U266" i="5"/>
  <c r="V266" i="5"/>
  <c r="V183" i="5"/>
  <c r="U183" i="5"/>
  <c r="U471" i="5"/>
  <c r="V471" i="5"/>
  <c r="V353" i="5"/>
  <c r="U353" i="5"/>
  <c r="V262" i="5"/>
  <c r="U262" i="5"/>
  <c r="U180" i="5"/>
  <c r="V180" i="5"/>
  <c r="U109" i="5"/>
  <c r="V109" i="5"/>
  <c r="V544" i="5"/>
  <c r="U544" i="5"/>
  <c r="V468" i="5"/>
  <c r="U468" i="5"/>
  <c r="V348" i="5"/>
  <c r="U348" i="5"/>
  <c r="U293" i="5"/>
  <c r="V293" i="5"/>
  <c r="V230" i="5"/>
  <c r="U230" i="5"/>
  <c r="V156" i="5"/>
  <c r="U156" i="5"/>
  <c r="U461" i="5"/>
  <c r="V461" i="5"/>
  <c r="V379" i="5"/>
  <c r="U379" i="5"/>
  <c r="V310" i="5"/>
  <c r="U310" i="5"/>
  <c r="U225" i="5"/>
  <c r="V225" i="5"/>
  <c r="U155" i="5"/>
  <c r="V155" i="5"/>
  <c r="V59" i="5"/>
  <c r="U59" i="5"/>
  <c r="U121" i="5"/>
  <c r="V121" i="5"/>
  <c r="V105" i="5"/>
  <c r="U105" i="5"/>
  <c r="AO91" i="5"/>
  <c r="AN91" i="5"/>
  <c r="V554" i="5"/>
  <c r="U554" i="5"/>
  <c r="AN34" i="5"/>
  <c r="AO34" i="5"/>
  <c r="AO46" i="5"/>
  <c r="AN46" i="5"/>
  <c r="AN411" i="5"/>
  <c r="AO411" i="5"/>
  <c r="AO535" i="5"/>
  <c r="AN535" i="5"/>
  <c r="AM63" i="4"/>
  <c r="AN63" i="4" s="1"/>
  <c r="W63" i="4"/>
  <c r="U150" i="5"/>
  <c r="V150" i="5"/>
  <c r="U245" i="5"/>
  <c r="V245" i="5"/>
  <c r="V93" i="5"/>
  <c r="U93" i="5"/>
  <c r="U222" i="5"/>
  <c r="V222" i="5"/>
  <c r="U191" i="5"/>
  <c r="V191" i="5"/>
  <c r="V282" i="5"/>
  <c r="U282" i="5"/>
  <c r="V364" i="5"/>
  <c r="U364" i="5"/>
  <c r="U525" i="5"/>
  <c r="V525" i="5"/>
  <c r="V318" i="5"/>
  <c r="U318" i="5"/>
  <c r="U43" i="5"/>
  <c r="V43" i="5"/>
  <c r="AP232" i="5"/>
  <c r="AQ232" i="5" s="1"/>
  <c r="AP381" i="5"/>
  <c r="AQ381" i="5" s="1"/>
  <c r="AP255" i="5"/>
  <c r="AQ255" i="5" s="1"/>
  <c r="AP531" i="5"/>
  <c r="AQ531" i="5" s="1"/>
  <c r="AP210" i="5"/>
  <c r="AQ210" i="5" s="1"/>
  <c r="AP360" i="5"/>
  <c r="AR360" i="5" s="1"/>
  <c r="AP216" i="5"/>
  <c r="AP30" i="5"/>
  <c r="AR30" i="5" s="1"/>
  <c r="AP140" i="5"/>
  <c r="AR140" i="5" s="1"/>
  <c r="AO501" i="5"/>
  <c r="AN501" i="5"/>
  <c r="AN548" i="5"/>
  <c r="AO548" i="5"/>
  <c r="AO187" i="5"/>
  <c r="AN187" i="5"/>
  <c r="AN119" i="5"/>
  <c r="AO119" i="5"/>
  <c r="AN509" i="5"/>
  <c r="AO509" i="5"/>
  <c r="AN339" i="5"/>
  <c r="AO339" i="5"/>
  <c r="AO544" i="5"/>
  <c r="AN544" i="5"/>
  <c r="AO402" i="5"/>
  <c r="AN402" i="5"/>
  <c r="AO230" i="5"/>
  <c r="AN230" i="5"/>
  <c r="AN443" i="5"/>
  <c r="AO443" i="5"/>
  <c r="AN246" i="5"/>
  <c r="AO246" i="5"/>
  <c r="AN297" i="5"/>
  <c r="AO297" i="5"/>
  <c r="AO241" i="5"/>
  <c r="AN241" i="5"/>
  <c r="AN63" i="5"/>
  <c r="AO63" i="5"/>
  <c r="AN515" i="5"/>
  <c r="AO515" i="5"/>
  <c r="AN191" i="5"/>
  <c r="AO191" i="5"/>
  <c r="AN37" i="5"/>
  <c r="AO37" i="5"/>
  <c r="AO218" i="5"/>
  <c r="AN218" i="5"/>
  <c r="AN117" i="5"/>
  <c r="AO117" i="5"/>
  <c r="AO291" i="5"/>
  <c r="AN291" i="5"/>
  <c r="AO75" i="5"/>
  <c r="AN75" i="5"/>
  <c r="AM157" i="4"/>
  <c r="W157" i="4"/>
  <c r="X157" i="4" s="1"/>
  <c r="U192" i="5"/>
  <c r="V192" i="5"/>
  <c r="U232" i="5"/>
  <c r="V232" i="5"/>
  <c r="AN336" i="5"/>
  <c r="AO336" i="5"/>
  <c r="AN227" i="5"/>
  <c r="AO227" i="5"/>
  <c r="AN121" i="5"/>
  <c r="AO121" i="5"/>
  <c r="AN184" i="5"/>
  <c r="AO184" i="5"/>
  <c r="AN123" i="5"/>
  <c r="AO123" i="5"/>
  <c r="AM95" i="4"/>
  <c r="AN95" i="4" s="1"/>
  <c r="W95" i="4"/>
  <c r="U485" i="5"/>
  <c r="V485" i="5"/>
  <c r="V457" i="5"/>
  <c r="U457" i="5"/>
  <c r="V181" i="5"/>
  <c r="U181" i="5"/>
  <c r="V547" i="5"/>
  <c r="U547" i="5"/>
  <c r="U142" i="5"/>
  <c r="V142" i="5"/>
  <c r="U492" i="5"/>
  <c r="V492" i="5"/>
  <c r="V542" i="5"/>
  <c r="U542" i="5"/>
  <c r="U467" i="5"/>
  <c r="V467" i="5"/>
  <c r="V445" i="5"/>
  <c r="U445" i="5"/>
  <c r="U455" i="5"/>
  <c r="V455" i="5"/>
  <c r="U357" i="5"/>
  <c r="V357" i="5"/>
  <c r="V350" i="5"/>
  <c r="U350" i="5"/>
  <c r="V306" i="5"/>
  <c r="U306" i="5"/>
  <c r="U177" i="5"/>
  <c r="V177" i="5"/>
  <c r="U423" i="5"/>
  <c r="V423" i="5"/>
  <c r="V452" i="5"/>
  <c r="U452" i="5"/>
  <c r="U399" i="5"/>
  <c r="V399" i="5"/>
  <c r="U345" i="5"/>
  <c r="V345" i="5"/>
  <c r="U135" i="5"/>
  <c r="V135" i="5"/>
  <c r="V170" i="5"/>
  <c r="U170" i="5"/>
  <c r="U397" i="5"/>
  <c r="V397" i="5"/>
  <c r="U446" i="5"/>
  <c r="V446" i="5"/>
  <c r="V441" i="5"/>
  <c r="U441" i="5"/>
  <c r="V378" i="5"/>
  <c r="U378" i="5"/>
  <c r="U334" i="5"/>
  <c r="V334" i="5"/>
  <c r="V169" i="5"/>
  <c r="U169" i="5"/>
  <c r="U524" i="5"/>
  <c r="V524" i="5"/>
  <c r="U398" i="5"/>
  <c r="V398" i="5"/>
  <c r="U417" i="5"/>
  <c r="V417" i="5"/>
  <c r="V337" i="5"/>
  <c r="U337" i="5"/>
  <c r="V332" i="5"/>
  <c r="U332" i="5"/>
  <c r="U140" i="5"/>
  <c r="V140" i="5"/>
  <c r="U442" i="5"/>
  <c r="V442" i="5"/>
  <c r="U228" i="5"/>
  <c r="V228" i="5"/>
  <c r="V321" i="5"/>
  <c r="U321" i="5"/>
  <c r="V199" i="5"/>
  <c r="U199" i="5"/>
  <c r="V85" i="5"/>
  <c r="U85" i="5"/>
  <c r="U540" i="5"/>
  <c r="V540" i="5"/>
  <c r="U438" i="5"/>
  <c r="V438" i="5"/>
  <c r="U195" i="5"/>
  <c r="V195" i="5"/>
  <c r="U261" i="5"/>
  <c r="V261" i="5"/>
  <c r="V174" i="5"/>
  <c r="U174" i="5"/>
  <c r="V106" i="5"/>
  <c r="U106" i="5"/>
  <c r="U425" i="5"/>
  <c r="V425" i="5"/>
  <c r="V340" i="5"/>
  <c r="U340" i="5"/>
  <c r="V290" i="5"/>
  <c r="U290" i="5"/>
  <c r="U243" i="5"/>
  <c r="V243" i="5"/>
  <c r="U95" i="5"/>
  <c r="V95" i="5"/>
  <c r="U52" i="5"/>
  <c r="V52" i="5"/>
  <c r="U83" i="5"/>
  <c r="V83" i="5"/>
  <c r="V89" i="5"/>
  <c r="U89" i="5"/>
  <c r="AO307" i="5"/>
  <c r="AN307" i="5"/>
  <c r="AO104" i="5"/>
  <c r="AN104" i="5"/>
  <c r="AM108" i="4"/>
  <c r="AN108" i="4" s="1"/>
  <c r="W108" i="4"/>
  <c r="Y108" i="4" s="1"/>
  <c r="Z108" i="4" s="1"/>
  <c r="AM102" i="4"/>
  <c r="AN102" i="4" s="1"/>
  <c r="W102" i="4"/>
  <c r="Y102" i="4" s="1"/>
  <c r="AO469" i="5"/>
  <c r="AN469" i="5"/>
  <c r="AN460" i="5"/>
  <c r="AO460" i="5"/>
  <c r="AO531" i="5"/>
  <c r="AN531" i="5"/>
  <c r="AO237" i="5"/>
  <c r="AN237" i="5"/>
  <c r="V538" i="5"/>
  <c r="U538" i="5"/>
  <c r="U516" i="5"/>
  <c r="V516" i="5"/>
  <c r="U351" i="5"/>
  <c r="V351" i="5"/>
  <c r="V513" i="5"/>
  <c r="U513" i="5"/>
  <c r="U475" i="5"/>
  <c r="V475" i="5"/>
  <c r="V371" i="5"/>
  <c r="U371" i="5"/>
  <c r="AP447" i="5"/>
  <c r="AQ447" i="5" s="1"/>
  <c r="AP181" i="5"/>
  <c r="AR181" i="5" s="1"/>
  <c r="AP517" i="5"/>
  <c r="AQ517" i="5" s="1"/>
  <c r="AP426" i="5"/>
  <c r="AQ426" i="5" s="1"/>
  <c r="AP312" i="5"/>
  <c r="AQ312" i="5" s="1"/>
  <c r="AP239" i="5"/>
  <c r="AR239" i="5" s="1"/>
  <c r="AP474" i="5"/>
  <c r="AQ474" i="5" s="1"/>
  <c r="AP296" i="5"/>
  <c r="AQ296" i="5" s="1"/>
  <c r="V152" i="5"/>
  <c r="U152" i="5"/>
  <c r="AO400" i="5"/>
  <c r="AN400" i="5"/>
  <c r="U488" i="5"/>
  <c r="V488" i="5"/>
  <c r="AO353" i="5"/>
  <c r="AN353" i="5"/>
  <c r="AN439" i="5"/>
  <c r="AO439" i="5"/>
  <c r="AO523" i="5"/>
  <c r="AN523" i="5"/>
  <c r="AN479" i="5"/>
  <c r="AO479" i="5"/>
  <c r="AN466" i="5"/>
  <c r="AO466" i="5"/>
  <c r="AN268" i="5"/>
  <c r="AO268" i="5"/>
  <c r="AO513" i="5"/>
  <c r="AN513" i="5"/>
  <c r="AO277" i="5"/>
  <c r="AN277" i="5"/>
  <c r="AN158" i="5"/>
  <c r="AO158" i="5"/>
  <c r="AO382" i="5"/>
  <c r="AN382" i="5"/>
  <c r="AO242" i="5"/>
  <c r="AN242" i="5"/>
  <c r="AO494" i="5"/>
  <c r="AN494" i="5"/>
  <c r="AO327" i="5"/>
  <c r="AN327" i="5"/>
  <c r="AO30" i="5"/>
  <c r="AN30" i="5"/>
  <c r="AN333" i="5"/>
  <c r="AO333" i="5"/>
  <c r="AN217" i="5"/>
  <c r="AO217" i="5"/>
  <c r="AN541" i="5"/>
  <c r="AO541" i="5"/>
  <c r="AN309" i="5"/>
  <c r="AO309" i="5"/>
  <c r="AO102" i="5"/>
  <c r="AN102" i="5"/>
  <c r="AN215" i="5"/>
  <c r="AO215" i="5"/>
  <c r="AO67" i="5"/>
  <c r="AN67" i="5"/>
  <c r="AM103" i="4"/>
  <c r="AN103" i="4" s="1"/>
  <c r="W103" i="4"/>
  <c r="V416" i="5"/>
  <c r="U416" i="5"/>
  <c r="AN153" i="5"/>
  <c r="AO153" i="5"/>
  <c r="V32" i="5"/>
  <c r="U32" i="5"/>
  <c r="W45" i="4"/>
  <c r="AM45" i="4"/>
  <c r="AN45" i="4" s="1"/>
  <c r="U360" i="5"/>
  <c r="V360" i="5"/>
  <c r="AO387" i="5"/>
  <c r="AN387" i="5"/>
  <c r="AM38" i="4"/>
  <c r="AN38" i="4" s="1"/>
  <c r="W38" i="4"/>
  <c r="U392" i="5"/>
  <c r="V392" i="5"/>
  <c r="V373" i="5"/>
  <c r="U373" i="5"/>
  <c r="U469" i="5"/>
  <c r="V469" i="5"/>
  <c r="V558" i="5"/>
  <c r="U558" i="5"/>
  <c r="U394" i="5"/>
  <c r="V394" i="5"/>
  <c r="V535" i="5"/>
  <c r="U535" i="5"/>
  <c r="U521" i="5"/>
  <c r="V521" i="5"/>
  <c r="U486" i="5"/>
  <c r="V486" i="5"/>
  <c r="U500" i="5"/>
  <c r="V500" i="5"/>
  <c r="U530" i="5"/>
  <c r="V530" i="5"/>
  <c r="V511" i="5"/>
  <c r="U511" i="5"/>
  <c r="V402" i="5"/>
  <c r="U402" i="5"/>
  <c r="U286" i="5"/>
  <c r="V286" i="5"/>
  <c r="U270" i="5"/>
  <c r="V270" i="5"/>
  <c r="U138" i="5"/>
  <c r="V138" i="5"/>
  <c r="V528" i="5"/>
  <c r="U528" i="5"/>
  <c r="U413" i="5"/>
  <c r="V413" i="5"/>
  <c r="U363" i="5"/>
  <c r="V363" i="5"/>
  <c r="V283" i="5"/>
  <c r="U283" i="5"/>
  <c r="V301" i="5"/>
  <c r="U301" i="5"/>
  <c r="V173" i="5"/>
  <c r="U173" i="5"/>
  <c r="U449" i="5"/>
  <c r="V449" i="5"/>
  <c r="U401" i="5"/>
  <c r="V401" i="5"/>
  <c r="V287" i="5"/>
  <c r="U287" i="5"/>
  <c r="V342" i="5"/>
  <c r="U342" i="5"/>
  <c r="U295" i="5"/>
  <c r="V295" i="5"/>
  <c r="V171" i="5"/>
  <c r="U171" i="5"/>
  <c r="V406" i="5"/>
  <c r="U406" i="5"/>
  <c r="U522" i="5"/>
  <c r="V522" i="5"/>
  <c r="U388" i="5"/>
  <c r="V388" i="5"/>
  <c r="U267" i="5"/>
  <c r="V267" i="5"/>
  <c r="V289" i="5"/>
  <c r="U289" i="5"/>
  <c r="V149" i="5"/>
  <c r="U149" i="5"/>
  <c r="U533" i="5"/>
  <c r="V533" i="5"/>
  <c r="V389" i="5"/>
  <c r="U389" i="5"/>
  <c r="U302" i="5"/>
  <c r="V302" i="5"/>
  <c r="U223" i="5"/>
  <c r="V223" i="5"/>
  <c r="U76" i="5"/>
  <c r="V76" i="5"/>
  <c r="V489" i="5"/>
  <c r="U489" i="5"/>
  <c r="U532" i="5"/>
  <c r="V532" i="5"/>
  <c r="V386" i="5"/>
  <c r="U386" i="5"/>
  <c r="V331" i="5"/>
  <c r="U331" i="5"/>
  <c r="U166" i="5"/>
  <c r="V166" i="5"/>
  <c r="U107" i="5"/>
  <c r="V107" i="5"/>
  <c r="V374" i="5"/>
  <c r="U374" i="5"/>
  <c r="U162" i="5"/>
  <c r="V162" i="5"/>
  <c r="U259" i="5"/>
  <c r="V259" i="5"/>
  <c r="V159" i="5"/>
  <c r="U159" i="5"/>
  <c r="V35" i="5"/>
  <c r="U35" i="5"/>
  <c r="U117" i="5"/>
  <c r="V117" i="5"/>
  <c r="U25" i="5"/>
  <c r="V25" i="5"/>
  <c r="U55" i="5"/>
  <c r="V55" i="5"/>
  <c r="AN379" i="5"/>
  <c r="AO379" i="5"/>
  <c r="V408" i="5"/>
  <c r="U408" i="5"/>
  <c r="AM54" i="4"/>
  <c r="AN54" i="4" s="1"/>
  <c r="W54" i="4"/>
  <c r="X54" i="4" s="1"/>
  <c r="AJ54" i="4" s="1"/>
  <c r="AO193" i="5"/>
  <c r="AN193" i="5"/>
  <c r="B102" i="2"/>
  <c r="B103" i="2" s="1"/>
  <c r="B73" i="2"/>
  <c r="B157" i="2"/>
  <c r="B92" i="2"/>
  <c r="B142" i="2"/>
  <c r="AE98" i="4"/>
  <c r="AH139" i="4"/>
  <c r="AH83" i="4"/>
  <c r="AH110" i="4"/>
  <c r="AH130" i="4"/>
  <c r="AH131" i="4"/>
  <c r="AH118" i="4"/>
  <c r="AH44" i="4"/>
  <c r="AH45" i="4"/>
  <c r="AH108" i="4"/>
  <c r="AH71" i="4"/>
  <c r="AH25" i="4"/>
  <c r="AH19" i="4"/>
  <c r="AH81" i="4"/>
  <c r="AH113" i="4"/>
  <c r="AH29" i="4"/>
  <c r="AH17" i="4"/>
  <c r="AH26" i="4"/>
  <c r="AH48" i="4"/>
  <c r="AH80" i="4"/>
  <c r="AH31" i="4"/>
  <c r="AH41" i="4"/>
  <c r="AH13" i="4"/>
  <c r="AH127" i="4"/>
  <c r="AH70" i="4"/>
  <c r="AH62" i="4"/>
  <c r="AH100" i="4"/>
  <c r="AH82" i="4"/>
  <c r="AH32" i="4"/>
  <c r="AH9" i="4"/>
  <c r="AH124" i="4"/>
  <c r="AH58" i="4"/>
  <c r="AH146" i="4"/>
  <c r="AH156" i="4"/>
  <c r="AH33" i="4"/>
  <c r="AH154" i="4"/>
  <c r="AH84" i="4"/>
  <c r="AH27" i="4"/>
  <c r="AH68" i="4"/>
  <c r="AH123" i="4"/>
  <c r="AH150" i="4"/>
  <c r="AH72" i="4"/>
  <c r="AH147" i="4"/>
  <c r="AH111" i="4"/>
  <c r="AH136" i="4"/>
  <c r="AH55" i="4"/>
  <c r="AH78" i="4"/>
  <c r="AH121" i="4"/>
  <c r="AH151" i="4"/>
  <c r="AH30" i="4"/>
  <c r="AH95" i="4"/>
  <c r="AH64" i="4"/>
  <c r="AH137" i="4"/>
  <c r="AH12" i="4"/>
  <c r="AH54" i="4"/>
  <c r="AH135" i="4"/>
  <c r="AH76" i="4"/>
  <c r="AH85" i="4"/>
  <c r="AH152" i="4"/>
  <c r="AH104" i="4"/>
  <c r="AH114" i="4"/>
  <c r="AH7" i="4"/>
  <c r="AH98" i="4"/>
  <c r="AH106" i="4"/>
  <c r="AH112" i="4"/>
  <c r="AH56" i="4"/>
  <c r="AH88" i="4"/>
  <c r="AH86" i="4"/>
  <c r="AH47" i="4"/>
  <c r="AH143" i="4"/>
  <c r="AH126" i="4"/>
  <c r="AH52" i="4"/>
  <c r="AH93" i="4"/>
  <c r="AH92" i="4"/>
  <c r="AH51" i="4"/>
  <c r="AH89" i="4"/>
  <c r="AH119" i="4"/>
  <c r="AH50" i="4"/>
  <c r="AH60" i="4"/>
  <c r="AH120" i="4"/>
  <c r="AH40" i="4"/>
  <c r="AH116" i="4"/>
  <c r="AH69" i="4"/>
  <c r="AH73" i="4"/>
  <c r="AR552" i="5"/>
  <c r="AQ552" i="5"/>
  <c r="AR527" i="5"/>
  <c r="AQ527" i="5"/>
  <c r="AQ494" i="5"/>
  <c r="AR494" i="5"/>
  <c r="AQ350" i="5"/>
  <c r="AQ516" i="5"/>
  <c r="AR516" i="5"/>
  <c r="AQ539" i="5"/>
  <c r="AR539" i="5"/>
  <c r="AQ69" i="5"/>
  <c r="AR69" i="5"/>
  <c r="AQ371" i="5"/>
  <c r="AR371" i="5"/>
  <c r="AQ465" i="5"/>
  <c r="AR465" i="5"/>
  <c r="AQ383" i="5"/>
  <c r="AR383" i="5"/>
  <c r="AR244" i="5"/>
  <c r="AQ354" i="5"/>
  <c r="AR354" i="5"/>
  <c r="AQ105" i="5"/>
  <c r="AR105" i="5"/>
  <c r="AQ222" i="5"/>
  <c r="AR222" i="5"/>
  <c r="AR133" i="5"/>
  <c r="AQ133" i="5"/>
  <c r="AR26" i="5"/>
  <c r="AQ26" i="5"/>
  <c r="AR477" i="5"/>
  <c r="AQ556" i="5"/>
  <c r="AR556" i="5"/>
  <c r="AR356" i="5"/>
  <c r="AQ356" i="5"/>
  <c r="AQ386" i="5"/>
  <c r="AR386" i="5"/>
  <c r="AQ437" i="5"/>
  <c r="AR437" i="5"/>
  <c r="AQ402" i="5"/>
  <c r="AR227" i="5"/>
  <c r="AQ227" i="5"/>
  <c r="AQ512" i="5"/>
  <c r="AR512" i="5"/>
  <c r="AR262" i="5"/>
  <c r="AR234" i="5"/>
  <c r="AQ234" i="5"/>
  <c r="AQ326" i="5"/>
  <c r="AR307" i="5"/>
  <c r="AQ307" i="5"/>
  <c r="AR355" i="5"/>
  <c r="AQ355" i="5"/>
  <c r="AQ345" i="5"/>
  <c r="AR187" i="5"/>
  <c r="AQ187" i="5"/>
  <c r="AQ324" i="5"/>
  <c r="AR324" i="5"/>
  <c r="AQ64" i="5"/>
  <c r="AR64" i="5"/>
  <c r="AR522" i="5"/>
  <c r="AQ93" i="5"/>
  <c r="AQ372" i="5"/>
  <c r="AQ218" i="5"/>
  <c r="AQ390" i="5"/>
  <c r="AR390" i="5"/>
  <c r="AR178" i="5"/>
  <c r="AQ178" i="5"/>
  <c r="AQ520" i="5"/>
  <c r="AR520" i="5"/>
  <c r="AQ118" i="5"/>
  <c r="AR118" i="5"/>
  <c r="AQ217" i="5"/>
  <c r="AR217" i="5"/>
  <c r="AR48" i="5"/>
  <c r="AQ48" i="5"/>
  <c r="AQ290" i="5"/>
  <c r="AR290" i="5"/>
  <c r="AQ365" i="5"/>
  <c r="AR365" i="5"/>
  <c r="AQ169" i="5"/>
  <c r="AR169" i="5"/>
  <c r="AR396" i="5"/>
  <c r="AQ396" i="5"/>
  <c r="AQ314" i="5"/>
  <c r="AR314" i="5"/>
  <c r="AR301" i="5"/>
  <c r="AQ301" i="5"/>
  <c r="AR528" i="5"/>
  <c r="AQ528" i="5"/>
  <c r="AQ404" i="5"/>
  <c r="AQ506" i="5"/>
  <c r="AR506" i="5"/>
  <c r="AR173" i="5"/>
  <c r="AQ173" i="5"/>
  <c r="AQ127" i="5"/>
  <c r="AQ119" i="5"/>
  <c r="AR119" i="5"/>
  <c r="AR214" i="5"/>
  <c r="AQ214" i="5"/>
  <c r="AQ432" i="5"/>
  <c r="AR432" i="5"/>
  <c r="AR112" i="5"/>
  <c r="AQ112" i="5"/>
  <c r="AR43" i="5"/>
  <c r="AQ43" i="5"/>
  <c r="AQ379" i="5"/>
  <c r="AR379" i="5"/>
  <c r="AQ497" i="5"/>
  <c r="AQ492" i="5"/>
  <c r="AR492" i="5"/>
  <c r="AQ454" i="5"/>
  <c r="AQ267" i="5"/>
  <c r="AR267" i="5"/>
  <c r="AQ557" i="5"/>
  <c r="AR557" i="5"/>
  <c r="AQ338" i="5"/>
  <c r="AR338" i="5"/>
  <c r="AR147" i="5"/>
  <c r="AQ147" i="5"/>
  <c r="AQ332" i="5"/>
  <c r="AR332" i="5"/>
  <c r="AQ451" i="5"/>
  <c r="AR451" i="5"/>
  <c r="AQ157" i="5"/>
  <c r="AR157" i="5"/>
  <c r="AQ134" i="5"/>
  <c r="AR134" i="5"/>
  <c r="AQ304" i="5"/>
  <c r="AR304" i="5"/>
  <c r="AR81" i="5"/>
  <c r="AR250" i="5"/>
  <c r="AQ250" i="5"/>
  <c r="AQ110" i="5"/>
  <c r="AQ521" i="5"/>
  <c r="AR521" i="5"/>
  <c r="AR25" i="5"/>
  <c r="AQ25" i="5"/>
  <c r="AR287" i="5"/>
  <c r="AQ287" i="5"/>
  <c r="AQ166" i="5"/>
  <c r="AR166" i="5"/>
  <c r="AR410" i="5"/>
  <c r="AQ410" i="5"/>
  <c r="AR135" i="5"/>
  <c r="AQ135" i="5"/>
  <c r="AR153" i="5"/>
  <c r="AQ153" i="5"/>
  <c r="AQ461" i="5"/>
  <c r="AR461" i="5"/>
  <c r="AQ450" i="5"/>
  <c r="AR450" i="5"/>
  <c r="AQ189" i="5"/>
  <c r="AR189" i="5"/>
  <c r="AQ199" i="5"/>
  <c r="AR199" i="5"/>
  <c r="AQ486" i="5"/>
  <c r="AR486" i="5"/>
  <c r="AQ359" i="5"/>
  <c r="AR359" i="5"/>
  <c r="AQ470" i="5"/>
  <c r="AR470" i="5"/>
  <c r="AQ394" i="5"/>
  <c r="AR394" i="5"/>
  <c r="AR491" i="5"/>
  <c r="AQ491" i="5"/>
  <c r="AQ245" i="5"/>
  <c r="AR245" i="5"/>
  <c r="AQ270" i="5"/>
  <c r="AR270" i="5"/>
  <c r="AQ382" i="5"/>
  <c r="AR382" i="5"/>
  <c r="AQ148" i="5"/>
  <c r="AR148" i="5"/>
  <c r="AQ202" i="5"/>
  <c r="AR202" i="5"/>
  <c r="AR540" i="5"/>
  <c r="AQ540" i="5"/>
  <c r="AR536" i="5"/>
  <c r="AQ536" i="5"/>
  <c r="AQ560" i="5"/>
  <c r="AR560" i="5"/>
  <c r="AQ510" i="5"/>
  <c r="AR510" i="5"/>
  <c r="AR485" i="5"/>
  <c r="AQ485" i="5"/>
  <c r="AQ398" i="5"/>
  <c r="AR398" i="5"/>
  <c r="AQ216" i="5"/>
  <c r="AR216" i="5"/>
  <c r="AK55" i="5"/>
  <c r="AL55" i="5"/>
  <c r="AM51" i="4"/>
  <c r="AN51" i="4" s="1"/>
  <c r="W51" i="4"/>
  <c r="Y51" i="4" s="1"/>
  <c r="Z51" i="4" s="1"/>
  <c r="AL99" i="5"/>
  <c r="AK99" i="5"/>
  <c r="V7" i="5"/>
  <c r="U7" i="5"/>
  <c r="AM28" i="4"/>
  <c r="AN28" i="4" s="1"/>
  <c r="W28" i="4"/>
  <c r="Y28" i="4" s="1"/>
  <c r="Z28" i="4" s="1"/>
  <c r="AK240" i="5"/>
  <c r="AL240" i="5"/>
  <c r="AQ313" i="5"/>
  <c r="AR313" i="5"/>
  <c r="AR192" i="5"/>
  <c r="AQ192" i="5"/>
  <c r="AK455" i="5"/>
  <c r="AL455" i="5"/>
  <c r="AQ65" i="5"/>
  <c r="AR65" i="5"/>
  <c r="AK411" i="5"/>
  <c r="AL411" i="5"/>
  <c r="AP411" i="5"/>
  <c r="AK464" i="5"/>
  <c r="AL464" i="5"/>
  <c r="AL71" i="5"/>
  <c r="AK71" i="5"/>
  <c r="AP71" i="5"/>
  <c r="AP167" i="5"/>
  <c r="AK167" i="5"/>
  <c r="AL167" i="5"/>
  <c r="AK435" i="5"/>
  <c r="AL435" i="5"/>
  <c r="AP435" i="5"/>
  <c r="AL233" i="5"/>
  <c r="AK233" i="5"/>
  <c r="AK276" i="5"/>
  <c r="AL276" i="5"/>
  <c r="AL386" i="5"/>
  <c r="AK386" i="5"/>
  <c r="AK375" i="5"/>
  <c r="AL375" i="5"/>
  <c r="AP375" i="5"/>
  <c r="AK285" i="5"/>
  <c r="AL285" i="5"/>
  <c r="AL362" i="5"/>
  <c r="AP362" i="5"/>
  <c r="AK362" i="5"/>
  <c r="AK229" i="5"/>
  <c r="AL229" i="5"/>
  <c r="AK49" i="5"/>
  <c r="AP49" i="5"/>
  <c r="AL49" i="5"/>
  <c r="AP518" i="5"/>
  <c r="AL518" i="5"/>
  <c r="AK518" i="5"/>
  <c r="AK363" i="5"/>
  <c r="AL363" i="5"/>
  <c r="AK185" i="5"/>
  <c r="AP185" i="5"/>
  <c r="AL185" i="5"/>
  <c r="AK471" i="5"/>
  <c r="AL471" i="5"/>
  <c r="AP471" i="5"/>
  <c r="AL470" i="5"/>
  <c r="AK470" i="5"/>
  <c r="AK255" i="5"/>
  <c r="AL255" i="5"/>
  <c r="AL92" i="5"/>
  <c r="AK92" i="5"/>
  <c r="AK472" i="5"/>
  <c r="AL472" i="5"/>
  <c r="AP472" i="5"/>
  <c r="AK348" i="5"/>
  <c r="AL348" i="5"/>
  <c r="AL238" i="5"/>
  <c r="AK238" i="5"/>
  <c r="AK29" i="5"/>
  <c r="AL29" i="5"/>
  <c r="AK443" i="5"/>
  <c r="AL443" i="5"/>
  <c r="AP443" i="5"/>
  <c r="AP292" i="5"/>
  <c r="AL292" i="5"/>
  <c r="AK292" i="5"/>
  <c r="AK80" i="5"/>
  <c r="AP80" i="5"/>
  <c r="AL80" i="5"/>
  <c r="AK532" i="5"/>
  <c r="AP532" i="5"/>
  <c r="AL532" i="5"/>
  <c r="AL387" i="5"/>
  <c r="AK387" i="5"/>
  <c r="AK243" i="5"/>
  <c r="AL243" i="5"/>
  <c r="AP243" i="5"/>
  <c r="AK75" i="5"/>
  <c r="AL75" i="5"/>
  <c r="AP75" i="5"/>
  <c r="AK62" i="5"/>
  <c r="AP62" i="5"/>
  <c r="AL62" i="5"/>
  <c r="AL526" i="5"/>
  <c r="AK526" i="5"/>
  <c r="AP526" i="5"/>
  <c r="AK388" i="5"/>
  <c r="AL388" i="5"/>
  <c r="AP388" i="5"/>
  <c r="AK237" i="5"/>
  <c r="AL237" i="5"/>
  <c r="AL28" i="5"/>
  <c r="AK28" i="5"/>
  <c r="AP28" i="5"/>
  <c r="AK523" i="5"/>
  <c r="AL523" i="5"/>
  <c r="AK316" i="5"/>
  <c r="AL316" i="5"/>
  <c r="AK236" i="5"/>
  <c r="AL236" i="5"/>
  <c r="AP236" i="5"/>
  <c r="AL125" i="5"/>
  <c r="AK125" i="5"/>
  <c r="AP125" i="5"/>
  <c r="AK452" i="5"/>
  <c r="AL452" i="5"/>
  <c r="AK428" i="5"/>
  <c r="AL428" i="5"/>
  <c r="AL252" i="5"/>
  <c r="AK252" i="5"/>
  <c r="AK156" i="5"/>
  <c r="AP156" i="5"/>
  <c r="AL156" i="5"/>
  <c r="AL46" i="5"/>
  <c r="AK46" i="5"/>
  <c r="AP46" i="5"/>
  <c r="AL508" i="5"/>
  <c r="AK508" i="5"/>
  <c r="AP508" i="5"/>
  <c r="AL412" i="5"/>
  <c r="AK412" i="5"/>
  <c r="AK177" i="5"/>
  <c r="AL177" i="5"/>
  <c r="AP177" i="5"/>
  <c r="AK110" i="5"/>
  <c r="AL110" i="5"/>
  <c r="AL42" i="5"/>
  <c r="AK42" i="5"/>
  <c r="AL502" i="5"/>
  <c r="AK502" i="5"/>
  <c r="AP502" i="5"/>
  <c r="AK346" i="5"/>
  <c r="AL346" i="5"/>
  <c r="AK189" i="5"/>
  <c r="AL189" i="5"/>
  <c r="AK68" i="5"/>
  <c r="AL68" i="5"/>
  <c r="AP68" i="5"/>
  <c r="AL251" i="5"/>
  <c r="AK251" i="5"/>
  <c r="AP251" i="5"/>
  <c r="AK102" i="5"/>
  <c r="AL102" i="5"/>
  <c r="AP102" i="5"/>
  <c r="AK26" i="5"/>
  <c r="AL26" i="5"/>
  <c r="AK479" i="5"/>
  <c r="AL479" i="5"/>
  <c r="AP479" i="5"/>
  <c r="AM53" i="4"/>
  <c r="AN53" i="4" s="1"/>
  <c r="W53" i="4"/>
  <c r="Y53" i="4" s="1"/>
  <c r="Z53" i="4" s="1"/>
  <c r="AF53" i="4" s="1"/>
  <c r="W120" i="4"/>
  <c r="Y120" i="4" s="1"/>
  <c r="AM120" i="4"/>
  <c r="AN120" i="4" s="1"/>
  <c r="AL369" i="5"/>
  <c r="AK369" i="5"/>
  <c r="AP369" i="5"/>
  <c r="AK376" i="5"/>
  <c r="AP376" i="5"/>
  <c r="AL376" i="5"/>
  <c r="AL95" i="5"/>
  <c r="AK95" i="5"/>
  <c r="AP95" i="5"/>
  <c r="AK351" i="5"/>
  <c r="AL351" i="5"/>
  <c r="Y12" i="5"/>
  <c r="X12" i="5"/>
  <c r="AR496" i="5"/>
  <c r="AK152" i="5"/>
  <c r="AP152" i="5"/>
  <c r="AL152" i="5"/>
  <c r="AN7" i="5"/>
  <c r="AO7" i="5"/>
  <c r="AM90" i="4"/>
  <c r="AN90" i="4" s="1"/>
  <c r="W90" i="4"/>
  <c r="Y90" i="4" s="1"/>
  <c r="AQ252" i="5"/>
  <c r="AR252" i="5"/>
  <c r="AM114" i="4"/>
  <c r="AN114" i="4" s="1"/>
  <c r="W114" i="4"/>
  <c r="Y114" i="4" s="1"/>
  <c r="Z114" i="4" s="1"/>
  <c r="AM113" i="4"/>
  <c r="AN113" i="4" s="1"/>
  <c r="W113" i="4"/>
  <c r="Y113" i="4" s="1"/>
  <c r="AR92" i="5"/>
  <c r="AQ405" i="5"/>
  <c r="AR405" i="5"/>
  <c r="AR58" i="5"/>
  <c r="AQ58" i="5"/>
  <c r="AR483" i="5"/>
  <c r="AK416" i="5"/>
  <c r="AL416" i="5"/>
  <c r="AP416" i="5"/>
  <c r="AI7" i="5"/>
  <c r="AH7" i="5"/>
  <c r="AP7" i="5"/>
  <c r="AP431" i="5"/>
  <c r="AL431" i="5"/>
  <c r="AK431" i="5"/>
  <c r="W55" i="4"/>
  <c r="Y55" i="4" s="1"/>
  <c r="Z55" i="4" s="1"/>
  <c r="AL353" i="5"/>
  <c r="AK353" i="5"/>
  <c r="AP353" i="5"/>
  <c r="AK113" i="5"/>
  <c r="AL113" i="5"/>
  <c r="AK534" i="5"/>
  <c r="AL534" i="5"/>
  <c r="AP534" i="5"/>
  <c r="AL31" i="5"/>
  <c r="AK31" i="5"/>
  <c r="AH99" i="4"/>
  <c r="AH65" i="4"/>
  <c r="Z98" i="4"/>
  <c r="AF98" i="4" s="1"/>
  <c r="AL81" i="5"/>
  <c r="AK81" i="5"/>
  <c r="AK160" i="5"/>
  <c r="AL160" i="5"/>
  <c r="AK135" i="5"/>
  <c r="AL135" i="5"/>
  <c r="AH153" i="4"/>
  <c r="AP452" i="5"/>
  <c r="AK531" i="5"/>
  <c r="AL531" i="5"/>
  <c r="AP208" i="5"/>
  <c r="AK208" i="5"/>
  <c r="AL208" i="5"/>
  <c r="AK389" i="5"/>
  <c r="AL389" i="5"/>
  <c r="AK501" i="5"/>
  <c r="AP501" i="5"/>
  <c r="AL501" i="5"/>
  <c r="AL374" i="5"/>
  <c r="AK374" i="5"/>
  <c r="AP374" i="5"/>
  <c r="AL215" i="5"/>
  <c r="AK215" i="5"/>
  <c r="AP215" i="5"/>
  <c r="AL24" i="5"/>
  <c r="AK24" i="5"/>
  <c r="AK466" i="5"/>
  <c r="AL466" i="5"/>
  <c r="AL325" i="5"/>
  <c r="AP325" i="5"/>
  <c r="AK325" i="5"/>
  <c r="AK123" i="5"/>
  <c r="AL123" i="5"/>
  <c r="AP123" i="5"/>
  <c r="AP468" i="5"/>
  <c r="AK468" i="5"/>
  <c r="AL468" i="5"/>
  <c r="AK407" i="5"/>
  <c r="AL407" i="5"/>
  <c r="AP407" i="5"/>
  <c r="AK284" i="5"/>
  <c r="AL284" i="5"/>
  <c r="AK73" i="5"/>
  <c r="AL73" i="5"/>
  <c r="AP73" i="5"/>
  <c r="AL414" i="5"/>
  <c r="AK414" i="5"/>
  <c r="AP414" i="5"/>
  <c r="AL408" i="5"/>
  <c r="AK408" i="5"/>
  <c r="AP408" i="5"/>
  <c r="AK196" i="5"/>
  <c r="AL196" i="5"/>
  <c r="AP196" i="5"/>
  <c r="AK557" i="5"/>
  <c r="AL557" i="5"/>
  <c r="AK505" i="5"/>
  <c r="AL505" i="5"/>
  <c r="AP505" i="5"/>
  <c r="AL315" i="5"/>
  <c r="AK315" i="5"/>
  <c r="AP315" i="5"/>
  <c r="AL128" i="5"/>
  <c r="AK128" i="5"/>
  <c r="AK538" i="5"/>
  <c r="AL538" i="5"/>
  <c r="AP538" i="5"/>
  <c r="AL406" i="5"/>
  <c r="AK406" i="5"/>
  <c r="AK181" i="5"/>
  <c r="AL181" i="5"/>
  <c r="AL63" i="5"/>
  <c r="AK63" i="5"/>
  <c r="AP63" i="5"/>
  <c r="AK39" i="5"/>
  <c r="AL39" i="5"/>
  <c r="AP39" i="5"/>
  <c r="AK437" i="5"/>
  <c r="AL437" i="5"/>
  <c r="AK434" i="5"/>
  <c r="AL434" i="5"/>
  <c r="AK204" i="5"/>
  <c r="AL204" i="5"/>
  <c r="AP204" i="5"/>
  <c r="AK514" i="5"/>
  <c r="AL514" i="5"/>
  <c r="AP514" i="5"/>
  <c r="AK492" i="5"/>
  <c r="AL492" i="5"/>
  <c r="AL286" i="5"/>
  <c r="AK286" i="5"/>
  <c r="AL172" i="5"/>
  <c r="AK172" i="5"/>
  <c r="AP172" i="5"/>
  <c r="AK85" i="5"/>
  <c r="AL85" i="5"/>
  <c r="AP85" i="5"/>
  <c r="AK552" i="5"/>
  <c r="AL552" i="5"/>
  <c r="AL381" i="5"/>
  <c r="AK381" i="5"/>
  <c r="AL322" i="5"/>
  <c r="AP322" i="5"/>
  <c r="AK322" i="5"/>
  <c r="AK164" i="5"/>
  <c r="AL164" i="5"/>
  <c r="AK497" i="5"/>
  <c r="AL497" i="5"/>
  <c r="AL418" i="5"/>
  <c r="AK418" i="5"/>
  <c r="AL356" i="5"/>
  <c r="AK356" i="5"/>
  <c r="AK305" i="5"/>
  <c r="AL305" i="5"/>
  <c r="AK149" i="5"/>
  <c r="AL149" i="5"/>
  <c r="AP44" i="5"/>
  <c r="AK44" i="5"/>
  <c r="AL44" i="5"/>
  <c r="AL506" i="5"/>
  <c r="AK506" i="5"/>
  <c r="AK333" i="5"/>
  <c r="AL333" i="5"/>
  <c r="AL234" i="5"/>
  <c r="AK234" i="5"/>
  <c r="AL38" i="5"/>
  <c r="AK38" i="5"/>
  <c r="AL329" i="5"/>
  <c r="AK329" i="5"/>
  <c r="AP329" i="5"/>
  <c r="AL141" i="5"/>
  <c r="AK141" i="5"/>
  <c r="AK256" i="5"/>
  <c r="AL256" i="5"/>
  <c r="AK447" i="5"/>
  <c r="AL447" i="5"/>
  <c r="W49" i="4"/>
  <c r="Y49" i="4" s="1"/>
  <c r="AM49" i="4"/>
  <c r="AN49" i="4" s="1"/>
  <c r="AL112" i="5"/>
  <c r="AK112" i="5"/>
  <c r="AM92" i="4"/>
  <c r="AN92" i="4" s="1"/>
  <c r="W92" i="4"/>
  <c r="Y92" i="4" s="1"/>
  <c r="Z92" i="4" s="1"/>
  <c r="AP12" i="5"/>
  <c r="AI12" i="5"/>
  <c r="AH12" i="5"/>
  <c r="AP164" i="5"/>
  <c r="AP305" i="5"/>
  <c r="AK459" i="5"/>
  <c r="AL459" i="5"/>
  <c r="AP459" i="5"/>
  <c r="AK88" i="5"/>
  <c r="AL88" i="5"/>
  <c r="AP88" i="5"/>
  <c r="AQ544" i="5"/>
  <c r="AQ205" i="5"/>
  <c r="AR205" i="5"/>
  <c r="AQ434" i="5"/>
  <c r="AR434" i="5"/>
  <c r="AL541" i="5"/>
  <c r="AK541" i="5"/>
  <c r="AP541" i="5"/>
  <c r="AR129" i="5"/>
  <c r="AQ129" i="5"/>
  <c r="AM50" i="4"/>
  <c r="AN50" i="4" s="1"/>
  <c r="W50" i="4"/>
  <c r="Y50" i="4" s="1"/>
  <c r="Z50" i="4" s="1"/>
  <c r="AL56" i="5"/>
  <c r="AK56" i="5"/>
  <c r="AL144" i="5"/>
  <c r="AK144" i="5"/>
  <c r="AK368" i="5"/>
  <c r="AL368" i="5"/>
  <c r="AK7" i="5"/>
  <c r="AL7" i="5"/>
  <c r="AQ175" i="5"/>
  <c r="AR175" i="5"/>
  <c r="AR335" i="5"/>
  <c r="AQ335" i="5"/>
  <c r="AQ380" i="5"/>
  <c r="AR380" i="5"/>
  <c r="AQ51" i="5"/>
  <c r="AR51" i="5"/>
  <c r="AM122" i="4"/>
  <c r="AN122" i="4" s="1"/>
  <c r="W122" i="4"/>
  <c r="Y122" i="4" s="1"/>
  <c r="Z122" i="4" s="1"/>
  <c r="AK525" i="5"/>
  <c r="AL525" i="5"/>
  <c r="W48" i="4"/>
  <c r="Y48" i="4" s="1"/>
  <c r="AK489" i="5"/>
  <c r="AL489" i="5"/>
  <c r="AP489" i="5"/>
  <c r="AM89" i="4"/>
  <c r="AN89" i="4" s="1"/>
  <c r="W89" i="4"/>
  <c r="Y89" i="4" s="1"/>
  <c r="Z89" i="4" s="1"/>
  <c r="AF89" i="4" s="1"/>
  <c r="AM78" i="4"/>
  <c r="AN78" i="4" s="1"/>
  <c r="W78" i="4"/>
  <c r="Y78" i="4" s="1"/>
  <c r="Z78" i="4" s="1"/>
  <c r="AF78" i="4" s="1"/>
  <c r="AK89" i="5"/>
  <c r="AL89" i="5"/>
  <c r="AP399" i="5"/>
  <c r="AK399" i="5"/>
  <c r="AL399" i="5"/>
  <c r="AM119" i="4"/>
  <c r="AN119" i="4" s="1"/>
  <c r="W119" i="4"/>
  <c r="Y119" i="4" s="1"/>
  <c r="Z119" i="4" s="1"/>
  <c r="AK449" i="5"/>
  <c r="AL449" i="5"/>
  <c r="AK359" i="5"/>
  <c r="AL359" i="5"/>
  <c r="AM138" i="4"/>
  <c r="AN138" i="4" s="1"/>
  <c r="W138" i="4"/>
  <c r="Y138" i="4" s="1"/>
  <c r="Z138" i="4" s="1"/>
  <c r="AM36" i="4"/>
  <c r="AN36" i="4" s="1"/>
  <c r="W36" i="4"/>
  <c r="Y36" i="4" s="1"/>
  <c r="Z36" i="4" s="1"/>
  <c r="AF36" i="4" s="1"/>
  <c r="AP412" i="5"/>
  <c r="AK495" i="5"/>
  <c r="AL495" i="5"/>
  <c r="AK536" i="5"/>
  <c r="AL536" i="5"/>
  <c r="AL493" i="5"/>
  <c r="AK493" i="5"/>
  <c r="AL433" i="5"/>
  <c r="AP433" i="5"/>
  <c r="AK433" i="5"/>
  <c r="AL427" i="5"/>
  <c r="AP427" i="5"/>
  <c r="AK427" i="5"/>
  <c r="AK162" i="5"/>
  <c r="AL162" i="5"/>
  <c r="AL543" i="5"/>
  <c r="AK543" i="5"/>
  <c r="AP543" i="5"/>
  <c r="AP288" i="5"/>
  <c r="AL288" i="5"/>
  <c r="AK288" i="5"/>
  <c r="AK245" i="5"/>
  <c r="AL245" i="5"/>
  <c r="AK87" i="5"/>
  <c r="AL87" i="5"/>
  <c r="AL261" i="5"/>
  <c r="AK261" i="5"/>
  <c r="AK323" i="5"/>
  <c r="AL323" i="5"/>
  <c r="AP323" i="5"/>
  <c r="AL209" i="5"/>
  <c r="AK209" i="5"/>
  <c r="AP209" i="5"/>
  <c r="AK66" i="5"/>
  <c r="AL66" i="5"/>
  <c r="AK503" i="5"/>
  <c r="AL503" i="5"/>
  <c r="AP503" i="5"/>
  <c r="AL344" i="5"/>
  <c r="AP344" i="5"/>
  <c r="AK344" i="5"/>
  <c r="AL168" i="5"/>
  <c r="AK168" i="5"/>
  <c r="AP168" i="5"/>
  <c r="AL554" i="5"/>
  <c r="AK554" i="5"/>
  <c r="AP554" i="5"/>
  <c r="AK444" i="5"/>
  <c r="AL444" i="5"/>
  <c r="AK248" i="5"/>
  <c r="AL248" i="5"/>
  <c r="AP248" i="5"/>
  <c r="AL104" i="5"/>
  <c r="AK104" i="5"/>
  <c r="AK458" i="5"/>
  <c r="AL458" i="5"/>
  <c r="AL336" i="5"/>
  <c r="AK336" i="5"/>
  <c r="AP336" i="5"/>
  <c r="AK219" i="5"/>
  <c r="AL219" i="5"/>
  <c r="AL25" i="5"/>
  <c r="AK25" i="5"/>
  <c r="AK23" i="5"/>
  <c r="AL23" i="5"/>
  <c r="AL266" i="5"/>
  <c r="AK266" i="5"/>
  <c r="AP266" i="5"/>
  <c r="AK377" i="5"/>
  <c r="AL377" i="5"/>
  <c r="AP377" i="5"/>
  <c r="AP179" i="5"/>
  <c r="AK179" i="5"/>
  <c r="AL179" i="5"/>
  <c r="AL462" i="5"/>
  <c r="AK462" i="5"/>
  <c r="AK429" i="5"/>
  <c r="AL429" i="5"/>
  <c r="AP429" i="5"/>
  <c r="AL258" i="5"/>
  <c r="AK258" i="5"/>
  <c r="AK228" i="5"/>
  <c r="AL228" i="5"/>
  <c r="AP228" i="5"/>
  <c r="AL60" i="5"/>
  <c r="AK60" i="5"/>
  <c r="AP60" i="5"/>
  <c r="AK485" i="5"/>
  <c r="AL485" i="5"/>
  <c r="AK300" i="5"/>
  <c r="AL300" i="5"/>
  <c r="AK310" i="5"/>
  <c r="AL310" i="5"/>
  <c r="AP310" i="5"/>
  <c r="AL114" i="5"/>
  <c r="AP114" i="5"/>
  <c r="AK114" i="5"/>
  <c r="AK535" i="5"/>
  <c r="AL535" i="5"/>
  <c r="AK482" i="5"/>
  <c r="AL482" i="5"/>
  <c r="AP482" i="5"/>
  <c r="AL340" i="5"/>
  <c r="AK340" i="5"/>
  <c r="AP269" i="5"/>
  <c r="AK269" i="5"/>
  <c r="AL269" i="5"/>
  <c r="AL118" i="5"/>
  <c r="AK118" i="5"/>
  <c r="AK486" i="5"/>
  <c r="AL486" i="5"/>
  <c r="AL446" i="5"/>
  <c r="AK446" i="5"/>
  <c r="AP446" i="5"/>
  <c r="AK221" i="5"/>
  <c r="AL221" i="5"/>
  <c r="AP242" i="5"/>
  <c r="AK242" i="5"/>
  <c r="AL242" i="5"/>
  <c r="AL370" i="5"/>
  <c r="AK370" i="5"/>
  <c r="AL294" i="5"/>
  <c r="AK294" i="5"/>
  <c r="AK70" i="5"/>
  <c r="AL70" i="5"/>
  <c r="AK199" i="5"/>
  <c r="AL199" i="5"/>
  <c r="AP351" i="5"/>
  <c r="AM13" i="4"/>
  <c r="AN13" i="4" s="1"/>
  <c r="W13" i="4"/>
  <c r="Y13" i="4" s="1"/>
  <c r="Z13" i="4" s="1"/>
  <c r="AP286" i="5"/>
  <c r="AP523" i="5"/>
  <c r="AK155" i="5"/>
  <c r="AL155" i="5"/>
  <c r="AP155" i="5"/>
  <c r="B80" i="2"/>
  <c r="B143" i="2"/>
  <c r="B75" i="2"/>
  <c r="B108" i="2"/>
  <c r="B109" i="2" s="1"/>
  <c r="B98" i="2"/>
  <c r="AP55" i="5"/>
  <c r="AM82" i="4"/>
  <c r="AN82" i="4" s="1"/>
  <c r="W82" i="4"/>
  <c r="Y82" i="4" s="1"/>
  <c r="Z82" i="4" s="1"/>
  <c r="AF82" i="4" s="1"/>
  <c r="AK12" i="5"/>
  <c r="AL12" i="5"/>
  <c r="AP221" i="5"/>
  <c r="AK224" i="5"/>
  <c r="AL224" i="5"/>
  <c r="AP224" i="5"/>
  <c r="AR109" i="5"/>
  <c r="AQ109" i="5"/>
  <c r="AQ176" i="5"/>
  <c r="AR176" i="5"/>
  <c r="AK223" i="5"/>
  <c r="AL223" i="5"/>
  <c r="AL35" i="5"/>
  <c r="AK35" i="5"/>
  <c r="AP35" i="5"/>
  <c r="AK97" i="5"/>
  <c r="AL97" i="5"/>
  <c r="AK367" i="5"/>
  <c r="AL367" i="5"/>
  <c r="AP367" i="5"/>
  <c r="AM149" i="4"/>
  <c r="AN149" i="4" s="1"/>
  <c r="W149" i="4"/>
  <c r="Y149" i="4" s="1"/>
  <c r="AL107" i="5"/>
  <c r="AK107" i="5"/>
  <c r="AP107" i="5"/>
  <c r="AL328" i="5"/>
  <c r="AK328" i="5"/>
  <c r="AK183" i="5"/>
  <c r="AP183" i="5"/>
  <c r="AL183" i="5"/>
  <c r="AK439" i="5"/>
  <c r="AL439" i="5"/>
  <c r="AR212" i="5"/>
  <c r="AQ212" i="5"/>
  <c r="AR387" i="5"/>
  <c r="AQ387" i="5"/>
  <c r="AL32" i="5"/>
  <c r="AK32" i="5"/>
  <c r="AP32" i="5"/>
  <c r="AL303" i="5"/>
  <c r="AP303" i="5"/>
  <c r="AK303" i="5"/>
  <c r="AM136" i="4"/>
  <c r="AN136" i="4" s="1"/>
  <c r="W136" i="4"/>
  <c r="Y136" i="4" s="1"/>
  <c r="Z136" i="4" s="1"/>
  <c r="AF136" i="4" s="1"/>
  <c r="AM146" i="4"/>
  <c r="AN146" i="4" s="1"/>
  <c r="W146" i="4"/>
  <c r="Y146" i="4" s="1"/>
  <c r="Z146" i="4" s="1"/>
  <c r="W17" i="4"/>
  <c r="Y17" i="4" s="1"/>
  <c r="Z17" i="4" s="1"/>
  <c r="AM17" i="4"/>
  <c r="AN17" i="4" s="1"/>
  <c r="AR428" i="5"/>
  <c r="AK335" i="5"/>
  <c r="AL335" i="5"/>
  <c r="AL96" i="5"/>
  <c r="AK96" i="5"/>
  <c r="AL47" i="5"/>
  <c r="AK47" i="5"/>
  <c r="AM74" i="4"/>
  <c r="AN74" i="4" s="1"/>
  <c r="W74" i="4"/>
  <c r="Y74" i="4" s="1"/>
  <c r="Z74" i="4" s="1"/>
  <c r="AF74" i="4" s="1"/>
  <c r="AM154" i="4"/>
  <c r="AN154" i="4" s="1"/>
  <c r="W154" i="4"/>
  <c r="Y154" i="4" s="1"/>
  <c r="Z154" i="4" s="1"/>
  <c r="AL265" i="5"/>
  <c r="AK265" i="5"/>
  <c r="AP265" i="5"/>
  <c r="AL121" i="5"/>
  <c r="AK121" i="5"/>
  <c r="AP423" i="5"/>
  <c r="AK423" i="5"/>
  <c r="AL423" i="5"/>
  <c r="AM25" i="4"/>
  <c r="AN25" i="4" s="1"/>
  <c r="W25" i="4"/>
  <c r="Y25" i="4" s="1"/>
  <c r="Z25" i="4" s="1"/>
  <c r="AF25" i="4" s="1"/>
  <c r="AM99" i="4"/>
  <c r="AN99" i="4" s="1"/>
  <c r="W99" i="4"/>
  <c r="Y99" i="4" s="1"/>
  <c r="Z99" i="4" s="1"/>
  <c r="AM112" i="4"/>
  <c r="AN112" i="4" s="1"/>
  <c r="W112" i="4"/>
  <c r="Y112" i="4" s="1"/>
  <c r="Z112" i="4" s="1"/>
  <c r="AF112" i="4" s="1"/>
  <c r="AM65" i="4"/>
  <c r="AN65" i="4" s="1"/>
  <c r="W65" i="4"/>
  <c r="Y65" i="4" s="1"/>
  <c r="Z65" i="4" s="1"/>
  <c r="AM153" i="4"/>
  <c r="AN153" i="4" s="1"/>
  <c r="W153" i="4"/>
  <c r="Y153" i="4" s="1"/>
  <c r="Z153" i="4" s="1"/>
  <c r="AM97" i="4"/>
  <c r="AN97" i="4" s="1"/>
  <c r="AL201" i="5"/>
  <c r="AP201" i="5"/>
  <c r="AK201" i="5"/>
  <c r="AL306" i="5"/>
  <c r="AK306" i="5"/>
  <c r="AK400" i="5"/>
  <c r="AL400" i="5"/>
  <c r="AP400" i="5"/>
  <c r="AK212" i="5"/>
  <c r="AL212" i="5"/>
  <c r="AK520" i="5"/>
  <c r="AL520" i="5"/>
  <c r="AK365" i="5"/>
  <c r="AL365" i="5"/>
  <c r="AL178" i="5"/>
  <c r="AK178" i="5"/>
  <c r="AL475" i="5"/>
  <c r="AK475" i="5"/>
  <c r="AP475" i="5"/>
  <c r="AK476" i="5"/>
  <c r="AL476" i="5"/>
  <c r="AK268" i="5"/>
  <c r="AL268" i="5"/>
  <c r="AP268" i="5"/>
  <c r="AK98" i="5"/>
  <c r="AP98" i="5"/>
  <c r="AL98" i="5"/>
  <c r="AK491" i="5"/>
  <c r="AL491" i="5"/>
  <c r="AK364" i="5"/>
  <c r="AL364" i="5"/>
  <c r="AL244" i="5"/>
  <c r="AK244" i="5"/>
  <c r="AL30" i="5"/>
  <c r="AK30" i="5"/>
  <c r="AK450" i="5"/>
  <c r="AL450" i="5"/>
  <c r="AL304" i="5"/>
  <c r="AK304" i="5"/>
  <c r="AK86" i="5"/>
  <c r="AL86" i="5"/>
  <c r="AP86" i="5"/>
  <c r="AL549" i="5"/>
  <c r="AK549" i="5"/>
  <c r="AP549" i="5"/>
  <c r="AK391" i="5"/>
  <c r="AL391" i="5"/>
  <c r="AP391" i="5"/>
  <c r="AL247" i="5"/>
  <c r="AP247" i="5"/>
  <c r="AK247" i="5"/>
  <c r="AL76" i="5"/>
  <c r="AK76" i="5"/>
  <c r="AP76" i="5"/>
  <c r="AL393" i="5"/>
  <c r="AP393" i="5"/>
  <c r="AK393" i="5"/>
  <c r="AL390" i="5"/>
  <c r="AK390" i="5"/>
  <c r="AL182" i="5"/>
  <c r="AK182" i="5"/>
  <c r="AK137" i="5"/>
  <c r="AL137" i="5"/>
  <c r="AP137" i="5"/>
  <c r="AM13" i="5"/>
  <c r="T13" i="5"/>
  <c r="AG13" i="5"/>
  <c r="Q13" i="5"/>
  <c r="AJ13" i="5"/>
  <c r="W13" i="5"/>
  <c r="AK481" i="5"/>
  <c r="AL481" i="5"/>
  <c r="AP481" i="5"/>
  <c r="AK355" i="5"/>
  <c r="AL355" i="5"/>
  <c r="AK140" i="5"/>
  <c r="AL140" i="5"/>
  <c r="AL558" i="5"/>
  <c r="AK558" i="5"/>
  <c r="AK405" i="5"/>
  <c r="AL405" i="5"/>
  <c r="AL324" i="5"/>
  <c r="AK324" i="5"/>
  <c r="AK173" i="5"/>
  <c r="AL173" i="5"/>
  <c r="AK61" i="5"/>
  <c r="AL61" i="5"/>
  <c r="AP61" i="5"/>
  <c r="AK445" i="5"/>
  <c r="AL445" i="5"/>
  <c r="AP445" i="5"/>
  <c r="AL354" i="5"/>
  <c r="AK354" i="5"/>
  <c r="AK198" i="5"/>
  <c r="AL198" i="5"/>
  <c r="AP198" i="5"/>
  <c r="AL157" i="5"/>
  <c r="AK157" i="5"/>
  <c r="AL556" i="5"/>
  <c r="AK556" i="5"/>
  <c r="AL461" i="5"/>
  <c r="AK461" i="5"/>
  <c r="AK308" i="5"/>
  <c r="AP308" i="5"/>
  <c r="AL308" i="5"/>
  <c r="AK193" i="5"/>
  <c r="AP193" i="5"/>
  <c r="AL193" i="5"/>
  <c r="AP100" i="5"/>
  <c r="AK100" i="5"/>
  <c r="AL100" i="5"/>
  <c r="AL548" i="5"/>
  <c r="AK548" i="5"/>
  <c r="AL338" i="5"/>
  <c r="AK338" i="5"/>
  <c r="AL314" i="5"/>
  <c r="AK314" i="5"/>
  <c r="AL180" i="5"/>
  <c r="AK180" i="5"/>
  <c r="AP180" i="5"/>
  <c r="AK345" i="5"/>
  <c r="AL345" i="5"/>
  <c r="AL253" i="5"/>
  <c r="AK253" i="5"/>
  <c r="AP253" i="5"/>
  <c r="AK58" i="5"/>
  <c r="AL58" i="5"/>
  <c r="AP160" i="5"/>
  <c r="AP466" i="5"/>
  <c r="AL395" i="5"/>
  <c r="AP395" i="5"/>
  <c r="AK395" i="5"/>
  <c r="AP363" i="5"/>
  <c r="AK504" i="5"/>
  <c r="AL504" i="5"/>
  <c r="AP504" i="5"/>
  <c r="V12" i="5"/>
  <c r="U12" i="5"/>
  <c r="AQ333" i="5"/>
  <c r="AR333" i="5"/>
  <c r="AK311" i="5"/>
  <c r="AP311" i="5"/>
  <c r="AL311" i="5"/>
  <c r="AM131" i="4"/>
  <c r="AN131" i="4" s="1"/>
  <c r="W131" i="4"/>
  <c r="Y131" i="4" s="1"/>
  <c r="AK111" i="5"/>
  <c r="AL111" i="5"/>
  <c r="AP111" i="5"/>
  <c r="AR78" i="5"/>
  <c r="AQ78" i="5"/>
  <c r="AR72" i="5"/>
  <c r="AL40" i="5"/>
  <c r="AK40" i="5"/>
  <c r="AP40" i="5"/>
  <c r="AL280" i="5"/>
  <c r="AK280" i="5"/>
  <c r="AM124" i="4"/>
  <c r="AN124" i="4" s="1"/>
  <c r="W124" i="4"/>
  <c r="Y124" i="4" s="1"/>
  <c r="Z124" i="4" s="1"/>
  <c r="AQ283" i="5"/>
  <c r="AR283" i="5"/>
  <c r="AP328" i="5"/>
  <c r="X7" i="5"/>
  <c r="Y7" i="5"/>
  <c r="AQ348" i="5"/>
  <c r="AR348" i="5"/>
  <c r="AL119" i="5"/>
  <c r="AK119" i="5"/>
  <c r="AM42" i="4"/>
  <c r="AN42" i="4" s="1"/>
  <c r="W42" i="4"/>
  <c r="Y42" i="4" s="1"/>
  <c r="AK79" i="5"/>
  <c r="AL79" i="5"/>
  <c r="AL143" i="5"/>
  <c r="AK143" i="5"/>
  <c r="AK313" i="5"/>
  <c r="AL313" i="5"/>
  <c r="AK72" i="5"/>
  <c r="AL72" i="5"/>
  <c r="AL264" i="5"/>
  <c r="AK264" i="5"/>
  <c r="AK320" i="5"/>
  <c r="AP320" i="5"/>
  <c r="AL320" i="5"/>
  <c r="AL207" i="5"/>
  <c r="AK207" i="5"/>
  <c r="AP207" i="5"/>
  <c r="W87" i="4"/>
  <c r="Y87" i="4" s="1"/>
  <c r="AM87" i="4"/>
  <c r="AN87" i="4" s="1"/>
  <c r="AL473" i="5"/>
  <c r="AK473" i="5"/>
  <c r="AM11" i="4"/>
  <c r="AN11" i="4" s="1"/>
  <c r="W11" i="4"/>
  <c r="Y11" i="4" s="1"/>
  <c r="Z11" i="4" s="1"/>
  <c r="AP464" i="5"/>
  <c r="AL553" i="5"/>
  <c r="AK553" i="5"/>
  <c r="AH144" i="4"/>
  <c r="B105" i="2"/>
  <c r="B106" i="2" s="1"/>
  <c r="B74" i="2"/>
  <c r="B95" i="2"/>
  <c r="AL546" i="5"/>
  <c r="AK546" i="5"/>
  <c r="AP546" i="5"/>
  <c r="AK175" i="5"/>
  <c r="AL175" i="5"/>
  <c r="AP10" i="5"/>
  <c r="AK10" i="5"/>
  <c r="AL10" i="5"/>
  <c r="AL469" i="5"/>
  <c r="AP469" i="5"/>
  <c r="AK469" i="5"/>
  <c r="AK334" i="5"/>
  <c r="AP334" i="5"/>
  <c r="AL334" i="5"/>
  <c r="AL129" i="5"/>
  <c r="AK129" i="5"/>
  <c r="AK516" i="5"/>
  <c r="AL516" i="5"/>
  <c r="AK409" i="5"/>
  <c r="AL409" i="5"/>
  <c r="AP409" i="5"/>
  <c r="AK290" i="5"/>
  <c r="AL290" i="5"/>
  <c r="AK91" i="5"/>
  <c r="AL91" i="5"/>
  <c r="AL424" i="5"/>
  <c r="AK424" i="5"/>
  <c r="AP424" i="5"/>
  <c r="AK419" i="5"/>
  <c r="AL419" i="5"/>
  <c r="AK124" i="5"/>
  <c r="AL124" i="5"/>
  <c r="AP124" i="5"/>
  <c r="AK474" i="5"/>
  <c r="AL474" i="5"/>
  <c r="AK511" i="5"/>
  <c r="AL511" i="5"/>
  <c r="AP511" i="5"/>
  <c r="AK332" i="5"/>
  <c r="AL332" i="5"/>
  <c r="AL146" i="5"/>
  <c r="AK146" i="5"/>
  <c r="AL540" i="5"/>
  <c r="AK540" i="5"/>
  <c r="AK415" i="5"/>
  <c r="AL415" i="5"/>
  <c r="AP415" i="5"/>
  <c r="AK192" i="5"/>
  <c r="AL192" i="5"/>
  <c r="AL69" i="5"/>
  <c r="AK69" i="5"/>
  <c r="AL494" i="5"/>
  <c r="AK494" i="5"/>
  <c r="AL296" i="5"/>
  <c r="AK296" i="5"/>
  <c r="AL154" i="5"/>
  <c r="AK154" i="5"/>
  <c r="AK151" i="5"/>
  <c r="AL151" i="5"/>
  <c r="AP151" i="5"/>
  <c r="AP19" i="5"/>
  <c r="AL19" i="5"/>
  <c r="AK19" i="5"/>
  <c r="AK373" i="5"/>
  <c r="AL373" i="5"/>
  <c r="AP373" i="5"/>
  <c r="AL267" i="5"/>
  <c r="AK267" i="5"/>
  <c r="AK134" i="5"/>
  <c r="AL134" i="5"/>
  <c r="AK490" i="5"/>
  <c r="AP490" i="5"/>
  <c r="AL490" i="5"/>
  <c r="AK382" i="5"/>
  <c r="AL382" i="5"/>
  <c r="AL301" i="5"/>
  <c r="AK301" i="5"/>
  <c r="AK166" i="5"/>
  <c r="AL166" i="5"/>
  <c r="AK52" i="5"/>
  <c r="AL52" i="5"/>
  <c r="AP52" i="5"/>
  <c r="AK421" i="5"/>
  <c r="AL421" i="5"/>
  <c r="AK413" i="5"/>
  <c r="AP413" i="5"/>
  <c r="AL413" i="5"/>
  <c r="AL197" i="5"/>
  <c r="AK197" i="5"/>
  <c r="AP197" i="5"/>
  <c r="AL130" i="5"/>
  <c r="AK130" i="5"/>
  <c r="AK547" i="5"/>
  <c r="AP547" i="5"/>
  <c r="AL547" i="5"/>
  <c r="AP385" i="5"/>
  <c r="AK385" i="5"/>
  <c r="AL385" i="5"/>
  <c r="AL277" i="5"/>
  <c r="AK277" i="5"/>
  <c r="AP277" i="5"/>
  <c r="AK222" i="5"/>
  <c r="AL222" i="5"/>
  <c r="AL109" i="5"/>
  <c r="AK109" i="5"/>
  <c r="AL528" i="5"/>
  <c r="AK528" i="5"/>
  <c r="AK396" i="5"/>
  <c r="AL396" i="5"/>
  <c r="AP254" i="5"/>
  <c r="AK254" i="5"/>
  <c r="AL254" i="5"/>
  <c r="AK133" i="5"/>
  <c r="AL133" i="5"/>
  <c r="AL246" i="5"/>
  <c r="AK246" i="5"/>
  <c r="AP246" i="5"/>
  <c r="AK241" i="5"/>
  <c r="AL241" i="5"/>
  <c r="AP241" i="5"/>
  <c r="AK65" i="5"/>
  <c r="AL65" i="5"/>
  <c r="AP128" i="5"/>
  <c r="AK384" i="5"/>
  <c r="AL384" i="5"/>
  <c r="AP553" i="5"/>
  <c r="AP121" i="5"/>
  <c r="AP154" i="5"/>
  <c r="AP149" i="5"/>
  <c r="AL203" i="5"/>
  <c r="AP203" i="5"/>
  <c r="AK203" i="5"/>
  <c r="AL176" i="5"/>
  <c r="AK176" i="5"/>
  <c r="AP256" i="5"/>
  <c r="AK448" i="5"/>
  <c r="AL448" i="5"/>
  <c r="AL263" i="5"/>
  <c r="AK263" i="5"/>
  <c r="AP263" i="5"/>
  <c r="AP316" i="5"/>
  <c r="AP285" i="5"/>
  <c r="AP294" i="5"/>
  <c r="AP115" i="5"/>
  <c r="AK115" i="5"/>
  <c r="AL115" i="5"/>
  <c r="AQ460" i="5"/>
  <c r="AQ47" i="5"/>
  <c r="AL339" i="5"/>
  <c r="AP339" i="5"/>
  <c r="AK339" i="5"/>
  <c r="AL360" i="5"/>
  <c r="AK360" i="5"/>
  <c r="AK127" i="5"/>
  <c r="AL127" i="5"/>
  <c r="AR225" i="5"/>
  <c r="AQ225" i="5"/>
  <c r="AR273" i="5"/>
  <c r="AQ273" i="5"/>
  <c r="AR141" i="5"/>
  <c r="AQ141" i="5"/>
  <c r="AK83" i="5"/>
  <c r="AL83" i="5"/>
  <c r="AP83" i="5"/>
  <c r="AK48" i="5"/>
  <c r="AL48" i="5"/>
  <c r="AP240" i="5"/>
  <c r="AK488" i="5"/>
  <c r="AL488" i="5"/>
  <c r="AM147" i="4"/>
  <c r="AN147" i="4" s="1"/>
  <c r="W147" i="4"/>
  <c r="Y147" i="4" s="1"/>
  <c r="Z147" i="4" s="1"/>
  <c r="AM106" i="4"/>
  <c r="AN106" i="4" s="1"/>
  <c r="W106" i="4"/>
  <c r="Y106" i="4" s="1"/>
  <c r="Z106" i="4" s="1"/>
  <c r="AF106" i="4" s="1"/>
  <c r="AM31" i="4"/>
  <c r="AN31" i="4" s="1"/>
  <c r="W31" i="4"/>
  <c r="Y31" i="4" s="1"/>
  <c r="Z31" i="4" s="1"/>
  <c r="AF31" i="4" s="1"/>
  <c r="AP113" i="5"/>
  <c r="AP96" i="5"/>
  <c r="AK216" i="5"/>
  <c r="AL216" i="5"/>
  <c r="AK271" i="5"/>
  <c r="AL271" i="5"/>
  <c r="AP271" i="5"/>
  <c r="AK430" i="5"/>
  <c r="AL430" i="5"/>
  <c r="AP430" i="5"/>
  <c r="AL456" i="5"/>
  <c r="AK456" i="5"/>
  <c r="AP456" i="5"/>
  <c r="AL545" i="5"/>
  <c r="AK545" i="5"/>
  <c r="AL361" i="5"/>
  <c r="AK361" i="5"/>
  <c r="AP361" i="5"/>
  <c r="AK260" i="5"/>
  <c r="AL260" i="5"/>
  <c r="AK122" i="5"/>
  <c r="AL122" i="5"/>
  <c r="AP122" i="5"/>
  <c r="AP279" i="5"/>
  <c r="AL279" i="5"/>
  <c r="AK279" i="5"/>
  <c r="AL343" i="5"/>
  <c r="AK343" i="5"/>
  <c r="AP343" i="5"/>
  <c r="AK220" i="5"/>
  <c r="AL220" i="5"/>
  <c r="AP220" i="5"/>
  <c r="AK27" i="5"/>
  <c r="AL27" i="5"/>
  <c r="AP27" i="5"/>
  <c r="AK513" i="5"/>
  <c r="AL513" i="5"/>
  <c r="AP513" i="5"/>
  <c r="AK350" i="5"/>
  <c r="AL350" i="5"/>
  <c r="AP174" i="5"/>
  <c r="AK174" i="5"/>
  <c r="AL174" i="5"/>
  <c r="AL560" i="5"/>
  <c r="AK560" i="5"/>
  <c r="AK453" i="5"/>
  <c r="AL453" i="5"/>
  <c r="AP453" i="5"/>
  <c r="AK249" i="5"/>
  <c r="AL249" i="5"/>
  <c r="AP249" i="5"/>
  <c r="AK90" i="5"/>
  <c r="AL90" i="5"/>
  <c r="AP90" i="5"/>
  <c r="AL460" i="5"/>
  <c r="AK460" i="5"/>
  <c r="AL341" i="5"/>
  <c r="AK341" i="5"/>
  <c r="AK235" i="5"/>
  <c r="AL235" i="5"/>
  <c r="AP235" i="5"/>
  <c r="AL37" i="5"/>
  <c r="AK37" i="5"/>
  <c r="AL441" i="5"/>
  <c r="AK441" i="5"/>
  <c r="AP441" i="5"/>
  <c r="AK289" i="5"/>
  <c r="AL289" i="5"/>
  <c r="AP289" i="5"/>
  <c r="AK145" i="5"/>
  <c r="AL145" i="5"/>
  <c r="AP145" i="5"/>
  <c r="AL136" i="5"/>
  <c r="AP136" i="5"/>
  <c r="AK136" i="5"/>
  <c r="AK498" i="5"/>
  <c r="AL498" i="5"/>
  <c r="AP480" i="5"/>
  <c r="AL480" i="5"/>
  <c r="AK480" i="5"/>
  <c r="AL287" i="5"/>
  <c r="AK287" i="5"/>
  <c r="AK106" i="5"/>
  <c r="AL106" i="5"/>
  <c r="AP106" i="5"/>
  <c r="AK422" i="5"/>
  <c r="AL422" i="5"/>
  <c r="AL398" i="5"/>
  <c r="AK398" i="5"/>
  <c r="AK230" i="5"/>
  <c r="AL230" i="5"/>
  <c r="AP230" i="5"/>
  <c r="AK150" i="5"/>
  <c r="AL150" i="5"/>
  <c r="AP150" i="5"/>
  <c r="AK21" i="5"/>
  <c r="AL21" i="5"/>
  <c r="AK509" i="5"/>
  <c r="AL509" i="5"/>
  <c r="AP509" i="5"/>
  <c r="AL380" i="5"/>
  <c r="AK380" i="5"/>
  <c r="AK226" i="5"/>
  <c r="AL226" i="5"/>
  <c r="AK84" i="5"/>
  <c r="AL84" i="5"/>
  <c r="AP84" i="5"/>
  <c r="AK527" i="5"/>
  <c r="AL527" i="5"/>
  <c r="AL401" i="5"/>
  <c r="AP401" i="5"/>
  <c r="AK401" i="5"/>
  <c r="AK250" i="5"/>
  <c r="AL250" i="5"/>
  <c r="AK194" i="5"/>
  <c r="AL194" i="5"/>
  <c r="AK78" i="5"/>
  <c r="AL78" i="5"/>
  <c r="AP550" i="5"/>
  <c r="AK550" i="5"/>
  <c r="AL550" i="5"/>
  <c r="AK420" i="5"/>
  <c r="AL420" i="5"/>
  <c r="AK330" i="5"/>
  <c r="AL330" i="5"/>
  <c r="AL116" i="5"/>
  <c r="AK116" i="5"/>
  <c r="AP116" i="5"/>
  <c r="AK297" i="5"/>
  <c r="AL297" i="5"/>
  <c r="AP297" i="5"/>
  <c r="AK214" i="5"/>
  <c r="AL214" i="5"/>
  <c r="AK36" i="5"/>
  <c r="AP36" i="5"/>
  <c r="AL36" i="5"/>
  <c r="AK512" i="5"/>
  <c r="AL512" i="5"/>
  <c r="AM60" i="4"/>
  <c r="AN60" i="4" s="1"/>
  <c r="W60" i="4"/>
  <c r="Y60" i="4" s="1"/>
  <c r="AP473" i="5"/>
  <c r="AP439" i="5"/>
  <c r="AM85" i="4"/>
  <c r="AN85" i="4" s="1"/>
  <c r="W85" i="4"/>
  <c r="Y85" i="4" s="1"/>
  <c r="Z85" i="4" s="1"/>
  <c r="S12" i="5"/>
  <c r="R12" i="5"/>
  <c r="AP89" i="5"/>
  <c r="AP449" i="5"/>
  <c r="AP458" i="5"/>
  <c r="AL59" i="5"/>
  <c r="AK59" i="5"/>
  <c r="AP59" i="5"/>
  <c r="AK457" i="5"/>
  <c r="AL457" i="5"/>
  <c r="AL519" i="5"/>
  <c r="AK519" i="5"/>
  <c r="AP519" i="5"/>
  <c r="AK217" i="5"/>
  <c r="AL217" i="5"/>
  <c r="AK200" i="5"/>
  <c r="AL200" i="5"/>
  <c r="AP200" i="5"/>
  <c r="AM104" i="4"/>
  <c r="AN104" i="4" s="1"/>
  <c r="W104" i="4"/>
  <c r="Y104" i="4" s="1"/>
  <c r="Z104" i="4" s="1"/>
  <c r="AH107" i="4"/>
  <c r="AR548" i="5"/>
  <c r="AQ548" i="5"/>
  <c r="AM156" i="4"/>
  <c r="AN156" i="4" s="1"/>
  <c r="W156" i="4"/>
  <c r="Y156" i="4" s="1"/>
  <c r="Z156" i="4" s="1"/>
  <c r="AR281" i="5"/>
  <c r="AQ281" i="5"/>
  <c r="AR524" i="5"/>
  <c r="AK432" i="5"/>
  <c r="AL432" i="5"/>
  <c r="AP223" i="5"/>
  <c r="AM29" i="4"/>
  <c r="AN29" i="4" s="1"/>
  <c r="W29" i="4"/>
  <c r="Y29" i="4" s="1"/>
  <c r="Z29" i="4" s="1"/>
  <c r="W107" i="4"/>
  <c r="Y107" i="4" s="1"/>
  <c r="Z107" i="4" s="1"/>
  <c r="AM107" i="4"/>
  <c r="AN107" i="4" s="1"/>
  <c r="AR38" i="5"/>
  <c r="AQ38" i="5"/>
  <c r="AL8" i="5"/>
  <c r="AK8" i="5"/>
  <c r="AP280" i="5"/>
  <c r="S7" i="5"/>
  <c r="R7" i="5"/>
  <c r="AH28" i="4"/>
  <c r="W139" i="4"/>
  <c r="Y139" i="4" s="1"/>
  <c r="Z139" i="4" s="1"/>
  <c r="AM139" i="4"/>
  <c r="AN139" i="4" s="1"/>
  <c r="AH90" i="4"/>
  <c r="AQ130" i="5"/>
  <c r="AR130" i="5"/>
  <c r="AQ340" i="5"/>
  <c r="AL312" i="5"/>
  <c r="AK312" i="5"/>
  <c r="AK295" i="5"/>
  <c r="AL295" i="5"/>
  <c r="AP295" i="5"/>
  <c r="AP455" i="5"/>
  <c r="AL211" i="5"/>
  <c r="AK211" i="5"/>
  <c r="AL347" i="5"/>
  <c r="AK347" i="5"/>
  <c r="AP347" i="5"/>
  <c r="AM88" i="4"/>
  <c r="AN88" i="4" s="1"/>
  <c r="W88" i="4"/>
  <c r="Y88" i="4" s="1"/>
  <c r="Z88" i="4" s="1"/>
  <c r="AP8" i="5"/>
  <c r="AK327" i="5"/>
  <c r="AL327" i="5"/>
  <c r="W110" i="4"/>
  <c r="Y110" i="4" s="1"/>
  <c r="Z110" i="4" s="1"/>
  <c r="AM110" i="4"/>
  <c r="AN110" i="4" s="1"/>
  <c r="AM151" i="4"/>
  <c r="AN151" i="4" s="1"/>
  <c r="W151" i="4"/>
  <c r="Y151" i="4" s="1"/>
  <c r="Z151" i="4" s="1"/>
  <c r="AF151" i="4" s="1"/>
  <c r="AP341" i="5"/>
  <c r="AL438" i="5"/>
  <c r="AK438" i="5"/>
  <c r="AK326" i="5"/>
  <c r="AL326" i="5"/>
  <c r="AL318" i="5"/>
  <c r="AK318" i="5"/>
  <c r="AL478" i="5"/>
  <c r="AK478" i="5"/>
  <c r="AP478" i="5"/>
  <c r="AL477" i="5"/>
  <c r="AK477" i="5"/>
  <c r="AK275" i="5"/>
  <c r="AL275" i="5"/>
  <c r="AP275" i="5"/>
  <c r="AK103" i="5"/>
  <c r="AL103" i="5"/>
  <c r="AL496" i="5"/>
  <c r="AK496" i="5"/>
  <c r="AP366" i="5"/>
  <c r="AK366" i="5"/>
  <c r="AL366" i="5"/>
  <c r="AK202" i="5"/>
  <c r="AL202" i="5"/>
  <c r="AK41" i="5"/>
  <c r="AL41" i="5"/>
  <c r="AP41" i="5"/>
  <c r="AK463" i="5"/>
  <c r="AL463" i="5"/>
  <c r="AL319" i="5"/>
  <c r="AK319" i="5"/>
  <c r="AP319" i="5"/>
  <c r="AL108" i="5"/>
  <c r="AK108" i="5"/>
  <c r="AP108" i="5"/>
  <c r="AL559" i="5"/>
  <c r="AK559" i="5"/>
  <c r="AP559" i="5"/>
  <c r="AK397" i="5"/>
  <c r="AL397" i="5"/>
  <c r="AL262" i="5"/>
  <c r="AK262" i="5"/>
  <c r="AK77" i="5"/>
  <c r="AL77" i="5"/>
  <c r="AK402" i="5"/>
  <c r="AL402" i="5"/>
  <c r="AK392" i="5"/>
  <c r="AL392" i="5"/>
  <c r="AK184" i="5"/>
  <c r="AL184" i="5"/>
  <c r="AL555" i="5"/>
  <c r="AP555" i="5"/>
  <c r="AK555" i="5"/>
  <c r="AL500" i="5"/>
  <c r="AP500" i="5"/>
  <c r="AK500" i="5"/>
  <c r="AK309" i="5"/>
  <c r="AP309" i="5"/>
  <c r="AL309" i="5"/>
  <c r="AL126" i="5"/>
  <c r="AK126" i="5"/>
  <c r="AK117" i="5"/>
  <c r="AL117" i="5"/>
  <c r="AK530" i="5"/>
  <c r="AL530" i="5"/>
  <c r="AK352" i="5"/>
  <c r="AL352" i="5"/>
  <c r="AP352" i="5"/>
  <c r="AK321" i="5"/>
  <c r="AL321" i="5"/>
  <c r="AK82" i="5"/>
  <c r="AL82" i="5"/>
  <c r="AL510" i="5"/>
  <c r="AK510" i="5"/>
  <c r="AK358" i="5"/>
  <c r="AL358" i="5"/>
  <c r="AP358" i="5"/>
  <c r="AL317" i="5"/>
  <c r="AK317" i="5"/>
  <c r="AP317" i="5"/>
  <c r="AL132" i="5"/>
  <c r="AP132" i="5"/>
  <c r="AK132" i="5"/>
  <c r="AL20" i="5"/>
  <c r="AK20" i="5"/>
  <c r="AL454" i="5"/>
  <c r="AK454" i="5"/>
  <c r="AK357" i="5"/>
  <c r="AL357" i="5"/>
  <c r="AP357" i="5"/>
  <c r="AL205" i="5"/>
  <c r="AK205" i="5"/>
  <c r="AK54" i="5"/>
  <c r="AL54" i="5"/>
  <c r="AP442" i="5"/>
  <c r="AK442" i="5"/>
  <c r="AL442" i="5"/>
  <c r="AK394" i="5"/>
  <c r="AL394" i="5"/>
  <c r="AL293" i="5"/>
  <c r="AK293" i="5"/>
  <c r="AP293" i="5"/>
  <c r="AK165" i="5"/>
  <c r="AL165" i="5"/>
  <c r="AL74" i="5"/>
  <c r="AP74" i="5"/>
  <c r="AK74" i="5"/>
  <c r="AL542" i="5"/>
  <c r="AK542" i="5"/>
  <c r="AK378" i="5"/>
  <c r="AL378" i="5"/>
  <c r="AL298" i="5"/>
  <c r="AK298" i="5"/>
  <c r="AP298" i="5"/>
  <c r="AK138" i="5"/>
  <c r="AL138" i="5"/>
  <c r="AK270" i="5"/>
  <c r="AL270" i="5"/>
  <c r="AL148" i="5"/>
  <c r="AK148" i="5"/>
  <c r="AK34" i="5"/>
  <c r="AL34" i="5"/>
  <c r="AP91" i="5"/>
  <c r="AK231" i="5"/>
  <c r="AL231" i="5"/>
  <c r="AP231" i="5"/>
  <c r="AP419" i="5"/>
  <c r="AP29" i="5"/>
  <c r="AP389" i="5"/>
  <c r="AP99" i="5"/>
  <c r="AK191" i="5"/>
  <c r="AL191" i="5"/>
  <c r="AP191" i="5"/>
  <c r="AO12" i="5"/>
  <c r="AN12" i="5"/>
  <c r="AP421" i="5"/>
  <c r="AP162" i="5"/>
  <c r="AK131" i="5"/>
  <c r="AL131" i="5"/>
  <c r="AK171" i="5"/>
  <c r="AP171" i="5"/>
  <c r="AL171" i="5"/>
  <c r="AL195" i="5"/>
  <c r="AK195" i="5"/>
  <c r="AP195" i="5"/>
  <c r="AK467" i="5"/>
  <c r="AL467" i="5"/>
  <c r="AP467" i="5"/>
  <c r="AK403" i="5"/>
  <c r="AL403" i="5"/>
  <c r="AP403" i="5"/>
  <c r="AL272" i="5"/>
  <c r="AK272" i="5"/>
  <c r="AP272" i="5"/>
  <c r="AL299" i="5"/>
  <c r="AK299" i="5"/>
  <c r="AK239" i="5"/>
  <c r="AL239" i="5"/>
  <c r="AM80" i="4"/>
  <c r="AN80" i="4" s="1"/>
  <c r="W80" i="4"/>
  <c r="Y80" i="4" s="1"/>
  <c r="Z80" i="4" s="1"/>
  <c r="AR306" i="5"/>
  <c r="AQ306" i="5"/>
  <c r="AL291" i="5"/>
  <c r="AK291" i="5"/>
  <c r="AK487" i="5"/>
  <c r="AL487" i="5"/>
  <c r="AK515" i="5"/>
  <c r="AL515" i="5"/>
  <c r="AP515" i="5"/>
  <c r="X98" i="4"/>
  <c r="AP264" i="5"/>
  <c r="AM41" i="4"/>
  <c r="AN41" i="4" s="1"/>
  <c r="W41" i="4"/>
  <c r="Y41" i="4" s="1"/>
  <c r="Z41" i="4" s="1"/>
  <c r="AF41" i="4" s="1"/>
  <c r="AH36" i="4"/>
  <c r="AL163" i="5"/>
  <c r="AK163" i="5"/>
  <c r="AP163" i="5"/>
  <c r="AP97" i="5"/>
  <c r="AK507" i="5"/>
  <c r="AL507" i="5"/>
  <c r="AP507" i="5"/>
  <c r="AL524" i="5"/>
  <c r="AK524" i="5"/>
  <c r="AL210" i="5"/>
  <c r="AK210" i="5"/>
  <c r="AL522" i="5"/>
  <c r="AK522" i="5"/>
  <c r="AK410" i="5"/>
  <c r="AL410" i="5"/>
  <c r="AL302" i="5"/>
  <c r="AK302" i="5"/>
  <c r="AL67" i="5"/>
  <c r="AK67" i="5"/>
  <c r="AP67" i="5"/>
  <c r="AP425" i="5"/>
  <c r="AK425" i="5"/>
  <c r="AL425" i="5"/>
  <c r="AK426" i="5"/>
  <c r="AL426" i="5"/>
  <c r="AK142" i="5"/>
  <c r="AL142" i="5"/>
  <c r="AK529" i="5"/>
  <c r="AL529" i="5"/>
  <c r="AP529" i="5"/>
  <c r="AP537" i="5"/>
  <c r="AL537" i="5"/>
  <c r="AK537" i="5"/>
  <c r="AL190" i="5"/>
  <c r="AK190" i="5"/>
  <c r="AK161" i="5"/>
  <c r="AL161" i="5"/>
  <c r="AP161" i="5"/>
  <c r="AL544" i="5"/>
  <c r="AK544" i="5"/>
  <c r="AL259" i="5"/>
  <c r="AK259" i="5"/>
  <c r="AK206" i="5"/>
  <c r="AL206" i="5"/>
  <c r="AP206" i="5"/>
  <c r="AL53" i="5"/>
  <c r="AK53" i="5"/>
  <c r="AP53" i="5"/>
  <c r="AK499" i="5"/>
  <c r="AL499" i="5"/>
  <c r="AL337" i="5"/>
  <c r="AK337" i="5"/>
  <c r="AL139" i="5"/>
  <c r="AK139" i="5"/>
  <c r="AP139" i="5"/>
  <c r="AL551" i="5"/>
  <c r="AK551" i="5"/>
  <c r="AL440" i="5"/>
  <c r="AP440" i="5"/>
  <c r="AK440" i="5"/>
  <c r="AK331" i="5"/>
  <c r="AL331" i="5"/>
  <c r="AP331" i="5"/>
  <c r="AK94" i="5"/>
  <c r="AL94" i="5"/>
  <c r="AK93" i="5"/>
  <c r="AL93" i="5"/>
  <c r="AK404" i="5"/>
  <c r="AL404" i="5"/>
  <c r="AL372" i="5"/>
  <c r="AK372" i="5"/>
  <c r="AL232" i="5"/>
  <c r="AK232" i="5"/>
  <c r="AL57" i="5"/>
  <c r="AP57" i="5"/>
  <c r="AK57" i="5"/>
  <c r="AK436" i="5"/>
  <c r="AL436" i="5"/>
  <c r="AK274" i="5"/>
  <c r="AL274" i="5"/>
  <c r="AK278" i="5"/>
  <c r="AL278" i="5"/>
  <c r="AK158" i="5"/>
  <c r="AL158" i="5"/>
  <c r="AK22" i="5"/>
  <c r="AL22" i="5"/>
  <c r="AK484" i="5"/>
  <c r="AL484" i="5"/>
  <c r="AP484" i="5"/>
  <c r="AK282" i="5"/>
  <c r="AP282" i="5"/>
  <c r="AL282" i="5"/>
  <c r="AK170" i="5"/>
  <c r="AL170" i="5"/>
  <c r="AP170" i="5"/>
  <c r="AK45" i="5"/>
  <c r="AL45" i="5"/>
  <c r="AL417" i="5"/>
  <c r="AK417" i="5"/>
  <c r="AK349" i="5"/>
  <c r="AP349" i="5"/>
  <c r="AL349" i="5"/>
  <c r="AK257" i="5"/>
  <c r="AL257" i="5"/>
  <c r="AL186" i="5"/>
  <c r="AK186" i="5"/>
  <c r="AP186" i="5"/>
  <c r="AP50" i="5"/>
  <c r="AL50" i="5"/>
  <c r="AK50" i="5"/>
  <c r="AK517" i="5"/>
  <c r="AL517" i="5"/>
  <c r="AK342" i="5"/>
  <c r="AL342" i="5"/>
  <c r="AP342" i="5"/>
  <c r="AL218" i="5"/>
  <c r="AK218" i="5"/>
  <c r="AK101" i="5"/>
  <c r="AL101" i="5"/>
  <c r="AK213" i="5"/>
  <c r="AP213" i="5"/>
  <c r="AL213" i="5"/>
  <c r="AL188" i="5"/>
  <c r="AP188" i="5"/>
  <c r="AK188" i="5"/>
  <c r="AL33" i="5"/>
  <c r="AP33" i="5"/>
  <c r="AK33" i="5"/>
  <c r="AP31" i="5"/>
  <c r="AM32" i="4"/>
  <c r="AN32" i="4" s="1"/>
  <c r="W32" i="4"/>
  <c r="Y32" i="4" s="1"/>
  <c r="AP499" i="5"/>
  <c r="AK281" i="5"/>
  <c r="AL281" i="5"/>
  <c r="AK120" i="5"/>
  <c r="AL120" i="5"/>
  <c r="AP120" i="5"/>
  <c r="AK159" i="5"/>
  <c r="AL159" i="5"/>
  <c r="AK383" i="5"/>
  <c r="AL383" i="5"/>
  <c r="AK533" i="5"/>
  <c r="AL533" i="5"/>
  <c r="AM81" i="4"/>
  <c r="AN81" i="4" s="1"/>
  <c r="W81" i="4"/>
  <c r="Y81" i="4" s="1"/>
  <c r="Z81" i="4" s="1"/>
  <c r="AP299" i="5"/>
  <c r="AM126" i="4" l="1"/>
  <c r="AN126" i="4" s="1"/>
  <c r="W75" i="4"/>
  <c r="Y75" i="4" s="1"/>
  <c r="W143" i="4"/>
  <c r="Y143" i="4" s="1"/>
  <c r="Z143" i="4" s="1"/>
  <c r="AR182" i="5"/>
  <c r="AR237" i="5"/>
  <c r="AN157" i="4"/>
  <c r="AR238" i="5"/>
  <c r="AQ159" i="5"/>
  <c r="AR312" i="5"/>
  <c r="AQ346" i="5"/>
  <c r="AQ24" i="5"/>
  <c r="AR300" i="5"/>
  <c r="AR146" i="5"/>
  <c r="AR418" i="5"/>
  <c r="AR558" i="5"/>
  <c r="Z16" i="4"/>
  <c r="Z102" i="4"/>
  <c r="AF102" i="4" s="1"/>
  <c r="W7" i="4"/>
  <c r="AE7" i="4" s="1"/>
  <c r="W76" i="4"/>
  <c r="X76" i="4" s="1"/>
  <c r="AJ76" i="4" s="1"/>
  <c r="W127" i="4"/>
  <c r="AE127" i="4" s="1"/>
  <c r="Z49" i="4"/>
  <c r="AM52" i="4"/>
  <c r="AN52" i="4" s="1"/>
  <c r="W18" i="4"/>
  <c r="Y18" i="4" s="1"/>
  <c r="Z18" i="4" s="1"/>
  <c r="AF18" i="4" s="1"/>
  <c r="Z75" i="4"/>
  <c r="Z97" i="4"/>
  <c r="AM70" i="4"/>
  <c r="AN70" i="4" s="1"/>
  <c r="W35" i="4"/>
  <c r="X35" i="4" s="1"/>
  <c r="AJ35" i="4" s="1"/>
  <c r="AR535" i="5"/>
  <c r="AQ476" i="5"/>
  <c r="AR517" i="5"/>
  <c r="AR406" i="5"/>
  <c r="AR498" i="5"/>
  <c r="AQ104" i="5"/>
  <c r="AR330" i="5"/>
  <c r="AQ79" i="5"/>
  <c r="AQ184" i="5"/>
  <c r="AR384" i="5"/>
  <c r="AR426" i="5"/>
  <c r="AQ30" i="5"/>
  <c r="AR165" i="5"/>
  <c r="AR34" i="5"/>
  <c r="AQ318" i="5"/>
  <c r="AQ87" i="5"/>
  <c r="AR260" i="5"/>
  <c r="AQ23" i="5"/>
  <c r="AR551" i="5"/>
  <c r="AQ444" i="5"/>
  <c r="AQ530" i="5"/>
  <c r="AR321" i="5"/>
  <c r="AQ158" i="5"/>
  <c r="AR417" i="5"/>
  <c r="AQ302" i="5"/>
  <c r="AR70" i="5"/>
  <c r="AQ211" i="5"/>
  <c r="AN105" i="4"/>
  <c r="AC546" i="5"/>
  <c r="AD546" i="5" s="1"/>
  <c r="AC523" i="5"/>
  <c r="AE523" i="5" s="1"/>
  <c r="AC459" i="5"/>
  <c r="AD459" i="5" s="1"/>
  <c r="AC206" i="5"/>
  <c r="AL9" i="5"/>
  <c r="Z87" i="4"/>
  <c r="AF87" i="4" s="1"/>
  <c r="AO87" i="4" s="1"/>
  <c r="AC379" i="5"/>
  <c r="AE379" i="5" s="1"/>
  <c r="AC392" i="5"/>
  <c r="AS392" i="5" s="1"/>
  <c r="AC371" i="5"/>
  <c r="AE371" i="5" s="1"/>
  <c r="AC522" i="5"/>
  <c r="AC512" i="5"/>
  <c r="AC429" i="5"/>
  <c r="AS429" i="5" s="1"/>
  <c r="Z117" i="4"/>
  <c r="AC160" i="5"/>
  <c r="AS160" i="5" s="1"/>
  <c r="AB288" i="5"/>
  <c r="AC234" i="5"/>
  <c r="AD234" i="5" s="1"/>
  <c r="AC525" i="5"/>
  <c r="AE525" i="5" s="1"/>
  <c r="AC426" i="5"/>
  <c r="AD426" i="5" s="1"/>
  <c r="AC534" i="5"/>
  <c r="AD534" i="5" s="1"/>
  <c r="AC432" i="5"/>
  <c r="AS432" i="5" s="1"/>
  <c r="AC221" i="5"/>
  <c r="AS221" i="5" s="1"/>
  <c r="AC121" i="5"/>
  <c r="AS121" i="5" s="1"/>
  <c r="AC537" i="5"/>
  <c r="AE537" i="5" s="1"/>
  <c r="V11" i="5"/>
  <c r="AC80" i="5"/>
  <c r="AS80" i="5" s="1"/>
  <c r="AC23" i="5"/>
  <c r="AD23" i="5" s="1"/>
  <c r="AC530" i="5"/>
  <c r="AD530" i="5" s="1"/>
  <c r="AC289" i="5"/>
  <c r="AD289" i="5" s="1"/>
  <c r="AC264" i="5"/>
  <c r="AE264" i="5" s="1"/>
  <c r="AC446" i="5"/>
  <c r="AD446" i="5" s="1"/>
  <c r="AC117" i="5"/>
  <c r="AS117" i="5" s="1"/>
  <c r="AC97" i="5"/>
  <c r="AD97" i="5" s="1"/>
  <c r="AC105" i="5"/>
  <c r="AE105" i="5" s="1"/>
  <c r="B35" i="2"/>
  <c r="AC376" i="5"/>
  <c r="AD376" i="5" s="1"/>
  <c r="AC508" i="5"/>
  <c r="AE508" i="5" s="1"/>
  <c r="AC184" i="5"/>
  <c r="AD184" i="5" s="1"/>
  <c r="AQ77" i="5"/>
  <c r="AQ457" i="5"/>
  <c r="AR493" i="5"/>
  <c r="AR117" i="5"/>
  <c r="AQ22" i="5"/>
  <c r="AR422" i="5"/>
  <c r="AR20" i="5"/>
  <c r="AR284" i="5"/>
  <c r="AQ360" i="5"/>
  <c r="AR138" i="5"/>
  <c r="AR447" i="5"/>
  <c r="AQ37" i="5"/>
  <c r="AQ142" i="5"/>
  <c r="AQ229" i="5"/>
  <c r="AR233" i="5"/>
  <c r="AR258" i="5"/>
  <c r="AQ525" i="5"/>
  <c r="AQ239" i="5"/>
  <c r="AQ276" i="5"/>
  <c r="AQ42" i="5"/>
  <c r="AQ54" i="5"/>
  <c r="AR144" i="5"/>
  <c r="AR364" i="5"/>
  <c r="AQ219" i="5"/>
  <c r="AR463" i="5"/>
  <c r="K29" i="2"/>
  <c r="K30" i="2" s="1"/>
  <c r="AC463" i="5"/>
  <c r="AE463" i="5" s="1"/>
  <c r="AA445" i="5"/>
  <c r="W37" i="4"/>
  <c r="X37" i="4" s="1"/>
  <c r="AJ37" i="4" s="1"/>
  <c r="AR462" i="5"/>
  <c r="AQ21" i="5"/>
  <c r="AR448" i="5"/>
  <c r="AQ488" i="5"/>
  <c r="AR126" i="5"/>
  <c r="AR495" i="5"/>
  <c r="AR131" i="5"/>
  <c r="R31" i="2"/>
  <c r="S31" i="2" s="1"/>
  <c r="Q31" i="2"/>
  <c r="P31" i="2" s="1"/>
  <c r="AR378" i="5"/>
  <c r="AR255" i="5"/>
  <c r="AQ542" i="5"/>
  <c r="AR194" i="5"/>
  <c r="AQ190" i="5"/>
  <c r="AQ370" i="5"/>
  <c r="AN98" i="4"/>
  <c r="AQ257" i="5"/>
  <c r="AA97" i="5"/>
  <c r="AR368" i="5"/>
  <c r="AR45" i="5"/>
  <c r="AR232" i="5"/>
  <c r="AQ545" i="5"/>
  <c r="AR82" i="5"/>
  <c r="AR56" i="5"/>
  <c r="AM117" i="4"/>
  <c r="AN117" i="4" s="1"/>
  <c r="W46" i="4"/>
  <c r="Y46" i="4" s="1"/>
  <c r="Z46" i="4" s="1"/>
  <c r="AF46" i="4" s="1"/>
  <c r="AG46" i="4" s="1"/>
  <c r="AI46" i="4" s="1"/>
  <c r="W145" i="4"/>
  <c r="Y145" i="4" s="1"/>
  <c r="Z145" i="4" s="1"/>
  <c r="AF145" i="4" s="1"/>
  <c r="AA297" i="5"/>
  <c r="AB261" i="5"/>
  <c r="AA363" i="5"/>
  <c r="AC520" i="5"/>
  <c r="AS520" i="5" s="1"/>
  <c r="AC359" i="5"/>
  <c r="AD359" i="5" s="1"/>
  <c r="AB80" i="5"/>
  <c r="AC386" i="5"/>
  <c r="AS386" i="5" s="1"/>
  <c r="AA265" i="5"/>
  <c r="AB447" i="5"/>
  <c r="AB19" i="5"/>
  <c r="AB247" i="5"/>
  <c r="AB208" i="5"/>
  <c r="AE18" i="4"/>
  <c r="AB532" i="5"/>
  <c r="X18" i="4"/>
  <c r="AJ18" i="4" s="1"/>
  <c r="AB217" i="5"/>
  <c r="AA27" i="5"/>
  <c r="W20" i="4"/>
  <c r="X20" i="4" s="1"/>
  <c r="AJ20" i="4" s="1"/>
  <c r="AA7" i="5"/>
  <c r="AC265" i="5"/>
  <c r="AE265" i="5" s="1"/>
  <c r="AC540" i="5"/>
  <c r="AE540" i="5" s="1"/>
  <c r="AB529" i="5"/>
  <c r="AA540" i="5"/>
  <c r="AB560" i="5"/>
  <c r="AC470" i="5"/>
  <c r="AE470" i="5" s="1"/>
  <c r="AC460" i="5"/>
  <c r="AS460" i="5" s="1"/>
  <c r="AC138" i="5"/>
  <c r="AE138" i="5" s="1"/>
  <c r="AA550" i="5"/>
  <c r="AB293" i="5"/>
  <c r="AA551" i="5"/>
  <c r="Z115" i="4"/>
  <c r="AF115" i="4" s="1"/>
  <c r="AC31" i="5"/>
  <c r="AE31" i="5" s="1"/>
  <c r="AA26" i="5"/>
  <c r="AM16" i="4"/>
  <c r="AN16" i="4" s="1"/>
  <c r="AB301" i="5"/>
  <c r="AA283" i="5"/>
  <c r="AB254" i="5"/>
  <c r="AA116" i="5"/>
  <c r="AA405" i="5"/>
  <c r="AA142" i="5"/>
  <c r="AB150" i="5"/>
  <c r="AJ157" i="4"/>
  <c r="AM128" i="4"/>
  <c r="AN128" i="4" s="1"/>
  <c r="Z43" i="4"/>
  <c r="AF43" i="4" s="1"/>
  <c r="AO43" i="4" s="1"/>
  <c r="AB169" i="5"/>
  <c r="AB379" i="5"/>
  <c r="AB42" i="5"/>
  <c r="AB196" i="5"/>
  <c r="AB403" i="5"/>
  <c r="AB487" i="5"/>
  <c r="AB189" i="5"/>
  <c r="AA36" i="5"/>
  <c r="AA502" i="5"/>
  <c r="AB537" i="5"/>
  <c r="AA514" i="5"/>
  <c r="AB121" i="5"/>
  <c r="AB151" i="5"/>
  <c r="AA106" i="5"/>
  <c r="AA48" i="5"/>
  <c r="AA53" i="5"/>
  <c r="AM134" i="4"/>
  <c r="AN134" i="4" s="1"/>
  <c r="AA523" i="5"/>
  <c r="AB335" i="5"/>
  <c r="AB390" i="5"/>
  <c r="AA63" i="5"/>
  <c r="AB93" i="5"/>
  <c r="W61" i="4"/>
  <c r="Y61" i="4" s="1"/>
  <c r="Z61" i="4" s="1"/>
  <c r="AF61" i="4" s="1"/>
  <c r="AG61" i="4" s="1"/>
  <c r="AI61" i="4" s="1"/>
  <c r="AB262" i="5"/>
  <c r="AA90" i="5"/>
  <c r="AC277" i="5"/>
  <c r="AE277" i="5" s="1"/>
  <c r="AC306" i="5"/>
  <c r="AE306" i="5" s="1"/>
  <c r="AC38" i="5"/>
  <c r="AS38" i="5" s="1"/>
  <c r="AA263" i="5"/>
  <c r="AB235" i="5"/>
  <c r="AA343" i="5"/>
  <c r="AM56" i="4"/>
  <c r="AN56" i="4" s="1"/>
  <c r="AB331" i="5"/>
  <c r="W15" i="4"/>
  <c r="Y15" i="4" s="1"/>
  <c r="Z15" i="4" s="1"/>
  <c r="AF15" i="4" s="1"/>
  <c r="AA256" i="5"/>
  <c r="AB498" i="5"/>
  <c r="AB298" i="5"/>
  <c r="AC208" i="5"/>
  <c r="AS208" i="5" s="1"/>
  <c r="AC365" i="5"/>
  <c r="AS365" i="5" s="1"/>
  <c r="AC280" i="5"/>
  <c r="AS280" i="5" s="1"/>
  <c r="AC353" i="5"/>
  <c r="AE353" i="5" s="1"/>
  <c r="AC213" i="5"/>
  <c r="AD213" i="5" s="1"/>
  <c r="AC194" i="5"/>
  <c r="AE194" i="5" s="1"/>
  <c r="AA289" i="5"/>
  <c r="AA462" i="5"/>
  <c r="AB202" i="5"/>
  <c r="AA213" i="5"/>
  <c r="AC42" i="5"/>
  <c r="AD42" i="5" s="1"/>
  <c r="AC216" i="5"/>
  <c r="AS216" i="5" s="1"/>
  <c r="AC325" i="5"/>
  <c r="AE325" i="5" s="1"/>
  <c r="AB179" i="5"/>
  <c r="AA495" i="5"/>
  <c r="AC417" i="5"/>
  <c r="AS417" i="5" s="1"/>
  <c r="AC451" i="5"/>
  <c r="AE451" i="5" s="1"/>
  <c r="AC332" i="5"/>
  <c r="AS332" i="5" s="1"/>
  <c r="AB356" i="5"/>
  <c r="AB371" i="5"/>
  <c r="AB359" i="5"/>
  <c r="AB522" i="5"/>
  <c r="AB161" i="5"/>
  <c r="AB309" i="5"/>
  <c r="AA424" i="5"/>
  <c r="AA244" i="5"/>
  <c r="AC361" i="5"/>
  <c r="AE361" i="5" s="1"/>
  <c r="AC425" i="5"/>
  <c r="AD425" i="5" s="1"/>
  <c r="AC297" i="5"/>
  <c r="AD297" i="5" s="1"/>
  <c r="AC333" i="5"/>
  <c r="AS333" i="5" s="1"/>
  <c r="AC244" i="5"/>
  <c r="AE244" i="5" s="1"/>
  <c r="AC532" i="5"/>
  <c r="AD532" i="5" s="1"/>
  <c r="AC552" i="5"/>
  <c r="AD552" i="5" s="1"/>
  <c r="AC294" i="5"/>
  <c r="AS294" i="5" s="1"/>
  <c r="AA442" i="5"/>
  <c r="AA194" i="5"/>
  <c r="AA428" i="5"/>
  <c r="AA333" i="5"/>
  <c r="AC76" i="5"/>
  <c r="AD76" i="5" s="1"/>
  <c r="AC500" i="5"/>
  <c r="AS500" i="5" s="1"/>
  <c r="AC298" i="5"/>
  <c r="AS298" i="5" s="1"/>
  <c r="AC197" i="5"/>
  <c r="AE197" i="5" s="1"/>
  <c r="AC261" i="5"/>
  <c r="AS261" i="5" s="1"/>
  <c r="AA494" i="5"/>
  <c r="AA251" i="5"/>
  <c r="AB25" i="5"/>
  <c r="AB417" i="5"/>
  <c r="AC483" i="5"/>
  <c r="AD483" i="5" s="1"/>
  <c r="AC517" i="5"/>
  <c r="AD517" i="5" s="1"/>
  <c r="AC148" i="5"/>
  <c r="AD148" i="5" s="1"/>
  <c r="AC363" i="5"/>
  <c r="AE363" i="5" s="1"/>
  <c r="AC462" i="5"/>
  <c r="AD462" i="5" s="1"/>
  <c r="AC46" i="5"/>
  <c r="AE46" i="5" s="1"/>
  <c r="AC54" i="5"/>
  <c r="AS54" i="5" s="1"/>
  <c r="AU54" i="5" s="1"/>
  <c r="AC356" i="5"/>
  <c r="AS356" i="5" s="1"/>
  <c r="AC279" i="5"/>
  <c r="AS279" i="5" s="1"/>
  <c r="AC25" i="5"/>
  <c r="AD25" i="5" s="1"/>
  <c r="AB332" i="5"/>
  <c r="AA276" i="5"/>
  <c r="AC495" i="5"/>
  <c r="AS495" i="5" s="1"/>
  <c r="AC309" i="5"/>
  <c r="AD309" i="5" s="1"/>
  <c r="AC494" i="5"/>
  <c r="AD494" i="5" s="1"/>
  <c r="AC314" i="5"/>
  <c r="AD314" i="5" s="1"/>
  <c r="AC422" i="5"/>
  <c r="AS422" i="5" s="1"/>
  <c r="AC202" i="5"/>
  <c r="AS202" i="5" s="1"/>
  <c r="AU202" i="5" s="1"/>
  <c r="AC518" i="5"/>
  <c r="AE518" i="5" s="1"/>
  <c r="AC248" i="5"/>
  <c r="AD248" i="5" s="1"/>
  <c r="AB469" i="5"/>
  <c r="AA221" i="5"/>
  <c r="AB421" i="5"/>
  <c r="AB327" i="5"/>
  <c r="AA475" i="5"/>
  <c r="AB220" i="5"/>
  <c r="AB463" i="5"/>
  <c r="AC478" i="5"/>
  <c r="AE478" i="5" s="1"/>
  <c r="AC366" i="5"/>
  <c r="AE366" i="5" s="1"/>
  <c r="AC327" i="5"/>
  <c r="AE327" i="5" s="1"/>
  <c r="AM43" i="4"/>
  <c r="AN43" i="4" s="1"/>
  <c r="AC180" i="5"/>
  <c r="AS180" i="5" s="1"/>
  <c r="AA149" i="5"/>
  <c r="AB426" i="5"/>
  <c r="AB274" i="5"/>
  <c r="W142" i="4"/>
  <c r="Y142" i="4" s="1"/>
  <c r="Z142" i="4" s="1"/>
  <c r="AB366" i="5"/>
  <c r="AA304" i="5"/>
  <c r="AB94" i="5"/>
  <c r="W57" i="4"/>
  <c r="Y57" i="4" s="1"/>
  <c r="Z57" i="4" s="1"/>
  <c r="AF57" i="4" s="1"/>
  <c r="AC469" i="5"/>
  <c r="AE469" i="5" s="1"/>
  <c r="AC241" i="5"/>
  <c r="AS241" i="5" s="1"/>
  <c r="AC142" i="5"/>
  <c r="AS142" i="5" s="1"/>
  <c r="AC237" i="5"/>
  <c r="AS237" i="5" s="1"/>
  <c r="AC283" i="5"/>
  <c r="AE283" i="5" s="1"/>
  <c r="AC304" i="5"/>
  <c r="AS304" i="5" s="1"/>
  <c r="AC477" i="5"/>
  <c r="AD477" i="5" s="1"/>
  <c r="AB416" i="5"/>
  <c r="AA539" i="5"/>
  <c r="AC267" i="5"/>
  <c r="AE267" i="5" s="1"/>
  <c r="AC220" i="5"/>
  <c r="AD220" i="5" s="1"/>
  <c r="AC482" i="5"/>
  <c r="AS482" i="5" s="1"/>
  <c r="AC122" i="5"/>
  <c r="AD122" i="5" s="1"/>
  <c r="AC22" i="5"/>
  <c r="AD22" i="5" s="1"/>
  <c r="AB133" i="5"/>
  <c r="AA59" i="5"/>
  <c r="AB429" i="5"/>
  <c r="AC341" i="5"/>
  <c r="AS341" i="5" s="1"/>
  <c r="AC101" i="5"/>
  <c r="AS101" i="5" s="1"/>
  <c r="AC374" i="5"/>
  <c r="AE374" i="5" s="1"/>
  <c r="AC165" i="5"/>
  <c r="AS165" i="5" s="1"/>
  <c r="AC504" i="5"/>
  <c r="AE504" i="5" s="1"/>
  <c r="AB351" i="5"/>
  <c r="AC405" i="5"/>
  <c r="AD405" i="5" s="1"/>
  <c r="AC26" i="5"/>
  <c r="AE26" i="5" s="1"/>
  <c r="AC416" i="5"/>
  <c r="AD416" i="5" s="1"/>
  <c r="AC150" i="5"/>
  <c r="AE150" i="5" s="1"/>
  <c r="AA241" i="5"/>
  <c r="AC351" i="5"/>
  <c r="AD351" i="5" s="1"/>
  <c r="AC551" i="5"/>
  <c r="AD551" i="5" s="1"/>
  <c r="AC94" i="5"/>
  <c r="AE94" i="5" s="1"/>
  <c r="AC476" i="5"/>
  <c r="AD476" i="5" s="1"/>
  <c r="AC254" i="5"/>
  <c r="AS254" i="5" s="1"/>
  <c r="AC133" i="5"/>
  <c r="AS133" i="5" s="1"/>
  <c r="AC274" i="5"/>
  <c r="AS274" i="5" s="1"/>
  <c r="AC301" i="5"/>
  <c r="AE301" i="5" s="1"/>
  <c r="AC421" i="5"/>
  <c r="AE421" i="5" s="1"/>
  <c r="AC116" i="5"/>
  <c r="AE116" i="5" s="1"/>
  <c r="AC475" i="5"/>
  <c r="AE475" i="5" s="1"/>
  <c r="AC438" i="5"/>
  <c r="AE438" i="5" s="1"/>
  <c r="AA260" i="5"/>
  <c r="AB546" i="5"/>
  <c r="AB545" i="5"/>
  <c r="AC222" i="5"/>
  <c r="AD222" i="5" s="1"/>
  <c r="AC434" i="5"/>
  <c r="AS434" i="5" s="1"/>
  <c r="AC158" i="5"/>
  <c r="AE158" i="5" s="1"/>
  <c r="AC360" i="5"/>
  <c r="AE360" i="5" s="1"/>
  <c r="AC496" i="5"/>
  <c r="AD496" i="5" s="1"/>
  <c r="AC232" i="5"/>
  <c r="AS232" i="5" s="1"/>
  <c r="AA222" i="5"/>
  <c r="AB132" i="5"/>
  <c r="AB360" i="5"/>
  <c r="AA137" i="5"/>
  <c r="AB368" i="5"/>
  <c r="AB174" i="5"/>
  <c r="AC50" i="5"/>
  <c r="AE50" i="5" s="1"/>
  <c r="AC200" i="5"/>
  <c r="AD200" i="5" s="1"/>
  <c r="AC132" i="5"/>
  <c r="AE132" i="5" s="1"/>
  <c r="AB278" i="5"/>
  <c r="AC59" i="5"/>
  <c r="AS59" i="5" s="1"/>
  <c r="AA376" i="5"/>
  <c r="AB31" i="5"/>
  <c r="AA499" i="5"/>
  <c r="W125" i="4"/>
  <c r="Y125" i="4" s="1"/>
  <c r="Z125" i="4" s="1"/>
  <c r="W14" i="4"/>
  <c r="Y14" i="4" s="1"/>
  <c r="Z14" i="4" s="1"/>
  <c r="AC174" i="5"/>
  <c r="AE174" i="5" s="1"/>
  <c r="AC238" i="5"/>
  <c r="AE238" i="5" s="1"/>
  <c r="AC137" i="5"/>
  <c r="AD137" i="5" s="1"/>
  <c r="AC114" i="5"/>
  <c r="AE114" i="5" s="1"/>
  <c r="AC354" i="5"/>
  <c r="AD354" i="5" s="1"/>
  <c r="AC168" i="5"/>
  <c r="AE168" i="5" s="1"/>
  <c r="AA168" i="5"/>
  <c r="AA50" i="5"/>
  <c r="AA114" i="5"/>
  <c r="AA438" i="5"/>
  <c r="AC58" i="5"/>
  <c r="AD58" i="5" s="1"/>
  <c r="AC120" i="5"/>
  <c r="AD120" i="5" s="1"/>
  <c r="AC140" i="5"/>
  <c r="AD140" i="5" s="1"/>
  <c r="AA543" i="5"/>
  <c r="AB354" i="5"/>
  <c r="AA160" i="5"/>
  <c r="AB452" i="5"/>
  <c r="AB259" i="5"/>
  <c r="AA140" i="5"/>
  <c r="AC278" i="5"/>
  <c r="AS278" i="5" s="1"/>
  <c r="AU278" i="5" s="1"/>
  <c r="AC556" i="5"/>
  <c r="AE556" i="5" s="1"/>
  <c r="AC259" i="5"/>
  <c r="AE259" i="5" s="1"/>
  <c r="AC295" i="5"/>
  <c r="AE295" i="5" s="1"/>
  <c r="AC479" i="5"/>
  <c r="AS479" i="5" s="1"/>
  <c r="AC68" i="5"/>
  <c r="AD68" i="5" s="1"/>
  <c r="AC262" i="5"/>
  <c r="AS262" i="5" s="1"/>
  <c r="AC21" i="5"/>
  <c r="AE21" i="5" s="1"/>
  <c r="AC260" i="5"/>
  <c r="AS260" i="5" s="1"/>
  <c r="AC511" i="5"/>
  <c r="AE511" i="5" s="1"/>
  <c r="AC65" i="5"/>
  <c r="AD65" i="5" s="1"/>
  <c r="AC343" i="5"/>
  <c r="AS343" i="5" s="1"/>
  <c r="AC243" i="5"/>
  <c r="AD243" i="5" s="1"/>
  <c r="AC73" i="5"/>
  <c r="AE73" i="5" s="1"/>
  <c r="AC502" i="5"/>
  <c r="AD502" i="5" s="1"/>
  <c r="AC543" i="5"/>
  <c r="AS543" i="5" s="1"/>
  <c r="AC440" i="5"/>
  <c r="AE440" i="5" s="1"/>
  <c r="AC452" i="5"/>
  <c r="AE452" i="5" s="1"/>
  <c r="AC499" i="5"/>
  <c r="AS499" i="5" s="1"/>
  <c r="AC36" i="5"/>
  <c r="AD36" i="5" s="1"/>
  <c r="AB49" i="5"/>
  <c r="AC155" i="5"/>
  <c r="AE155" i="5" s="1"/>
  <c r="AC217" i="5"/>
  <c r="AE217" i="5" s="1"/>
  <c r="AC188" i="5"/>
  <c r="AD188" i="5" s="1"/>
  <c r="AC390" i="5"/>
  <c r="AD390" i="5" s="1"/>
  <c r="AC226" i="5"/>
  <c r="AE226" i="5" s="1"/>
  <c r="AC173" i="5"/>
  <c r="AS173" i="5" s="1"/>
  <c r="AC106" i="5"/>
  <c r="AD106" i="5" s="1"/>
  <c r="AC514" i="5"/>
  <c r="AE514" i="5" s="1"/>
  <c r="AC27" i="5"/>
  <c r="AE27" i="5" s="1"/>
  <c r="AC40" i="5"/>
  <c r="AS40" i="5" s="1"/>
  <c r="AC223" i="5"/>
  <c r="AS223" i="5" s="1"/>
  <c r="AC181" i="5"/>
  <c r="AS181" i="5" s="1"/>
  <c r="AC151" i="5"/>
  <c r="AS151" i="5" s="1"/>
  <c r="AC399" i="5"/>
  <c r="AS399" i="5" s="1"/>
  <c r="AC310" i="5"/>
  <c r="AE310" i="5" s="1"/>
  <c r="AC345" i="5"/>
  <c r="AE345" i="5" s="1"/>
  <c r="AC505" i="5"/>
  <c r="AD505" i="5" s="1"/>
  <c r="AA223" i="5"/>
  <c r="AA188" i="5"/>
  <c r="AB431" i="5"/>
  <c r="AB181" i="5"/>
  <c r="AA275" i="5"/>
  <c r="AC127" i="5"/>
  <c r="AS127" i="5" s="1"/>
  <c r="AU127" i="5" s="1"/>
  <c r="AC136" i="5"/>
  <c r="AS136" i="5" s="1"/>
  <c r="AC126" i="5"/>
  <c r="AE126" i="5" s="1"/>
  <c r="AC544" i="5"/>
  <c r="AS544" i="5" s="1"/>
  <c r="AC48" i="5"/>
  <c r="AE48" i="5" s="1"/>
  <c r="AC275" i="5"/>
  <c r="AS275" i="5" s="1"/>
  <c r="AC112" i="5"/>
  <c r="AS112" i="5" s="1"/>
  <c r="AC473" i="5"/>
  <c r="AD473" i="5" s="1"/>
  <c r="AC143" i="5"/>
  <c r="AD143" i="5" s="1"/>
  <c r="AC104" i="5"/>
  <c r="AE104" i="5" s="1"/>
  <c r="AA544" i="5"/>
  <c r="AA119" i="5"/>
  <c r="AB166" i="5"/>
  <c r="AC335" i="5"/>
  <c r="AE335" i="5" s="1"/>
  <c r="AC245" i="5"/>
  <c r="AE245" i="5" s="1"/>
  <c r="AC214" i="5"/>
  <c r="AD214" i="5" s="1"/>
  <c r="AC342" i="5"/>
  <c r="AS342" i="5" s="1"/>
  <c r="AB226" i="5"/>
  <c r="AB112" i="5"/>
  <c r="AB430" i="5"/>
  <c r="AC349" i="5"/>
  <c r="AD349" i="5" s="1"/>
  <c r="AC383" i="5"/>
  <c r="AE383" i="5" s="1"/>
  <c r="AC466" i="5"/>
  <c r="AE466" i="5" s="1"/>
  <c r="AC119" i="5"/>
  <c r="AE119" i="5" s="1"/>
  <c r="AC12" i="5"/>
  <c r="AD12" i="5" s="1"/>
  <c r="AB103" i="5"/>
  <c r="AC350" i="5"/>
  <c r="AE350" i="5" s="1"/>
  <c r="AC24" i="5"/>
  <c r="AD24" i="5" s="1"/>
  <c r="AC378" i="5"/>
  <c r="AD378" i="5" s="1"/>
  <c r="AC492" i="5"/>
  <c r="AE492" i="5" s="1"/>
  <c r="AC210" i="5"/>
  <c r="AD210" i="5" s="1"/>
  <c r="AA303" i="5"/>
  <c r="AB91" i="5"/>
  <c r="W66" i="4"/>
  <c r="Y66" i="4" s="1"/>
  <c r="Z66" i="4" s="1"/>
  <c r="AC111" i="5"/>
  <c r="AD111" i="5" s="1"/>
  <c r="AC239" i="5"/>
  <c r="AE239" i="5" s="1"/>
  <c r="AC32" i="5"/>
  <c r="AE32" i="5" s="1"/>
  <c r="AA64" i="5"/>
  <c r="AA387" i="5"/>
  <c r="AC55" i="5"/>
  <c r="AE55" i="5" s="1"/>
  <c r="AC77" i="5"/>
  <c r="AE77" i="5" s="1"/>
  <c r="AC113" i="5"/>
  <c r="AD113" i="5" s="1"/>
  <c r="AC369" i="5"/>
  <c r="AE369" i="5" s="1"/>
  <c r="AA404" i="5"/>
  <c r="AB86" i="5"/>
  <c r="AA55" i="5"/>
  <c r="AB203" i="5"/>
  <c r="AC269" i="5"/>
  <c r="AS269" i="5" s="1"/>
  <c r="AC468" i="5"/>
  <c r="AD468" i="5" s="1"/>
  <c r="AB436" i="5"/>
  <c r="AA32" i="5"/>
  <c r="AA111" i="5"/>
  <c r="AC303" i="5"/>
  <c r="AS303" i="5" s="1"/>
  <c r="AC49" i="5"/>
  <c r="AD49" i="5" s="1"/>
  <c r="AC103" i="5"/>
  <c r="AD103" i="5" s="1"/>
  <c r="AC404" i="5"/>
  <c r="AD404" i="5" s="1"/>
  <c r="AA321" i="5"/>
  <c r="AC166" i="5"/>
  <c r="AD166" i="5" s="1"/>
  <c r="AB105" i="5"/>
  <c r="AA296" i="5"/>
  <c r="AA175" i="5"/>
  <c r="AC441" i="5"/>
  <c r="AE441" i="5" s="1"/>
  <c r="AC62" i="5"/>
  <c r="AD62" i="5" s="1"/>
  <c r="AC536" i="5"/>
  <c r="AS536" i="5" s="1"/>
  <c r="AC83" i="5"/>
  <c r="AS83" i="5" s="1"/>
  <c r="AC75" i="5"/>
  <c r="AD75" i="5" s="1"/>
  <c r="AC385" i="5"/>
  <c r="AE385" i="5" s="1"/>
  <c r="AA375" i="5"/>
  <c r="AA329" i="5"/>
  <c r="AA336" i="5"/>
  <c r="AA402" i="5"/>
  <c r="AB401" i="5"/>
  <c r="AA441" i="5"/>
  <c r="AB525" i="5"/>
  <c r="AC515" i="5"/>
  <c r="AS515" i="5" s="1"/>
  <c r="AC189" i="5"/>
  <c r="AS189" i="5" s="1"/>
  <c r="AC313" i="5"/>
  <c r="AD313" i="5" s="1"/>
  <c r="AC203" i="5"/>
  <c r="AS203" i="5" s="1"/>
  <c r="AC472" i="5"/>
  <c r="AE472" i="5" s="1"/>
  <c r="AC186" i="5"/>
  <c r="AD186" i="5" s="1"/>
  <c r="AC134" i="5"/>
  <c r="AE134" i="5" s="1"/>
  <c r="AB396" i="5"/>
  <c r="AA236" i="5"/>
  <c r="AA313" i="5"/>
  <c r="AA205" i="5"/>
  <c r="AB472" i="5"/>
  <c r="AB453" i="5"/>
  <c r="AC403" i="5"/>
  <c r="AD403" i="5" s="1"/>
  <c r="AC541" i="5"/>
  <c r="AD541" i="5" s="1"/>
  <c r="AC300" i="5"/>
  <c r="AD300" i="5" s="1"/>
  <c r="AC34" i="5"/>
  <c r="AS34" i="5" s="1"/>
  <c r="AC44" i="5"/>
  <c r="AD44" i="5" s="1"/>
  <c r="AA62" i="5"/>
  <c r="AA392" i="5"/>
  <c r="AC401" i="5"/>
  <c r="AE401" i="5" s="1"/>
  <c r="AC229" i="5"/>
  <c r="AD229" i="5" s="1"/>
  <c r="AC427" i="5"/>
  <c r="AS427" i="5" s="1"/>
  <c r="AB456" i="5"/>
  <c r="AB171" i="5"/>
  <c r="Y73" i="4"/>
  <c r="Z73" i="4" s="1"/>
  <c r="AA73" i="4" s="1"/>
  <c r="AC73" i="4" s="1"/>
  <c r="AD73" i="4" s="1"/>
  <c r="AC455" i="5"/>
  <c r="AD455" i="5" s="1"/>
  <c r="AC456" i="5"/>
  <c r="AS456" i="5" s="1"/>
  <c r="AC205" i="5"/>
  <c r="AD205" i="5" s="1"/>
  <c r="AC218" i="5"/>
  <c r="AE218" i="5" s="1"/>
  <c r="AC395" i="5"/>
  <c r="AS395" i="5" s="1"/>
  <c r="AC128" i="5"/>
  <c r="AD128" i="5" s="1"/>
  <c r="AC375" i="5"/>
  <c r="AD375" i="5" s="1"/>
  <c r="AE73" i="4"/>
  <c r="AA455" i="5"/>
  <c r="AA60" i="5"/>
  <c r="AB8" i="5"/>
  <c r="AA382" i="5"/>
  <c r="AC329" i="5"/>
  <c r="AS329" i="5" s="1"/>
  <c r="AC302" i="5"/>
  <c r="AE302" i="5" s="1"/>
  <c r="AC171" i="5"/>
  <c r="AS171" i="5" s="1"/>
  <c r="AC450" i="5"/>
  <c r="AS450" i="5" s="1"/>
  <c r="AC336" i="5"/>
  <c r="AD336" i="5" s="1"/>
  <c r="AC60" i="5"/>
  <c r="AD60" i="5" s="1"/>
  <c r="AC381" i="5"/>
  <c r="AS381" i="5" s="1"/>
  <c r="AC236" i="5"/>
  <c r="AE236" i="5" s="1"/>
  <c r="AC402" i="5"/>
  <c r="AD402" i="5" s="1"/>
  <c r="AC145" i="5"/>
  <c r="AD145" i="5" s="1"/>
  <c r="AC433" i="5"/>
  <c r="AS433" i="5" s="1"/>
  <c r="AC453" i="5"/>
  <c r="AE453" i="5" s="1"/>
  <c r="AC382" i="5"/>
  <c r="AD382" i="5" s="1"/>
  <c r="W135" i="4"/>
  <c r="Y135" i="4" s="1"/>
  <c r="Z135" i="4" s="1"/>
  <c r="AN11" i="5"/>
  <c r="AC125" i="5"/>
  <c r="AS125" i="5" s="1"/>
  <c r="AC513" i="5"/>
  <c r="AE513" i="5" s="1"/>
  <c r="AC377" i="5"/>
  <c r="AD377" i="5" s="1"/>
  <c r="AC29" i="5"/>
  <c r="AE29" i="5" s="1"/>
  <c r="AC129" i="5"/>
  <c r="AD129" i="5" s="1"/>
  <c r="AC69" i="5"/>
  <c r="AS69" i="5" s="1"/>
  <c r="AC193" i="5"/>
  <c r="AE193" i="5" s="1"/>
  <c r="AC486" i="5"/>
  <c r="AE486" i="5" s="1"/>
  <c r="AC398" i="5"/>
  <c r="AE398" i="5" s="1"/>
  <c r="AA294" i="5"/>
  <c r="AA69" i="5"/>
  <c r="AA486" i="5"/>
  <c r="AA70" i="5"/>
  <c r="AA548" i="5"/>
  <c r="AC70" i="5"/>
  <c r="AS70" i="5" s="1"/>
  <c r="AC251" i="5"/>
  <c r="AS251" i="5" s="1"/>
  <c r="AC228" i="5"/>
  <c r="AE228" i="5" s="1"/>
  <c r="AC285" i="5"/>
  <c r="AD285" i="5" s="1"/>
  <c r="AC110" i="5"/>
  <c r="AE110" i="5" s="1"/>
  <c r="AC43" i="5"/>
  <c r="AS43" i="5" s="1"/>
  <c r="AB400" i="5"/>
  <c r="AB533" i="5"/>
  <c r="AB513" i="5"/>
  <c r="AB509" i="5"/>
  <c r="AB228" i="5"/>
  <c r="AA29" i="5"/>
  <c r="AM33" i="4"/>
  <c r="AN33" i="4" s="1"/>
  <c r="AC179" i="5"/>
  <c r="AE179" i="5" s="1"/>
  <c r="AC394" i="5"/>
  <c r="AD394" i="5" s="1"/>
  <c r="AC481" i="5"/>
  <c r="AS481" i="5" s="1"/>
  <c r="AC533" i="5"/>
  <c r="AD533" i="5" s="1"/>
  <c r="AC424" i="5"/>
  <c r="AS424" i="5" s="1"/>
  <c r="AC268" i="5"/>
  <c r="AS268" i="5" s="1"/>
  <c r="AC270" i="5"/>
  <c r="AE270" i="5" s="1"/>
  <c r="AB255" i="5"/>
  <c r="AA129" i="5"/>
  <c r="AA394" i="5"/>
  <c r="AB270" i="5"/>
  <c r="AB425" i="5"/>
  <c r="AB491" i="5"/>
  <c r="AH18" i="4"/>
  <c r="AC444" i="5"/>
  <c r="AE444" i="5" s="1"/>
  <c r="AC555" i="5"/>
  <c r="AD555" i="5" s="1"/>
  <c r="AC338" i="5"/>
  <c r="AS338" i="5" s="1"/>
  <c r="AC163" i="5"/>
  <c r="AD163" i="5" s="1"/>
  <c r="AB163" i="5"/>
  <c r="AA157" i="5"/>
  <c r="AC99" i="5"/>
  <c r="AD99" i="5" s="1"/>
  <c r="AC255" i="5"/>
  <c r="AE255" i="5" s="1"/>
  <c r="AC553" i="5"/>
  <c r="AS553" i="5" s="1"/>
  <c r="AC388" i="5"/>
  <c r="AE388" i="5" s="1"/>
  <c r="AC247" i="5"/>
  <c r="AD247" i="5" s="1"/>
  <c r="AC93" i="5"/>
  <c r="AE93" i="5" s="1"/>
  <c r="W12" i="4"/>
  <c r="AE12" i="4" s="1"/>
  <c r="AC509" i="5"/>
  <c r="AD509" i="5" s="1"/>
  <c r="AC157" i="5"/>
  <c r="AD157" i="5" s="1"/>
  <c r="AC90" i="5"/>
  <c r="AE90" i="5" s="1"/>
  <c r="AC153" i="5"/>
  <c r="AD153" i="5" s="1"/>
  <c r="AC35" i="5"/>
  <c r="AD35" i="5" s="1"/>
  <c r="AC548" i="5"/>
  <c r="AE548" i="5" s="1"/>
  <c r="AC53" i="5"/>
  <c r="AE53" i="5" s="1"/>
  <c r="AA43" i="5"/>
  <c r="AA125" i="5"/>
  <c r="AC257" i="5"/>
  <c r="AS257" i="5" s="1"/>
  <c r="AT257" i="5" s="1"/>
  <c r="AC331" i="5"/>
  <c r="AS331" i="5" s="1"/>
  <c r="AC178" i="5"/>
  <c r="AD178" i="5" s="1"/>
  <c r="AC498" i="5"/>
  <c r="AS498" i="5" s="1"/>
  <c r="AC491" i="5"/>
  <c r="AS491" i="5" s="1"/>
  <c r="AC362" i="5"/>
  <c r="AS362" i="5" s="1"/>
  <c r="AC400" i="5"/>
  <c r="AE400" i="5" s="1"/>
  <c r="AC67" i="5"/>
  <c r="AE67" i="5" s="1"/>
  <c r="AC33" i="5"/>
  <c r="AS33" i="5" s="1"/>
  <c r="AC428" i="5"/>
  <c r="AE428" i="5" s="1"/>
  <c r="AC263" i="5"/>
  <c r="AD263" i="5" s="1"/>
  <c r="AB380" i="5"/>
  <c r="AA501" i="5"/>
  <c r="AB471" i="5"/>
  <c r="AB320" i="5"/>
  <c r="AA306" i="5"/>
  <c r="AC141" i="5"/>
  <c r="AD141" i="5" s="1"/>
  <c r="AC198" i="5"/>
  <c r="AD198" i="5" s="1"/>
  <c r="AC183" i="5"/>
  <c r="AS183" i="5" s="1"/>
  <c r="AC465" i="5"/>
  <c r="AS465" i="5" s="1"/>
  <c r="AA118" i="5"/>
  <c r="AB209" i="5"/>
  <c r="AA435" i="5"/>
  <c r="AC82" i="5"/>
  <c r="AE82" i="5" s="1"/>
  <c r="AC253" i="5"/>
  <c r="AS253" i="5" s="1"/>
  <c r="AC380" i="5"/>
  <c r="AS380" i="5" s="1"/>
  <c r="AC291" i="5"/>
  <c r="AE291" i="5" s="1"/>
  <c r="AC209" i="5"/>
  <c r="AD209" i="5" s="1"/>
  <c r="AC293" i="5"/>
  <c r="AE293" i="5" s="1"/>
  <c r="AC560" i="5"/>
  <c r="AE560" i="5" s="1"/>
  <c r="AC384" i="5"/>
  <c r="AD384" i="5" s="1"/>
  <c r="AC175" i="5"/>
  <c r="AS175" i="5" s="1"/>
  <c r="AT175" i="5" s="1"/>
  <c r="AC296" i="5"/>
  <c r="AS296" i="5" s="1"/>
  <c r="AC318" i="5"/>
  <c r="AD318" i="5" s="1"/>
  <c r="AC413" i="5"/>
  <c r="AS413" i="5" s="1"/>
  <c r="AB348" i="5"/>
  <c r="AA108" i="5"/>
  <c r="AC199" i="5"/>
  <c r="AD199" i="5" s="1"/>
  <c r="AA100" i="5"/>
  <c r="AC7" i="5"/>
  <c r="AS7" i="5" s="1"/>
  <c r="AC147" i="5"/>
  <c r="AS147" i="5" s="1"/>
  <c r="AU147" i="5" s="1"/>
  <c r="AC471" i="5"/>
  <c r="AS471" i="5" s="1"/>
  <c r="AC348" i="5"/>
  <c r="AS348" i="5" s="1"/>
  <c r="AC339" i="5"/>
  <c r="AS339" i="5" s="1"/>
  <c r="AC19" i="5"/>
  <c r="AD19" i="5" s="1"/>
  <c r="AC219" i="5"/>
  <c r="AE219" i="5" s="1"/>
  <c r="AC501" i="5"/>
  <c r="AD501" i="5" s="1"/>
  <c r="AC316" i="5"/>
  <c r="AE316" i="5" s="1"/>
  <c r="AB291" i="5"/>
  <c r="AA231" i="5"/>
  <c r="AB460" i="5"/>
  <c r="AA82" i="5"/>
  <c r="AA199" i="5"/>
  <c r="AB521" i="5"/>
  <c r="AA470" i="5"/>
  <c r="AC437" i="5"/>
  <c r="AD437" i="5" s="1"/>
  <c r="AC108" i="5"/>
  <c r="AD108" i="5" s="1"/>
  <c r="AC308" i="5"/>
  <c r="AD308" i="5" s="1"/>
  <c r="AC406" i="5"/>
  <c r="AD406" i="5" s="1"/>
  <c r="AC447" i="5"/>
  <c r="AD447" i="5" s="1"/>
  <c r="AC344" i="5"/>
  <c r="AD344" i="5" s="1"/>
  <c r="AC231" i="5"/>
  <c r="AD231" i="5" s="1"/>
  <c r="AC78" i="5"/>
  <c r="AS78" i="5" s="1"/>
  <c r="AT78" i="5" s="1"/>
  <c r="AB92" i="5"/>
  <c r="AC529" i="5"/>
  <c r="AE529" i="5" s="1"/>
  <c r="AC521" i="5"/>
  <c r="AS521" i="5" s="1"/>
  <c r="AC320" i="5"/>
  <c r="AE320" i="5" s="1"/>
  <c r="AC411" i="5"/>
  <c r="AE411" i="5" s="1"/>
  <c r="AC115" i="5"/>
  <c r="AD115" i="5" s="1"/>
  <c r="AM115" i="4"/>
  <c r="AN115" i="4" s="1"/>
  <c r="AM26" i="4"/>
  <c r="AN26" i="4" s="1"/>
  <c r="W26" i="4"/>
  <c r="AA409" i="5"/>
  <c r="AA414" i="5"/>
  <c r="AC321" i="5"/>
  <c r="AD321" i="5" s="1"/>
  <c r="AC410" i="5"/>
  <c r="AE410" i="5" s="1"/>
  <c r="AC480" i="5"/>
  <c r="AD480" i="5" s="1"/>
  <c r="AC135" i="5"/>
  <c r="AS135" i="5" s="1"/>
  <c r="AC420" i="5"/>
  <c r="AD420" i="5" s="1"/>
  <c r="AC559" i="5"/>
  <c r="AD559" i="5" s="1"/>
  <c r="AC436" i="5"/>
  <c r="AS436" i="5" s="1"/>
  <c r="AA66" i="5"/>
  <c r="AC182" i="5"/>
  <c r="AS182" i="5" s="1"/>
  <c r="AT182" i="5" s="1"/>
  <c r="AC20" i="5"/>
  <c r="AD20" i="5" s="1"/>
  <c r="AC45" i="5"/>
  <c r="AE45" i="5" s="1"/>
  <c r="AC201" i="5"/>
  <c r="AD201" i="5" s="1"/>
  <c r="AC102" i="5"/>
  <c r="AD102" i="5" s="1"/>
  <c r="AC323" i="5"/>
  <c r="AD323" i="5" s="1"/>
  <c r="AC66" i="5"/>
  <c r="AE66" i="5" s="1"/>
  <c r="AC528" i="5"/>
  <c r="AE528" i="5" s="1"/>
  <c r="AA369" i="5"/>
  <c r="AA317" i="5"/>
  <c r="AA410" i="5"/>
  <c r="AC204" i="5"/>
  <c r="AE204" i="5" s="1"/>
  <c r="AC506" i="5"/>
  <c r="AS506" i="5" s="1"/>
  <c r="AC409" i="5"/>
  <c r="AE409" i="5" s="1"/>
  <c r="AA282" i="5"/>
  <c r="AA506" i="5"/>
  <c r="AB135" i="5"/>
  <c r="AA201" i="5"/>
  <c r="AC272" i="5"/>
  <c r="AE272" i="5" s="1"/>
  <c r="AC414" i="5"/>
  <c r="AE414" i="5" s="1"/>
  <c r="AC81" i="5"/>
  <c r="AS81" i="5" s="1"/>
  <c r="AU81" i="5" s="1"/>
  <c r="AC387" i="5"/>
  <c r="AD387" i="5" s="1"/>
  <c r="AC266" i="5"/>
  <c r="AS266" i="5" s="1"/>
  <c r="AC282" i="5"/>
  <c r="AS282" i="5" s="1"/>
  <c r="AC72" i="5"/>
  <c r="AS72" i="5" s="1"/>
  <c r="AU72" i="5" s="1"/>
  <c r="AC558" i="5"/>
  <c r="AD558" i="5" s="1"/>
  <c r="AC317" i="5"/>
  <c r="AS317" i="5" s="1"/>
  <c r="AC240" i="5"/>
  <c r="AD240" i="5" s="1"/>
  <c r="AE118" i="4"/>
  <c r="AF118" i="4"/>
  <c r="AG118" i="4" s="1"/>
  <c r="AI118" i="4" s="1"/>
  <c r="X118" i="4"/>
  <c r="AA118" i="4" s="1"/>
  <c r="AC118" i="4" s="1"/>
  <c r="AD118" i="4" s="1"/>
  <c r="AJ91" i="4"/>
  <c r="AL11" i="5"/>
  <c r="AE96" i="4"/>
  <c r="X96" i="4"/>
  <c r="AJ96" i="4" s="1"/>
  <c r="AJ77" i="4"/>
  <c r="AO9" i="5"/>
  <c r="W39" i="4"/>
  <c r="X39" i="4" s="1"/>
  <c r="AJ39" i="4" s="1"/>
  <c r="W72" i="4"/>
  <c r="Y72" i="4" s="1"/>
  <c r="Z72" i="4" s="1"/>
  <c r="AF72" i="4" s="1"/>
  <c r="AG72" i="4" s="1"/>
  <c r="AI72" i="4" s="1"/>
  <c r="AG96" i="4"/>
  <c r="AI96" i="4" s="1"/>
  <c r="Z149" i="4"/>
  <c r="AF149" i="4" s="1"/>
  <c r="AO149" i="4" s="1"/>
  <c r="W22" i="4"/>
  <c r="X22" i="4" s="1"/>
  <c r="AJ22" i="4" s="1"/>
  <c r="AE140" i="4"/>
  <c r="X140" i="4"/>
  <c r="AJ140" i="4" s="1"/>
  <c r="W109" i="4"/>
  <c r="X109" i="4" s="1"/>
  <c r="AJ109" i="4" s="1"/>
  <c r="Z42" i="4"/>
  <c r="AF42" i="4" s="1"/>
  <c r="W129" i="4"/>
  <c r="Y129" i="4" s="1"/>
  <c r="Z129" i="4" s="1"/>
  <c r="AF129" i="4" s="1"/>
  <c r="AP9" i="5"/>
  <c r="AR9" i="5" s="1"/>
  <c r="W148" i="4"/>
  <c r="X148" i="4" s="1"/>
  <c r="AJ148" i="4" s="1"/>
  <c r="AP11" i="5"/>
  <c r="AQ11" i="5" s="1"/>
  <c r="AM121" i="4"/>
  <c r="AN121" i="4" s="1"/>
  <c r="W67" i="4"/>
  <c r="Y67" i="4" s="1"/>
  <c r="Z67" i="4" s="1"/>
  <c r="AM59" i="4"/>
  <c r="AN59" i="4" s="1"/>
  <c r="W59" i="4"/>
  <c r="X59" i="4" s="1"/>
  <c r="AJ59" i="4" s="1"/>
  <c r="AM132" i="4"/>
  <c r="AN132" i="4" s="1"/>
  <c r="W132" i="4"/>
  <c r="AM83" i="4"/>
  <c r="AN83" i="4" s="1"/>
  <c r="W83" i="4"/>
  <c r="AM141" i="4"/>
  <c r="AN141" i="4" s="1"/>
  <c r="W141" i="4"/>
  <c r="AM62" i="4"/>
  <c r="AN62" i="4" s="1"/>
  <c r="W62" i="4"/>
  <c r="AM21" i="4"/>
  <c r="AN21" i="4" s="1"/>
  <c r="W21" i="4"/>
  <c r="AN84" i="4"/>
  <c r="AM79" i="4"/>
  <c r="AN79" i="4" s="1"/>
  <c r="W79" i="4"/>
  <c r="Y79" i="4" s="1"/>
  <c r="Z79" i="4" s="1"/>
  <c r="W24" i="4"/>
  <c r="AM24" i="4"/>
  <c r="AN24" i="4" s="1"/>
  <c r="X105" i="4"/>
  <c r="AJ105" i="4" s="1"/>
  <c r="Y105" i="4"/>
  <c r="Z105" i="4" s="1"/>
  <c r="AE105" i="4"/>
  <c r="AH105" i="4"/>
  <c r="AM133" i="4"/>
  <c r="AN133" i="4" s="1"/>
  <c r="W133" i="4"/>
  <c r="W155" i="4"/>
  <c r="AE155" i="4" s="1"/>
  <c r="AM155" i="4"/>
  <c r="AN155" i="4" s="1"/>
  <c r="AM101" i="4"/>
  <c r="AN101" i="4" s="1"/>
  <c r="W101" i="4"/>
  <c r="AM34" i="4"/>
  <c r="AN34" i="4" s="1"/>
  <c r="W34" i="4"/>
  <c r="AM130" i="4"/>
  <c r="AN130" i="4" s="1"/>
  <c r="W130" i="4"/>
  <c r="Z140" i="4"/>
  <c r="AN143" i="4"/>
  <c r="AM144" i="4"/>
  <c r="AN144" i="4" s="1"/>
  <c r="W144" i="4"/>
  <c r="AN140" i="4"/>
  <c r="W152" i="4"/>
  <c r="Y152" i="4" s="1"/>
  <c r="Z152" i="4" s="1"/>
  <c r="W94" i="4"/>
  <c r="AE94" i="4" s="1"/>
  <c r="AM94" i="4"/>
  <c r="AN94" i="4" s="1"/>
  <c r="AM58" i="4"/>
  <c r="AN58" i="4" s="1"/>
  <c r="W58" i="4"/>
  <c r="AH155" i="4"/>
  <c r="AM10" i="4"/>
  <c r="AN10" i="4" s="1"/>
  <c r="W10" i="4"/>
  <c r="Y91" i="4"/>
  <c r="Z91" i="4" s="1"/>
  <c r="AA91" i="4" s="1"/>
  <c r="AC91" i="4" s="1"/>
  <c r="AD91" i="4" s="1"/>
  <c r="AE143" i="4"/>
  <c r="AE91" i="4"/>
  <c r="AE76" i="4"/>
  <c r="Y76" i="4"/>
  <c r="Z76" i="4" s="1"/>
  <c r="R9" i="5"/>
  <c r="S9" i="5"/>
  <c r="X84" i="4"/>
  <c r="AJ84" i="4" s="1"/>
  <c r="AE84" i="4"/>
  <c r="Y84" i="4"/>
  <c r="Z84" i="4" s="1"/>
  <c r="AI9" i="5"/>
  <c r="AH9" i="5"/>
  <c r="V9" i="5"/>
  <c r="U9" i="5"/>
  <c r="Y9" i="5"/>
  <c r="X9" i="5"/>
  <c r="AF143" i="4"/>
  <c r="X143" i="4"/>
  <c r="AJ143" i="4" s="1"/>
  <c r="AE40" i="4"/>
  <c r="AA11" i="5"/>
  <c r="AI11" i="5"/>
  <c r="AH11" i="5"/>
  <c r="S11" i="5"/>
  <c r="R11" i="5"/>
  <c r="X11" i="5"/>
  <c r="Y11" i="5"/>
  <c r="AR327" i="5"/>
  <c r="AR436" i="5"/>
  <c r="AQ438" i="5"/>
  <c r="AQ420" i="5"/>
  <c r="AR381" i="5"/>
  <c r="AQ392" i="5"/>
  <c r="AR261" i="5"/>
  <c r="AR531" i="5"/>
  <c r="AQ259" i="5"/>
  <c r="AR103" i="5"/>
  <c r="AR533" i="5"/>
  <c r="AR274" i="5"/>
  <c r="AQ66" i="5"/>
  <c r="AR474" i="5"/>
  <c r="AQ140" i="5"/>
  <c r="AQ101" i="5"/>
  <c r="AQ487" i="5"/>
  <c r="AR278" i="5"/>
  <c r="AR337" i="5"/>
  <c r="AQ143" i="5"/>
  <c r="AR397" i="5"/>
  <c r="AR226" i="5"/>
  <c r="AR296" i="5"/>
  <c r="AE122" i="4"/>
  <c r="AB128" i="5"/>
  <c r="AA180" i="5"/>
  <c r="AA361" i="5"/>
  <c r="AA338" i="5"/>
  <c r="AB353" i="5"/>
  <c r="AC315" i="5"/>
  <c r="AE315" i="5" s="1"/>
  <c r="AA267" i="5"/>
  <c r="AA253" i="5"/>
  <c r="AB362" i="5"/>
  <c r="AC396" i="5"/>
  <c r="AE396" i="5" s="1"/>
  <c r="AA318" i="5"/>
  <c r="AB511" i="5"/>
  <c r="AC539" i="5"/>
  <c r="AD539" i="5" s="1"/>
  <c r="AB465" i="5"/>
  <c r="AC430" i="5"/>
  <c r="AD430" i="5" s="1"/>
  <c r="AA346" i="5"/>
  <c r="AA281" i="5"/>
  <c r="AC8" i="5"/>
  <c r="AE8" i="5" s="1"/>
  <c r="AA158" i="5"/>
  <c r="AB357" i="5"/>
  <c r="AC290" i="5"/>
  <c r="AS290" i="5" s="1"/>
  <c r="AC305" i="5"/>
  <c r="AS305" i="5" s="1"/>
  <c r="AB206" i="5"/>
  <c r="AB440" i="5"/>
  <c r="AC292" i="5"/>
  <c r="AD292" i="5" s="1"/>
  <c r="AB65" i="5"/>
  <c r="AB214" i="5"/>
  <c r="AB101" i="5"/>
  <c r="AB326" i="5"/>
  <c r="AB253" i="5"/>
  <c r="AB287" i="5"/>
  <c r="AA465" i="5"/>
  <c r="AA295" i="5"/>
  <c r="AC346" i="5"/>
  <c r="AD346" i="5" s="1"/>
  <c r="AA186" i="5"/>
  <c r="AB158" i="5"/>
  <c r="AC407" i="5"/>
  <c r="AD407" i="5" s="1"/>
  <c r="AC357" i="5"/>
  <c r="AE357" i="5" s="1"/>
  <c r="AA290" i="5"/>
  <c r="AA305" i="5"/>
  <c r="AA440" i="5"/>
  <c r="AB292" i="5"/>
  <c r="AA65" i="5"/>
  <c r="AB230" i="5"/>
  <c r="AC326" i="5"/>
  <c r="AD326" i="5" s="1"/>
  <c r="AA353" i="5"/>
  <c r="AB339" i="5"/>
  <c r="AC95" i="5"/>
  <c r="AE95" i="5" s="1"/>
  <c r="AB295" i="5"/>
  <c r="AB186" i="5"/>
  <c r="AA488" i="5"/>
  <c r="AA407" i="5"/>
  <c r="AA427" i="5"/>
  <c r="AA323" i="5"/>
  <c r="AC227" i="5"/>
  <c r="AD227" i="5" s="1"/>
  <c r="AC230" i="5"/>
  <c r="AD230" i="5" s="1"/>
  <c r="AA315" i="5"/>
  <c r="AA245" i="5"/>
  <c r="AC284" i="5"/>
  <c r="AS284" i="5" s="1"/>
  <c r="AC287" i="5"/>
  <c r="AE287" i="5" s="1"/>
  <c r="AC311" i="5"/>
  <c r="AS311" i="5" s="1"/>
  <c r="AC124" i="5"/>
  <c r="AD124" i="5" s="1"/>
  <c r="AA496" i="5"/>
  <c r="AB377" i="5"/>
  <c r="AB245" i="5"/>
  <c r="AC224" i="5"/>
  <c r="AD224" i="5" s="1"/>
  <c r="AA339" i="5"/>
  <c r="AA284" i="5"/>
  <c r="AA95" i="5"/>
  <c r="AA311" i="5"/>
  <c r="AA365" i="5"/>
  <c r="AA391" i="5"/>
  <c r="AC172" i="5"/>
  <c r="AD172" i="5" s="1"/>
  <c r="AB20" i="5"/>
  <c r="AB458" i="5"/>
  <c r="AA127" i="5"/>
  <c r="AA122" i="5"/>
  <c r="AB323" i="5"/>
  <c r="AB496" i="5"/>
  <c r="AA377" i="5"/>
  <c r="AA172" i="5"/>
  <c r="AA197" i="5"/>
  <c r="AB399" i="5"/>
  <c r="AA224" i="5"/>
  <c r="AB365" i="5"/>
  <c r="AC176" i="5"/>
  <c r="AS176" i="5" s="1"/>
  <c r="AE146" i="4"/>
  <c r="AC391" i="5"/>
  <c r="AD391" i="5" s="1"/>
  <c r="AC458" i="5"/>
  <c r="AE458" i="5" s="1"/>
  <c r="AB127" i="5"/>
  <c r="AB122" i="5"/>
  <c r="AC435" i="5"/>
  <c r="AE435" i="5" s="1"/>
  <c r="AA176" i="5"/>
  <c r="AA504" i="5"/>
  <c r="AB117" i="5"/>
  <c r="AB124" i="5"/>
  <c r="AA239" i="5"/>
  <c r="AB197" i="5"/>
  <c r="AB45" i="5"/>
  <c r="AC196" i="5"/>
  <c r="AD196" i="5" s="1"/>
  <c r="AA450" i="5"/>
  <c r="AA20" i="5"/>
  <c r="AC442" i="5"/>
  <c r="AD442" i="5" s="1"/>
  <c r="AA269" i="5"/>
  <c r="AB473" i="5"/>
  <c r="AB450" i="5"/>
  <c r="AB165" i="5"/>
  <c r="AB120" i="5"/>
  <c r="AA45" i="5"/>
  <c r="AC423" i="5"/>
  <c r="AD423" i="5" s="1"/>
  <c r="AC490" i="5"/>
  <c r="AD490" i="5" s="1"/>
  <c r="AC355" i="5"/>
  <c r="AD355" i="5" s="1"/>
  <c r="AF108" i="4"/>
  <c r="AG108" i="4" s="1"/>
  <c r="AI108" i="4" s="1"/>
  <c r="AA300" i="5"/>
  <c r="AE123" i="4"/>
  <c r="AB433" i="5"/>
  <c r="AA248" i="5"/>
  <c r="AA252" i="5"/>
  <c r="AA84" i="5"/>
  <c r="AA23" i="5"/>
  <c r="AB427" i="5"/>
  <c r="AA28" i="5"/>
  <c r="AA399" i="5"/>
  <c r="AA87" i="5"/>
  <c r="AA381" i="5"/>
  <c r="AA178" i="5"/>
  <c r="AC28" i="5"/>
  <c r="AE28" i="5" s="1"/>
  <c r="AB178" i="5"/>
  <c r="AA334" i="5"/>
  <c r="AC524" i="5"/>
  <c r="AS524" i="5" s="1"/>
  <c r="AB54" i="5"/>
  <c r="AB143" i="5"/>
  <c r="AB61" i="5"/>
  <c r="AB246" i="5"/>
  <c r="AA21" i="5"/>
  <c r="AA225" i="5"/>
  <c r="AA10" i="5"/>
  <c r="AB341" i="5"/>
  <c r="AB268" i="5"/>
  <c r="AA480" i="5"/>
  <c r="AA434" i="5"/>
  <c r="AA104" i="5"/>
  <c r="AB434" i="5"/>
  <c r="AB280" i="5"/>
  <c r="AB182" i="5"/>
  <c r="AA530" i="5"/>
  <c r="AB542" i="5"/>
  <c r="X40" i="4"/>
  <c r="AJ40" i="4" s="1"/>
  <c r="AE82" i="4"/>
  <c r="AB302" i="5"/>
  <c r="AA310" i="5"/>
  <c r="AB307" i="5"/>
  <c r="AB30" i="5"/>
  <c r="AC187" i="5"/>
  <c r="AS187" i="5" s="1"/>
  <c r="AC167" i="5"/>
  <c r="AS167" i="5" s="1"/>
  <c r="AB508" i="5"/>
  <c r="AC449" i="5"/>
  <c r="AS449" i="5" s="1"/>
  <c r="AB44" i="5"/>
  <c r="AB449" i="5"/>
  <c r="AE71" i="4"/>
  <c r="AB210" i="5"/>
  <c r="AB73" i="5"/>
  <c r="AB279" i="5"/>
  <c r="AB159" i="5"/>
  <c r="AE31" i="4"/>
  <c r="AB411" i="5"/>
  <c r="AA383" i="5"/>
  <c r="AA183" i="5"/>
  <c r="AC322" i="5"/>
  <c r="AE322" i="5" s="1"/>
  <c r="AB237" i="5"/>
  <c r="AA73" i="5"/>
  <c r="AA337" i="5"/>
  <c r="AC37" i="5"/>
  <c r="AS37" i="5" s="1"/>
  <c r="AA510" i="5"/>
  <c r="AA152" i="5"/>
  <c r="AC86" i="5"/>
  <c r="AE86" i="5" s="1"/>
  <c r="AA508" i="5"/>
  <c r="AA78" i="5"/>
  <c r="AC79" i="5"/>
  <c r="AD79" i="5" s="1"/>
  <c r="AA162" i="5"/>
  <c r="AB240" i="5"/>
  <c r="AA79" i="5"/>
  <c r="AB378" i="5"/>
  <c r="AB233" i="5"/>
  <c r="AC249" i="5"/>
  <c r="AE249" i="5" s="1"/>
  <c r="AB68" i="5"/>
  <c r="AA190" i="5"/>
  <c r="AA52" i="5"/>
  <c r="AA12" i="5"/>
  <c r="AC177" i="5"/>
  <c r="AD177" i="5" s="1"/>
  <c r="AC211" i="5"/>
  <c r="AE211" i="5" s="1"/>
  <c r="AA227" i="5"/>
  <c r="AA237" i="5"/>
  <c r="AA352" i="5"/>
  <c r="AC233" i="5"/>
  <c r="AE233" i="5" s="1"/>
  <c r="AB249" i="5"/>
  <c r="AA68" i="5"/>
  <c r="AA234" i="5"/>
  <c r="AA177" i="5"/>
  <c r="AB156" i="5"/>
  <c r="AB198" i="5"/>
  <c r="AC419" i="5"/>
  <c r="AD419" i="5" s="1"/>
  <c r="AB211" i="5"/>
  <c r="AB195" i="5"/>
  <c r="AB345" i="5"/>
  <c r="AA378" i="5"/>
  <c r="AC246" i="5"/>
  <c r="AD246" i="5" s="1"/>
  <c r="AB123" i="5"/>
  <c r="AB271" i="5"/>
  <c r="AA56" i="5"/>
  <c r="AC352" i="5"/>
  <c r="AD352" i="5" s="1"/>
  <c r="AC393" i="5"/>
  <c r="AE393" i="5" s="1"/>
  <c r="AB234" i="5"/>
  <c r="AA556" i="5"/>
  <c r="AC330" i="5"/>
  <c r="AE330" i="5" s="1"/>
  <c r="AC156" i="5"/>
  <c r="AD156" i="5" s="1"/>
  <c r="AA164" i="5"/>
  <c r="AB141" i="5"/>
  <c r="AB386" i="5"/>
  <c r="AC195" i="5"/>
  <c r="AE195" i="5" s="1"/>
  <c r="AA552" i="5"/>
  <c r="AA115" i="5"/>
  <c r="AA280" i="5"/>
  <c r="AC123" i="5"/>
  <c r="AS123" i="5" s="1"/>
  <c r="AC271" i="5"/>
  <c r="AD271" i="5" s="1"/>
  <c r="AC56" i="5"/>
  <c r="AE56" i="5" s="1"/>
  <c r="AC159" i="5"/>
  <c r="AS159" i="5" s="1"/>
  <c r="AB393" i="5"/>
  <c r="AA187" i="5"/>
  <c r="AC337" i="5"/>
  <c r="AS337" i="5" s="1"/>
  <c r="AB556" i="5"/>
  <c r="AA44" i="5"/>
  <c r="AB37" i="5"/>
  <c r="AA330" i="5"/>
  <c r="AA218" i="5"/>
  <c r="AB102" i="5"/>
  <c r="AA141" i="5"/>
  <c r="AA167" i="5"/>
  <c r="AA229" i="5"/>
  <c r="AB115" i="5"/>
  <c r="AB77" i="5"/>
  <c r="AB21" i="5"/>
  <c r="AB310" i="5"/>
  <c r="AB218" i="5"/>
  <c r="AA102" i="5"/>
  <c r="AB183" i="5"/>
  <c r="AC30" i="5"/>
  <c r="AD30" i="5" s="1"/>
  <c r="AB322" i="5"/>
  <c r="AC542" i="5"/>
  <c r="AE542" i="5" s="1"/>
  <c r="AB229" i="5"/>
  <c r="AE108" i="4"/>
  <c r="X123" i="4"/>
  <c r="AJ123" i="4" s="1"/>
  <c r="AC162" i="5"/>
  <c r="AD162" i="5" s="1"/>
  <c r="AC52" i="5"/>
  <c r="AD52" i="5" s="1"/>
  <c r="AC307" i="5"/>
  <c r="AE307" i="5" s="1"/>
  <c r="AA182" i="5"/>
  <c r="AC152" i="5"/>
  <c r="AD152" i="5" s="1"/>
  <c r="AA210" i="5"/>
  <c r="AC10" i="5"/>
  <c r="AD10" i="5" s="1"/>
  <c r="AA279" i="5"/>
  <c r="AC190" i="5"/>
  <c r="AD190" i="5" s="1"/>
  <c r="AC225" i="5"/>
  <c r="AE225" i="5" s="1"/>
  <c r="AC96" i="5"/>
  <c r="AE96" i="5" s="1"/>
  <c r="AA240" i="5"/>
  <c r="AC164" i="5"/>
  <c r="AE164" i="5" s="1"/>
  <c r="AB12" i="5"/>
  <c r="AB78" i="5"/>
  <c r="AC299" i="5"/>
  <c r="AD299" i="5" s="1"/>
  <c r="AE70" i="4"/>
  <c r="AA243" i="5"/>
  <c r="AB38" i="5"/>
  <c r="AC63" i="5"/>
  <c r="AS63" i="5" s="1"/>
  <c r="AB154" i="5"/>
  <c r="AB272" i="5"/>
  <c r="AA385" i="5"/>
  <c r="AA492" i="5"/>
  <c r="AA72" i="5"/>
  <c r="AB559" i="5"/>
  <c r="AC250" i="5"/>
  <c r="AD250" i="5" s="1"/>
  <c r="AC131" i="5"/>
  <c r="AD131" i="5" s="1"/>
  <c r="AC64" i="5"/>
  <c r="AD64" i="5" s="1"/>
  <c r="AB67" i="5"/>
  <c r="AB477" i="5"/>
  <c r="AB204" i="5"/>
  <c r="AC516" i="5"/>
  <c r="AE516" i="5" s="1"/>
  <c r="AC347" i="5"/>
  <c r="AS347" i="5" s="1"/>
  <c r="AB99" i="5"/>
  <c r="AC74" i="5"/>
  <c r="AS74" i="5" s="1"/>
  <c r="AC169" i="5"/>
  <c r="AE169" i="5" s="1"/>
  <c r="AB83" i="5"/>
  <c r="AC281" i="5"/>
  <c r="AE281" i="5" s="1"/>
  <c r="AC154" i="5"/>
  <c r="AD154" i="5" s="1"/>
  <c r="AA107" i="5"/>
  <c r="AC146" i="5"/>
  <c r="AS146" i="5" s="1"/>
  <c r="AC98" i="5"/>
  <c r="AD98" i="5" s="1"/>
  <c r="AA559" i="5"/>
  <c r="AB131" i="5"/>
  <c r="AA266" i="5"/>
  <c r="AA204" i="5"/>
  <c r="AC550" i="5"/>
  <c r="AD550" i="5" s="1"/>
  <c r="AA478" i="5"/>
  <c r="AA374" i="5"/>
  <c r="AC11" i="5"/>
  <c r="AA328" i="5"/>
  <c r="AC328" i="5"/>
  <c r="AD328" i="5" s="1"/>
  <c r="AC526" i="5"/>
  <c r="AD526" i="5" s="1"/>
  <c r="AA113" i="5"/>
  <c r="AA500" i="5"/>
  <c r="AA516" i="5"/>
  <c r="AA457" i="5"/>
  <c r="AA541" i="5"/>
  <c r="AB347" i="5"/>
  <c r="AA99" i="5"/>
  <c r="AC273" i="5"/>
  <c r="AE273" i="5" s="1"/>
  <c r="AB74" i="5"/>
  <c r="AA344" i="5"/>
  <c r="AA319" i="5"/>
  <c r="AC107" i="5"/>
  <c r="AD107" i="5" s="1"/>
  <c r="AA146" i="5"/>
  <c r="AB98" i="5"/>
  <c r="AB534" i="5"/>
  <c r="AC139" i="5"/>
  <c r="AE139" i="5" s="1"/>
  <c r="AB419" i="5"/>
  <c r="AC170" i="5"/>
  <c r="AS170" i="5" s="1"/>
  <c r="AB266" i="5"/>
  <c r="AA173" i="5"/>
  <c r="AB96" i="5"/>
  <c r="X102" i="4"/>
  <c r="AJ102" i="4" s="1"/>
  <c r="AC288" i="5"/>
  <c r="AS288" i="5" s="1"/>
  <c r="AB413" i="5"/>
  <c r="AC488" i="5"/>
  <c r="AS488" i="5" s="1"/>
  <c r="AB526" i="5"/>
  <c r="AB113" i="5"/>
  <c r="AB500" i="5"/>
  <c r="AA134" i="5"/>
  <c r="AC457" i="5"/>
  <c r="AD457" i="5" s="1"/>
  <c r="AC71" i="5"/>
  <c r="AE71" i="5" s="1"/>
  <c r="AB541" i="5"/>
  <c r="AE51" i="4"/>
  <c r="AA273" i="5"/>
  <c r="AB344" i="5"/>
  <c r="AC258" i="5"/>
  <c r="AS258" i="5" s="1"/>
  <c r="AC319" i="5"/>
  <c r="AS319" i="5" s="1"/>
  <c r="AB39" i="5"/>
  <c r="AA534" i="5"/>
  <c r="AA198" i="5"/>
  <c r="AB139" i="5"/>
  <c r="AA170" i="5"/>
  <c r="AA345" i="5"/>
  <c r="X9" i="4"/>
  <c r="AJ9" i="4" s="1"/>
  <c r="AC370" i="5"/>
  <c r="AS370" i="5" s="1"/>
  <c r="AB71" i="5"/>
  <c r="AE28" i="4"/>
  <c r="AC39" i="5"/>
  <c r="AE39" i="5" s="1"/>
  <c r="AA519" i="5"/>
  <c r="AB134" i="5"/>
  <c r="AB432" i="5"/>
  <c r="AC100" i="5"/>
  <c r="AS100" i="5" s="1"/>
  <c r="AA238" i="5"/>
  <c r="AA22" i="5"/>
  <c r="AE75" i="4"/>
  <c r="AC85" i="5"/>
  <c r="AS85" i="5" s="1"/>
  <c r="AC235" i="5"/>
  <c r="AE235" i="5" s="1"/>
  <c r="AA444" i="5"/>
  <c r="AC92" i="5"/>
  <c r="AE92" i="5" s="1"/>
  <c r="AC185" i="5"/>
  <c r="AD185" i="5" s="1"/>
  <c r="AA517" i="5"/>
  <c r="AA258" i="5"/>
  <c r="AB370" i="5"/>
  <c r="AC161" i="5"/>
  <c r="AS161" i="5" s="1"/>
  <c r="AA432" i="5"/>
  <c r="AB299" i="5"/>
  <c r="AB22" i="5"/>
  <c r="AB85" i="5"/>
  <c r="AA185" i="5"/>
  <c r="AB238" i="5"/>
  <c r="AA277" i="5"/>
  <c r="AB481" i="5"/>
  <c r="AE9" i="4"/>
  <c r="AG27" i="4"/>
  <c r="AI27" i="4" s="1"/>
  <c r="AO27" i="4"/>
  <c r="AG102" i="4"/>
  <c r="AI102" i="4" s="1"/>
  <c r="AO102" i="4"/>
  <c r="AO19" i="4"/>
  <c r="AG19" i="4"/>
  <c r="AI19" i="4" s="1"/>
  <c r="AF111" i="4"/>
  <c r="AO30" i="4"/>
  <c r="AG30" i="4"/>
  <c r="AI30" i="4" s="1"/>
  <c r="AB466" i="5"/>
  <c r="AC412" i="5"/>
  <c r="AD412" i="5" s="1"/>
  <c r="AB381" i="5"/>
  <c r="AA47" i="5"/>
  <c r="AC464" i="5"/>
  <c r="AS464" i="5" s="1"/>
  <c r="AB248" i="5"/>
  <c r="AA408" i="5"/>
  <c r="AA433" i="5"/>
  <c r="AA349" i="5"/>
  <c r="AB312" i="5"/>
  <c r="AB555" i="5"/>
  <c r="AB443" i="5"/>
  <c r="AA505" i="5"/>
  <c r="AA155" i="5"/>
  <c r="AA512" i="5"/>
  <c r="AC334" i="5"/>
  <c r="AE334" i="5" s="1"/>
  <c r="AA355" i="5"/>
  <c r="AA547" i="5"/>
  <c r="AB451" i="5"/>
  <c r="AB232" i="5"/>
  <c r="AA46" i="5"/>
  <c r="AA420" i="5"/>
  <c r="AB536" i="5"/>
  <c r="AA481" i="5"/>
  <c r="AR210" i="5"/>
  <c r="AQ291" i="5"/>
  <c r="AE63" i="4"/>
  <c r="Y63" i="4"/>
  <c r="Z63" i="4" s="1"/>
  <c r="X23" i="4"/>
  <c r="AJ23" i="4" s="1"/>
  <c r="Y23" i="4"/>
  <c r="Z23" i="4" s="1"/>
  <c r="AE23" i="4"/>
  <c r="AN10" i="5"/>
  <c r="AO10" i="5"/>
  <c r="AE52" i="4"/>
  <c r="X52" i="4"/>
  <c r="AJ52" i="4" s="1"/>
  <c r="Y52" i="4"/>
  <c r="Z52" i="4" s="1"/>
  <c r="AG71" i="4"/>
  <c r="AI71" i="4" s="1"/>
  <c r="AO71" i="4"/>
  <c r="AA466" i="5"/>
  <c r="AA483" i="5"/>
  <c r="AB483" i="5"/>
  <c r="AC84" i="5"/>
  <c r="AD84" i="5" s="1"/>
  <c r="AB412" i="5"/>
  <c r="AC252" i="5"/>
  <c r="AS252" i="5" s="1"/>
  <c r="AB349" i="5"/>
  <c r="AA555" i="5"/>
  <c r="AB505" i="5"/>
  <c r="AB512" i="5"/>
  <c r="AA490" i="5"/>
  <c r="AA451" i="5"/>
  <c r="AA232" i="5"/>
  <c r="AB46" i="5"/>
  <c r="AA520" i="5"/>
  <c r="AA536" i="5"/>
  <c r="Y103" i="4"/>
  <c r="Z103" i="4" s="1"/>
  <c r="AF103" i="4" s="1"/>
  <c r="AO103" i="4" s="1"/>
  <c r="AE103" i="4"/>
  <c r="X103" i="4"/>
  <c r="AJ103" i="4" s="1"/>
  <c r="Y95" i="4"/>
  <c r="Z95" i="4" s="1"/>
  <c r="AE95" i="4"/>
  <c r="X95" i="4"/>
  <c r="AJ95" i="4" s="1"/>
  <c r="U10" i="5"/>
  <c r="V10" i="5"/>
  <c r="AO9" i="4"/>
  <c r="AG9" i="4"/>
  <c r="AI9" i="4" s="1"/>
  <c r="AE126" i="4"/>
  <c r="Y126" i="4"/>
  <c r="Z126" i="4" s="1"/>
  <c r="AE64" i="4"/>
  <c r="Y64" i="4"/>
  <c r="Z64" i="4" s="1"/>
  <c r="AE27" i="4"/>
  <c r="X128" i="4"/>
  <c r="AJ128" i="4" s="1"/>
  <c r="Y128" i="4"/>
  <c r="Z128" i="4" s="1"/>
  <c r="AE128" i="4"/>
  <c r="Y69" i="4"/>
  <c r="Z69" i="4" s="1"/>
  <c r="X69" i="4"/>
  <c r="AJ69" i="4" s="1"/>
  <c r="AE69" i="4"/>
  <c r="X93" i="4"/>
  <c r="AJ93" i="4" s="1"/>
  <c r="AE93" i="4"/>
  <c r="Y93" i="4"/>
  <c r="Z93" i="4" s="1"/>
  <c r="X45" i="4"/>
  <c r="AJ45" i="4" s="1"/>
  <c r="Y45" i="4"/>
  <c r="Z45" i="4" s="1"/>
  <c r="AF45" i="4" s="1"/>
  <c r="AG45" i="4" s="1"/>
  <c r="AI45" i="4" s="1"/>
  <c r="AE45" i="4"/>
  <c r="AE150" i="4"/>
  <c r="Y150" i="4"/>
  <c r="Z150" i="4" s="1"/>
  <c r="X68" i="4"/>
  <c r="AJ68" i="4" s="1"/>
  <c r="AE68" i="4"/>
  <c r="Y68" i="4"/>
  <c r="Z68" i="4" s="1"/>
  <c r="AF68" i="4" s="1"/>
  <c r="AG68" i="4" s="1"/>
  <c r="AI68" i="4" s="1"/>
  <c r="AH10" i="5"/>
  <c r="AI10" i="5"/>
  <c r="AA89" i="5"/>
  <c r="AA308" i="5"/>
  <c r="AA58" i="5"/>
  <c r="AB493" i="5"/>
  <c r="AA423" i="5"/>
  <c r="AA454" i="5"/>
  <c r="AC358" i="5"/>
  <c r="AE358" i="5" s="1"/>
  <c r="AA418" i="5"/>
  <c r="AA395" i="5"/>
  <c r="AB474" i="5"/>
  <c r="AB524" i="5"/>
  <c r="AC527" i="5"/>
  <c r="AE527" i="5" s="1"/>
  <c r="AA489" i="5"/>
  <c r="AA193" i="5"/>
  <c r="AQ181" i="5"/>
  <c r="X38" i="4"/>
  <c r="AJ38" i="4" s="1"/>
  <c r="Y38" i="4"/>
  <c r="Z38" i="4" s="1"/>
  <c r="AE38" i="4"/>
  <c r="X134" i="4"/>
  <c r="AJ134" i="4" s="1"/>
  <c r="Y134" i="4"/>
  <c r="Z134" i="4" s="1"/>
  <c r="AE134" i="4"/>
  <c r="R10" i="5"/>
  <c r="S10" i="5"/>
  <c r="Y137" i="4"/>
  <c r="Z137" i="4" s="1"/>
  <c r="X137" i="4"/>
  <c r="AJ137" i="4" s="1"/>
  <c r="AE137" i="4"/>
  <c r="X44" i="4"/>
  <c r="AK44" i="4" s="1"/>
  <c r="AF70" i="4"/>
  <c r="AE44" i="4"/>
  <c r="AE111" i="4"/>
  <c r="X111" i="4"/>
  <c r="AJ111" i="4" s="1"/>
  <c r="X7" i="4"/>
  <c r="AJ7" i="4" s="1"/>
  <c r="Y7" i="4"/>
  <c r="Z7" i="4" s="1"/>
  <c r="AA286" i="5"/>
  <c r="AB300" i="5"/>
  <c r="AC286" i="5"/>
  <c r="AS286" i="5" s="1"/>
  <c r="AC467" i="5"/>
  <c r="AS467" i="5" s="1"/>
  <c r="AB342" i="5"/>
  <c r="AC89" i="5"/>
  <c r="AD89" i="5" s="1"/>
  <c r="AB439" i="5"/>
  <c r="AB308" i="5"/>
  <c r="AC535" i="5"/>
  <c r="AD535" i="5" s="1"/>
  <c r="AC144" i="5"/>
  <c r="AS144" i="5" s="1"/>
  <c r="AB58" i="5"/>
  <c r="AC397" i="5"/>
  <c r="AS397" i="5" s="1"/>
  <c r="AC493" i="5"/>
  <c r="AD493" i="5" s="1"/>
  <c r="AC454" i="5"/>
  <c r="AS454" i="5" s="1"/>
  <c r="AA324" i="5"/>
  <c r="AA358" i="5"/>
  <c r="AB147" i="5"/>
  <c r="AC418" i="5"/>
  <c r="AD418" i="5" s="1"/>
  <c r="AB395" i="5"/>
  <c r="AB558" i="5"/>
  <c r="AC474" i="5"/>
  <c r="AD474" i="5" s="1"/>
  <c r="AC373" i="5"/>
  <c r="AS373" i="5" s="1"/>
  <c r="AB527" i="5"/>
  <c r="AC489" i="5"/>
  <c r="AS489" i="5" s="1"/>
  <c r="AB446" i="5"/>
  <c r="AC448" i="5"/>
  <c r="AS448" i="5" s="1"/>
  <c r="AC340" i="5"/>
  <c r="AD340" i="5" s="1"/>
  <c r="AB144" i="5"/>
  <c r="AE54" i="4"/>
  <c r="Y54" i="4"/>
  <c r="Z54" i="4" s="1"/>
  <c r="X108" i="4"/>
  <c r="AE35" i="4"/>
  <c r="Y35" i="4"/>
  <c r="Z35" i="4" s="1"/>
  <c r="Y8" i="4"/>
  <c r="Z8" i="4" s="1"/>
  <c r="AE8" i="4"/>
  <c r="X8" i="4"/>
  <c r="AJ8" i="4" s="1"/>
  <c r="X27" i="4"/>
  <c r="AF44" i="4"/>
  <c r="X30" i="4"/>
  <c r="AJ30" i="4" s="1"/>
  <c r="X70" i="4"/>
  <c r="AK70" i="4" s="1"/>
  <c r="AE30" i="4"/>
  <c r="AB34" i="5"/>
  <c r="AA467" i="5"/>
  <c r="AA342" i="5"/>
  <c r="AB485" i="5"/>
  <c r="AC439" i="5"/>
  <c r="AE439" i="5" s="1"/>
  <c r="AB325" i="5"/>
  <c r="AB535" i="5"/>
  <c r="AC367" i="5"/>
  <c r="AE367" i="5" s="1"/>
  <c r="AA415" i="5"/>
  <c r="AA397" i="5"/>
  <c r="AC324" i="5"/>
  <c r="AS324" i="5" s="1"/>
  <c r="AA147" i="5"/>
  <c r="AA558" i="5"/>
  <c r="AB109" i="5"/>
  <c r="AA373" i="5"/>
  <c r="AA446" i="5"/>
  <c r="AB448" i="5"/>
  <c r="AA340" i="5"/>
  <c r="AR94" i="5"/>
  <c r="Y157" i="4"/>
  <c r="Z157" i="4" s="1"/>
  <c r="AE157" i="4"/>
  <c r="AE102" i="4"/>
  <c r="X19" i="4"/>
  <c r="AJ19" i="4" s="1"/>
  <c r="X127" i="4"/>
  <c r="AJ127" i="4" s="1"/>
  <c r="AA184" i="5"/>
  <c r="AC485" i="5"/>
  <c r="AS485" i="5" s="1"/>
  <c r="AA325" i="5"/>
  <c r="AC47" i="5"/>
  <c r="AE47" i="5" s="1"/>
  <c r="AB367" i="5"/>
  <c r="AC415" i="5"/>
  <c r="AE415" i="5" s="1"/>
  <c r="AB464" i="5"/>
  <c r="AC408" i="5"/>
  <c r="AS408" i="5" s="1"/>
  <c r="AC312" i="5"/>
  <c r="AS312" i="5" s="1"/>
  <c r="AC443" i="5"/>
  <c r="AE443" i="5" s="1"/>
  <c r="AC109" i="5"/>
  <c r="AS109" i="5" s="1"/>
  <c r="AC547" i="5"/>
  <c r="AE547" i="5" s="1"/>
  <c r="AE43" i="4"/>
  <c r="AA81" i="5"/>
  <c r="Y77" i="4"/>
  <c r="Z77" i="4" s="1"/>
  <c r="AE77" i="4"/>
  <c r="AE86" i="4"/>
  <c r="X86" i="4"/>
  <c r="AJ86" i="4" s="1"/>
  <c r="Y86" i="4"/>
  <c r="Z86" i="4" s="1"/>
  <c r="AE19" i="4"/>
  <c r="AB184" i="5"/>
  <c r="AB81" i="5"/>
  <c r="X63" i="4"/>
  <c r="AJ63" i="4" s="1"/>
  <c r="AF123" i="4"/>
  <c r="X10" i="5"/>
  <c r="Y10" i="5"/>
  <c r="Y116" i="4"/>
  <c r="Z116" i="4" s="1"/>
  <c r="AE116" i="4"/>
  <c r="X100" i="4"/>
  <c r="AJ100" i="4" s="1"/>
  <c r="AE100" i="4"/>
  <c r="Y100" i="4"/>
  <c r="Z100" i="4" s="1"/>
  <c r="X71" i="4"/>
  <c r="AJ71" i="4" s="1"/>
  <c r="AG40" i="4"/>
  <c r="AI40" i="4" s="1"/>
  <c r="AO40" i="4"/>
  <c r="X47" i="4"/>
  <c r="AJ47" i="4" s="1"/>
  <c r="Y47" i="4"/>
  <c r="Z47" i="4" s="1"/>
  <c r="AE47" i="4"/>
  <c r="X116" i="4"/>
  <c r="AC192" i="5"/>
  <c r="AS192" i="5" s="1"/>
  <c r="AB242" i="5"/>
  <c r="AC549" i="5"/>
  <c r="AD549" i="5" s="1"/>
  <c r="AA145" i="5"/>
  <c r="AB145" i="5"/>
  <c r="AC149" i="5"/>
  <c r="AS149" i="5" s="1"/>
  <c r="AA264" i="5"/>
  <c r="AA528" i="5"/>
  <c r="AB51" i="5"/>
  <c r="AA476" i="5"/>
  <c r="AA33" i="5"/>
  <c r="AC445" i="5"/>
  <c r="AS445" i="5" s="1"/>
  <c r="AA553" i="5"/>
  <c r="AB24" i="5"/>
  <c r="AA398" i="5"/>
  <c r="AC88" i="5"/>
  <c r="AE88" i="5" s="1"/>
  <c r="AC368" i="5"/>
  <c r="AD368" i="5" s="1"/>
  <c r="AB406" i="5"/>
  <c r="AA497" i="5"/>
  <c r="AA136" i="5"/>
  <c r="AC431" i="5"/>
  <c r="AD431" i="5" s="1"/>
  <c r="AC519" i="5"/>
  <c r="AD519" i="5" s="1"/>
  <c r="AB191" i="5"/>
  <c r="AC484" i="5"/>
  <c r="AS484" i="5" s="1"/>
  <c r="AC461" i="5"/>
  <c r="AS461" i="5" s="1"/>
  <c r="AC207" i="5"/>
  <c r="AD207" i="5" s="1"/>
  <c r="AB41" i="5"/>
  <c r="AC538" i="5"/>
  <c r="AS538" i="5" s="1"/>
  <c r="AB200" i="5"/>
  <c r="AA314" i="5"/>
  <c r="AC61" i="5"/>
  <c r="AD61" i="5" s="1"/>
  <c r="AB215" i="5"/>
  <c r="AC87" i="5"/>
  <c r="AS87" i="5" s="1"/>
  <c r="AA67" i="5"/>
  <c r="AA126" i="5"/>
  <c r="AB384" i="5"/>
  <c r="AC503" i="5"/>
  <c r="AE503" i="5" s="1"/>
  <c r="AB264" i="5"/>
  <c r="AA153" i="5"/>
  <c r="AB110" i="5"/>
  <c r="AB316" i="5"/>
  <c r="AB437" i="5"/>
  <c r="AA148" i="5"/>
  <c r="AB476" i="5"/>
  <c r="AB33" i="5"/>
  <c r="AA138" i="5"/>
  <c r="AB76" i="5"/>
  <c r="AA24" i="5"/>
  <c r="AB88" i="5"/>
  <c r="AC510" i="5"/>
  <c r="AD510" i="5" s="1"/>
  <c r="AC545" i="5"/>
  <c r="AD545" i="5" s="1"/>
  <c r="AB459" i="5"/>
  <c r="AB40" i="5"/>
  <c r="AC91" i="5"/>
  <c r="AS91" i="5" s="1"/>
  <c r="AB136" i="5"/>
  <c r="AC191" i="5"/>
  <c r="AE191" i="5" s="1"/>
  <c r="AA484" i="5"/>
  <c r="AA461" i="5"/>
  <c r="AA207" i="5"/>
  <c r="AC276" i="5"/>
  <c r="AD276" i="5" s="1"/>
  <c r="AA538" i="5"/>
  <c r="AB173" i="5"/>
  <c r="AB388" i="5"/>
  <c r="AB126" i="5"/>
  <c r="B112" i="2"/>
  <c r="B154" i="2" s="1"/>
  <c r="H40" i="1" s="1"/>
  <c r="AB9" i="5"/>
  <c r="AA9" i="5"/>
  <c r="AC9" i="5"/>
  <c r="AC118" i="5"/>
  <c r="AS118" i="5" s="1"/>
  <c r="AB219" i="5"/>
  <c r="AC212" i="5"/>
  <c r="AS212" i="5" s="1"/>
  <c r="AA503" i="5"/>
  <c r="AA549" i="5"/>
  <c r="AC531" i="5"/>
  <c r="AD531" i="5" s="1"/>
  <c r="AB350" i="5"/>
  <c r="AC487" i="5"/>
  <c r="AD487" i="5" s="1"/>
  <c r="AA422" i="5"/>
  <c r="AA482" i="5"/>
  <c r="AA468" i="5"/>
  <c r="AA479" i="5"/>
  <c r="AA518" i="5"/>
  <c r="AB530" i="5"/>
  <c r="AA515" i="5"/>
  <c r="AC256" i="5"/>
  <c r="AS256" i="5" s="1"/>
  <c r="AA531" i="5"/>
  <c r="AC557" i="5"/>
  <c r="AS557" i="5" s="1"/>
  <c r="AA364" i="5"/>
  <c r="AC372" i="5"/>
  <c r="AE372" i="5" s="1"/>
  <c r="AB479" i="5"/>
  <c r="AA192" i="5"/>
  <c r="AC242" i="5"/>
  <c r="AD242" i="5" s="1"/>
  <c r="AB507" i="5"/>
  <c r="AA75" i="5"/>
  <c r="AC130" i="5"/>
  <c r="AS130" i="5" s="1"/>
  <c r="AB557" i="5"/>
  <c r="AC554" i="5"/>
  <c r="AS554" i="5" s="1"/>
  <c r="AB216" i="5"/>
  <c r="AA35" i="5"/>
  <c r="AB482" i="5"/>
  <c r="AA250" i="5"/>
  <c r="AC364" i="5"/>
  <c r="AE364" i="5" s="1"/>
  <c r="AA57" i="5"/>
  <c r="AA372" i="5"/>
  <c r="AC389" i="5"/>
  <c r="AE389" i="5" s="1"/>
  <c r="AA212" i="5"/>
  <c r="AB285" i="5"/>
  <c r="AB389" i="5"/>
  <c r="AA285" i="5"/>
  <c r="AA257" i="5"/>
  <c r="AB528" i="5"/>
  <c r="AC507" i="5"/>
  <c r="AD507" i="5" s="1"/>
  <c r="AB75" i="5"/>
  <c r="AB130" i="5"/>
  <c r="AC51" i="5"/>
  <c r="AE51" i="5" s="1"/>
  <c r="AB554" i="5"/>
  <c r="AA216" i="5"/>
  <c r="AB398" i="5"/>
  <c r="B118" i="2"/>
  <c r="B99" i="2" s="1"/>
  <c r="B119" i="2" s="1"/>
  <c r="AB35" i="5"/>
  <c r="AC497" i="5"/>
  <c r="AE497" i="5" s="1"/>
  <c r="AC41" i="5"/>
  <c r="AD41" i="5" s="1"/>
  <c r="AC57" i="5"/>
  <c r="AD57" i="5" s="1"/>
  <c r="AC215" i="5"/>
  <c r="AS215" i="5" s="1"/>
  <c r="AB257" i="5"/>
  <c r="AA200" i="5"/>
  <c r="AE92" i="4"/>
  <c r="AE136" i="4"/>
  <c r="AE49" i="4"/>
  <c r="X99" i="4"/>
  <c r="AJ99" i="4" s="1"/>
  <c r="X74" i="4"/>
  <c r="AJ74" i="4" s="1"/>
  <c r="AE55" i="4"/>
  <c r="X151" i="4"/>
  <c r="AJ151" i="4" s="1"/>
  <c r="AE106" i="4"/>
  <c r="AE53" i="4"/>
  <c r="B115" i="2"/>
  <c r="B96" i="2" s="1"/>
  <c r="B116" i="2" s="1"/>
  <c r="X81" i="4"/>
  <c r="AJ81" i="4" s="1"/>
  <c r="AE87" i="4"/>
  <c r="X117" i="4"/>
  <c r="AJ117" i="4" s="1"/>
  <c r="X75" i="4"/>
  <c r="AJ75" i="4" s="1"/>
  <c r="AE147" i="4"/>
  <c r="X80" i="4"/>
  <c r="AJ80" i="4" s="1"/>
  <c r="X124" i="4"/>
  <c r="AJ124" i="4" s="1"/>
  <c r="X122" i="4"/>
  <c r="AJ122" i="4" s="1"/>
  <c r="AE114" i="4"/>
  <c r="AF85" i="4"/>
  <c r="AG85" i="4" s="1"/>
  <c r="AI85" i="4" s="1"/>
  <c r="AE50" i="4"/>
  <c r="AE13" i="4"/>
  <c r="X65" i="4"/>
  <c r="AJ65" i="4" s="1"/>
  <c r="X82" i="4"/>
  <c r="AJ82" i="4" s="1"/>
  <c r="X13" i="4"/>
  <c r="AJ13" i="4" s="1"/>
  <c r="AE36" i="4"/>
  <c r="AE89" i="4"/>
  <c r="X85" i="4"/>
  <c r="AJ85" i="4" s="1"/>
  <c r="X89" i="4"/>
  <c r="AJ89" i="4" s="1"/>
  <c r="AE120" i="4"/>
  <c r="X51" i="4"/>
  <c r="AJ51" i="4" s="1"/>
  <c r="AF75" i="4"/>
  <c r="AO75" i="4" s="1"/>
  <c r="AF17" i="4"/>
  <c r="AG17" i="4" s="1"/>
  <c r="AI17" i="4" s="1"/>
  <c r="AF139" i="4"/>
  <c r="AO139" i="4" s="1"/>
  <c r="AF97" i="4"/>
  <c r="AO97" i="4" s="1"/>
  <c r="AF49" i="4"/>
  <c r="AO49" i="4" s="1"/>
  <c r="AF81" i="4"/>
  <c r="AG81" i="4" s="1"/>
  <c r="AI81" i="4" s="1"/>
  <c r="AF114" i="4"/>
  <c r="AO114" i="4" s="1"/>
  <c r="X41" i="4"/>
  <c r="AK41" i="4" s="1"/>
  <c r="AE97" i="4"/>
  <c r="X153" i="4"/>
  <c r="AJ153" i="4" s="1"/>
  <c r="X92" i="4"/>
  <c r="AJ92" i="4" s="1"/>
  <c r="X114" i="4"/>
  <c r="AJ114" i="4" s="1"/>
  <c r="AE117" i="4"/>
  <c r="AE41" i="4"/>
  <c r="AE17" i="4"/>
  <c r="AE33" i="4"/>
  <c r="AE60" i="4"/>
  <c r="AE113" i="4"/>
  <c r="X104" i="4"/>
  <c r="AK104" i="4" s="1"/>
  <c r="X25" i="4"/>
  <c r="AK25" i="4" s="1"/>
  <c r="X138" i="4"/>
  <c r="AJ138" i="4" s="1"/>
  <c r="X55" i="4"/>
  <c r="AJ55" i="4" s="1"/>
  <c r="AE80" i="4"/>
  <c r="X97" i="4"/>
  <c r="AJ97" i="4" s="1"/>
  <c r="X120" i="4"/>
  <c r="AJ120" i="4" s="1"/>
  <c r="AA98" i="4"/>
  <c r="AC98" i="4" s="1"/>
  <c r="AD98" i="4" s="1"/>
  <c r="AE151" i="4"/>
  <c r="X136" i="4"/>
  <c r="AJ136" i="4" s="1"/>
  <c r="Z120" i="4"/>
  <c r="Z60" i="4"/>
  <c r="AF60" i="4" s="1"/>
  <c r="X17" i="4"/>
  <c r="AJ17" i="4" s="1"/>
  <c r="B76" i="2"/>
  <c r="X113" i="4"/>
  <c r="AJ113" i="4" s="1"/>
  <c r="AG98" i="4"/>
  <c r="AI98" i="4" s="1"/>
  <c r="AO98" i="4"/>
  <c r="AG151" i="4"/>
  <c r="AI151" i="4" s="1"/>
  <c r="AO151" i="4"/>
  <c r="AF16" i="4"/>
  <c r="AG74" i="4"/>
  <c r="AI74" i="4" s="1"/>
  <c r="AO74" i="4"/>
  <c r="AG89" i="4"/>
  <c r="AI89" i="4" s="1"/>
  <c r="AO89" i="4"/>
  <c r="AG25" i="4"/>
  <c r="AI25" i="4" s="1"/>
  <c r="AO25" i="4"/>
  <c r="AG82" i="4"/>
  <c r="AI82" i="4" s="1"/>
  <c r="AO82" i="4"/>
  <c r="AF80" i="4"/>
  <c r="AF11" i="4"/>
  <c r="AG78" i="4"/>
  <c r="AI78" i="4" s="1"/>
  <c r="AO78" i="4"/>
  <c r="AQ484" i="5"/>
  <c r="AR484" i="5"/>
  <c r="AQ500" i="5"/>
  <c r="AR500" i="5"/>
  <c r="AR347" i="5"/>
  <c r="AQ347" i="5"/>
  <c r="AQ341" i="5"/>
  <c r="AR341" i="5"/>
  <c r="AG106" i="4"/>
  <c r="AI106" i="4" s="1"/>
  <c r="AO106" i="4"/>
  <c r="AQ409" i="5"/>
  <c r="AR409" i="5"/>
  <c r="AR61" i="5"/>
  <c r="AQ61" i="5"/>
  <c r="B81" i="2"/>
  <c r="B82" i="2" s="1"/>
  <c r="H22" i="1" s="1"/>
  <c r="AR102" i="5"/>
  <c r="AQ102" i="5"/>
  <c r="AR120" i="5"/>
  <c r="AQ120" i="5"/>
  <c r="X32" i="4"/>
  <c r="AQ53" i="5"/>
  <c r="AR53" i="5"/>
  <c r="AR515" i="5"/>
  <c r="AQ515" i="5"/>
  <c r="AQ293" i="5"/>
  <c r="AR293" i="5"/>
  <c r="AR559" i="5"/>
  <c r="AQ559" i="5"/>
  <c r="AE131" i="4"/>
  <c r="AR8" i="5"/>
  <c r="AQ8" i="5"/>
  <c r="AQ223" i="5"/>
  <c r="AR223" i="5"/>
  <c r="AF156" i="4"/>
  <c r="AQ200" i="5"/>
  <c r="AR200" i="5"/>
  <c r="AQ519" i="5"/>
  <c r="AR519" i="5"/>
  <c r="AQ106" i="5"/>
  <c r="AR106" i="5"/>
  <c r="AQ289" i="5"/>
  <c r="AR289" i="5"/>
  <c r="AR235" i="5"/>
  <c r="AQ235" i="5"/>
  <c r="AQ343" i="5"/>
  <c r="AR343" i="5"/>
  <c r="AR456" i="5"/>
  <c r="AQ456" i="5"/>
  <c r="AQ96" i="5"/>
  <c r="AR96" i="5"/>
  <c r="X106" i="4"/>
  <c r="AA106" i="4" s="1"/>
  <c r="AC106" i="4" s="1"/>
  <c r="AD106" i="4" s="1"/>
  <c r="AE85" i="4"/>
  <c r="AQ203" i="5"/>
  <c r="AR203" i="5"/>
  <c r="AR553" i="5"/>
  <c r="AQ553" i="5"/>
  <c r="AR151" i="5"/>
  <c r="AQ151" i="5"/>
  <c r="AQ424" i="5"/>
  <c r="AR424" i="5"/>
  <c r="AQ464" i="5"/>
  <c r="AR464" i="5"/>
  <c r="AQ320" i="5"/>
  <c r="AR320" i="5"/>
  <c r="AQ504" i="5"/>
  <c r="AR504" i="5"/>
  <c r="AQ137" i="5"/>
  <c r="AR137" i="5"/>
  <c r="AQ393" i="5"/>
  <c r="AR393" i="5"/>
  <c r="AR391" i="5"/>
  <c r="AQ391" i="5"/>
  <c r="AR268" i="5"/>
  <c r="AQ268" i="5"/>
  <c r="AQ400" i="5"/>
  <c r="AR400" i="5"/>
  <c r="AF154" i="4"/>
  <c r="AE48" i="4"/>
  <c r="AR303" i="5"/>
  <c r="AQ303" i="5"/>
  <c r="AQ32" i="5"/>
  <c r="AR32" i="5"/>
  <c r="AR523" i="5"/>
  <c r="AQ523" i="5"/>
  <c r="AF13" i="4"/>
  <c r="AR242" i="5"/>
  <c r="AQ242" i="5"/>
  <c r="AE459" i="5"/>
  <c r="AS459" i="5"/>
  <c r="X119" i="4"/>
  <c r="AA119" i="4" s="1"/>
  <c r="AC119" i="4" s="1"/>
  <c r="AD119" i="4" s="1"/>
  <c r="X48" i="4"/>
  <c r="X49" i="4"/>
  <c r="AA49" i="4" s="1"/>
  <c r="AC49" i="4" s="1"/>
  <c r="AD49" i="4" s="1"/>
  <c r="AQ538" i="5"/>
  <c r="AR538" i="5"/>
  <c r="AQ505" i="5"/>
  <c r="AR505" i="5"/>
  <c r="AQ408" i="5"/>
  <c r="AR408" i="5"/>
  <c r="AQ468" i="5"/>
  <c r="AR468" i="5"/>
  <c r="AQ208" i="5"/>
  <c r="AR208" i="5"/>
  <c r="AE11" i="4"/>
  <c r="AR508" i="5"/>
  <c r="AQ508" i="5"/>
  <c r="AR532" i="5"/>
  <c r="AQ532" i="5"/>
  <c r="AR443" i="5"/>
  <c r="AQ443" i="5"/>
  <c r="AE153" i="4"/>
  <c r="AF33" i="4"/>
  <c r="AS371" i="5"/>
  <c r="AD371" i="5"/>
  <c r="AQ480" i="5"/>
  <c r="AR480" i="5"/>
  <c r="AR111" i="5"/>
  <c r="AQ111" i="5"/>
  <c r="AQ180" i="5"/>
  <c r="AR180" i="5"/>
  <c r="AR503" i="5"/>
  <c r="AQ503" i="5"/>
  <c r="AQ156" i="5"/>
  <c r="AR156" i="5"/>
  <c r="AR99" i="5"/>
  <c r="AQ99" i="5"/>
  <c r="AQ358" i="5"/>
  <c r="AR358" i="5"/>
  <c r="AQ439" i="5"/>
  <c r="AR439" i="5"/>
  <c r="AQ509" i="5"/>
  <c r="AR509" i="5"/>
  <c r="AQ230" i="5"/>
  <c r="AR230" i="5"/>
  <c r="AD221" i="5"/>
  <c r="AE221" i="5"/>
  <c r="AR115" i="5"/>
  <c r="AQ115" i="5"/>
  <c r="AQ256" i="5"/>
  <c r="AR256" i="5"/>
  <c r="AR546" i="5"/>
  <c r="AQ546" i="5"/>
  <c r="AQ207" i="5"/>
  <c r="AR207" i="5"/>
  <c r="AE90" i="4"/>
  <c r="AQ466" i="5"/>
  <c r="AR466" i="5"/>
  <c r="Y13" i="5"/>
  <c r="X13" i="5"/>
  <c r="AO112" i="4"/>
  <c r="AG112" i="4"/>
  <c r="AI112" i="4" s="1"/>
  <c r="AS512" i="5"/>
  <c r="AD512" i="5"/>
  <c r="AE512" i="5"/>
  <c r="AR265" i="5"/>
  <c r="AQ265" i="5"/>
  <c r="AR107" i="5"/>
  <c r="AQ107" i="5"/>
  <c r="AQ367" i="5"/>
  <c r="AR367" i="5"/>
  <c r="AR286" i="5"/>
  <c r="AQ286" i="5"/>
  <c r="AQ228" i="5"/>
  <c r="AR228" i="5"/>
  <c r="AR266" i="5"/>
  <c r="AQ266" i="5"/>
  <c r="AR248" i="5"/>
  <c r="AQ248" i="5"/>
  <c r="AR168" i="5"/>
  <c r="AQ168" i="5"/>
  <c r="AR427" i="5"/>
  <c r="AQ427" i="5"/>
  <c r="AG36" i="4"/>
  <c r="AI36" i="4" s="1"/>
  <c r="AO36" i="4"/>
  <c r="AQ399" i="5"/>
  <c r="AR399" i="5"/>
  <c r="AR164" i="5"/>
  <c r="AQ164" i="5"/>
  <c r="AQ329" i="5"/>
  <c r="AR329" i="5"/>
  <c r="AR63" i="5"/>
  <c r="AQ63" i="5"/>
  <c r="AR123" i="5"/>
  <c r="AQ123" i="5"/>
  <c r="AS206" i="5"/>
  <c r="AE206" i="5"/>
  <c r="AD206" i="5"/>
  <c r="AQ534" i="5"/>
  <c r="AR534" i="5"/>
  <c r="AR376" i="5"/>
  <c r="AQ376" i="5"/>
  <c r="AR28" i="5"/>
  <c r="AQ28" i="5"/>
  <c r="AQ526" i="5"/>
  <c r="AR526" i="5"/>
  <c r="AQ472" i="5"/>
  <c r="AR472" i="5"/>
  <c r="AR275" i="5"/>
  <c r="AQ275" i="5"/>
  <c r="AR198" i="5"/>
  <c r="AQ198" i="5"/>
  <c r="AG136" i="4"/>
  <c r="AI136" i="4" s="1"/>
  <c r="AO136" i="4"/>
  <c r="AQ482" i="5"/>
  <c r="AR482" i="5"/>
  <c r="AQ75" i="5"/>
  <c r="AR75" i="5"/>
  <c r="AQ170" i="5"/>
  <c r="AR170" i="5"/>
  <c r="AQ139" i="5"/>
  <c r="AR139" i="5"/>
  <c r="AG41" i="4"/>
  <c r="AI41" i="4" s="1"/>
  <c r="AO41" i="4"/>
  <c r="AQ529" i="5"/>
  <c r="AR529" i="5"/>
  <c r="AE115" i="4"/>
  <c r="AQ403" i="5"/>
  <c r="AR403" i="5"/>
  <c r="AR389" i="5"/>
  <c r="AQ389" i="5"/>
  <c r="AR352" i="5"/>
  <c r="AQ352" i="5"/>
  <c r="AR555" i="5"/>
  <c r="AQ555" i="5"/>
  <c r="AR366" i="5"/>
  <c r="AQ366" i="5"/>
  <c r="AF29" i="4"/>
  <c r="X156" i="4"/>
  <c r="AA156" i="4" s="1"/>
  <c r="AC156" i="4" s="1"/>
  <c r="AD156" i="4" s="1"/>
  <c r="AQ458" i="5"/>
  <c r="AR458" i="5"/>
  <c r="AQ297" i="5"/>
  <c r="AR297" i="5"/>
  <c r="AQ84" i="5"/>
  <c r="AR84" i="5"/>
  <c r="AQ249" i="5"/>
  <c r="AR249" i="5"/>
  <c r="AR27" i="5"/>
  <c r="AQ27" i="5"/>
  <c r="AQ271" i="5"/>
  <c r="AR271" i="5"/>
  <c r="X16" i="4"/>
  <c r="AJ16" i="4" s="1"/>
  <c r="AQ294" i="5"/>
  <c r="AR294" i="5"/>
  <c r="AE81" i="4"/>
  <c r="AR149" i="5"/>
  <c r="AQ149" i="5"/>
  <c r="AR197" i="5"/>
  <c r="AQ197" i="5"/>
  <c r="AR52" i="5"/>
  <c r="AQ52" i="5"/>
  <c r="AQ373" i="5"/>
  <c r="AR373" i="5"/>
  <c r="AQ469" i="5"/>
  <c r="AR469" i="5"/>
  <c r="AG87" i="4"/>
  <c r="AI87" i="4" s="1"/>
  <c r="AE29" i="4"/>
  <c r="AR253" i="5"/>
  <c r="AQ253" i="5"/>
  <c r="AR100" i="5"/>
  <c r="AQ100" i="5"/>
  <c r="AL13" i="5"/>
  <c r="AK13" i="5"/>
  <c r="AQ76" i="5"/>
  <c r="AR76" i="5"/>
  <c r="AF153" i="4"/>
  <c r="AR224" i="5"/>
  <c r="AQ224" i="5"/>
  <c r="AQ55" i="5"/>
  <c r="AR55" i="5"/>
  <c r="AQ336" i="5"/>
  <c r="AR336" i="5"/>
  <c r="AR288" i="5"/>
  <c r="AQ288" i="5"/>
  <c r="AF50" i="4"/>
  <c r="AE107" i="4"/>
  <c r="AR85" i="5"/>
  <c r="AQ85" i="5"/>
  <c r="AR501" i="5"/>
  <c r="AQ501" i="5"/>
  <c r="X53" i="4"/>
  <c r="AA53" i="4" s="1"/>
  <c r="AC53" i="4" s="1"/>
  <c r="AD53" i="4" s="1"/>
  <c r="AQ251" i="5"/>
  <c r="AR251" i="5"/>
  <c r="AQ236" i="5"/>
  <c r="AR236" i="5"/>
  <c r="AR243" i="5"/>
  <c r="AQ243" i="5"/>
  <c r="AR471" i="5"/>
  <c r="AQ471" i="5"/>
  <c r="AQ435" i="5"/>
  <c r="AR435" i="5"/>
  <c r="AQ213" i="5"/>
  <c r="AR213" i="5"/>
  <c r="AQ513" i="5"/>
  <c r="AR513" i="5"/>
  <c r="AE32" i="4"/>
  <c r="AR334" i="5"/>
  <c r="AQ334" i="5"/>
  <c r="AQ395" i="5"/>
  <c r="AR395" i="5"/>
  <c r="AO13" i="5"/>
  <c r="AN13" i="5"/>
  <c r="AQ323" i="5"/>
  <c r="AR323" i="5"/>
  <c r="AO53" i="4"/>
  <c r="AG53" i="4"/>
  <c r="AI53" i="4" s="1"/>
  <c r="AR292" i="5"/>
  <c r="AQ292" i="5"/>
  <c r="AQ499" i="5"/>
  <c r="AR499" i="5"/>
  <c r="Z32" i="4"/>
  <c r="AQ33" i="5"/>
  <c r="AR33" i="5"/>
  <c r="AR331" i="5"/>
  <c r="AQ331" i="5"/>
  <c r="AQ537" i="5"/>
  <c r="AR537" i="5"/>
  <c r="AQ91" i="5"/>
  <c r="AR91" i="5"/>
  <c r="AQ161" i="5"/>
  <c r="AR161" i="5"/>
  <c r="AQ163" i="5"/>
  <c r="AR163" i="5"/>
  <c r="AQ272" i="5"/>
  <c r="AR272" i="5"/>
  <c r="AR31" i="5"/>
  <c r="AQ31" i="5"/>
  <c r="AQ349" i="5"/>
  <c r="AR349" i="5"/>
  <c r="AQ206" i="5"/>
  <c r="AR206" i="5"/>
  <c r="AR425" i="5"/>
  <c r="AQ425" i="5"/>
  <c r="AS264" i="5"/>
  <c r="AQ195" i="5"/>
  <c r="AR195" i="5"/>
  <c r="AQ29" i="5"/>
  <c r="AR29" i="5"/>
  <c r="AR108" i="5"/>
  <c r="AQ108" i="5"/>
  <c r="AR41" i="5"/>
  <c r="AQ41" i="5"/>
  <c r="AF56" i="4"/>
  <c r="X110" i="4"/>
  <c r="AA110" i="4" s="1"/>
  <c r="AC110" i="4" s="1"/>
  <c r="AD110" i="4" s="1"/>
  <c r="X121" i="4"/>
  <c r="AA121" i="4" s="1"/>
  <c r="AC121" i="4" s="1"/>
  <c r="AD121" i="4" s="1"/>
  <c r="X115" i="4"/>
  <c r="AF107" i="4"/>
  <c r="AR449" i="5"/>
  <c r="AQ449" i="5"/>
  <c r="AQ473" i="5"/>
  <c r="AR473" i="5"/>
  <c r="AQ136" i="5"/>
  <c r="AR136" i="5"/>
  <c r="AQ441" i="5"/>
  <c r="AR441" i="5"/>
  <c r="AQ361" i="5"/>
  <c r="AR361" i="5"/>
  <c r="AQ430" i="5"/>
  <c r="AR430" i="5"/>
  <c r="AR113" i="5"/>
  <c r="AQ113" i="5"/>
  <c r="AR240" i="5"/>
  <c r="AQ240" i="5"/>
  <c r="AQ285" i="5"/>
  <c r="AR285" i="5"/>
  <c r="AQ263" i="5"/>
  <c r="AR263" i="5"/>
  <c r="AR154" i="5"/>
  <c r="AQ154" i="5"/>
  <c r="AQ124" i="5"/>
  <c r="AR124" i="5"/>
  <c r="X11" i="4"/>
  <c r="AJ11" i="4" s="1"/>
  <c r="AR40" i="5"/>
  <c r="AQ40" i="5"/>
  <c r="Z131" i="4"/>
  <c r="AF131" i="4" s="1"/>
  <c r="AR363" i="5"/>
  <c r="AQ363" i="5"/>
  <c r="AB13" i="5"/>
  <c r="AA13" i="5"/>
  <c r="AQ549" i="5"/>
  <c r="AR549" i="5"/>
  <c r="X146" i="4"/>
  <c r="AA146" i="4" s="1"/>
  <c r="AC146" i="4" s="1"/>
  <c r="AD146" i="4" s="1"/>
  <c r="AE104" i="4"/>
  <c r="AQ446" i="5"/>
  <c r="AR446" i="5"/>
  <c r="AR543" i="5"/>
  <c r="AQ543" i="5"/>
  <c r="AF138" i="4"/>
  <c r="AF122" i="4"/>
  <c r="AE124" i="4"/>
  <c r="AQ414" i="5"/>
  <c r="AR414" i="5"/>
  <c r="AQ407" i="5"/>
  <c r="AR407" i="5"/>
  <c r="AR215" i="5"/>
  <c r="AQ215" i="5"/>
  <c r="AE154" i="4"/>
  <c r="AQ431" i="5"/>
  <c r="AR431" i="5"/>
  <c r="AR7" i="5"/>
  <c r="AQ7" i="5"/>
  <c r="Z90" i="4"/>
  <c r="AF90" i="4" s="1"/>
  <c r="AR369" i="5"/>
  <c r="AQ369" i="5"/>
  <c r="AR177" i="5"/>
  <c r="AQ177" i="5"/>
  <c r="AR46" i="5"/>
  <c r="AQ46" i="5"/>
  <c r="AR80" i="5"/>
  <c r="AQ80" i="5"/>
  <c r="AQ362" i="5"/>
  <c r="AR362" i="5"/>
  <c r="AE65" i="4"/>
  <c r="AR411" i="5"/>
  <c r="AQ411" i="5"/>
  <c r="AQ97" i="5"/>
  <c r="AR97" i="5"/>
  <c r="AQ90" i="5"/>
  <c r="AR90" i="5"/>
  <c r="AQ19" i="5"/>
  <c r="AR19" i="5"/>
  <c r="AR308" i="5"/>
  <c r="AQ308" i="5"/>
  <c r="AQ188" i="5"/>
  <c r="AR188" i="5"/>
  <c r="AE110" i="4"/>
  <c r="AR121" i="5"/>
  <c r="AQ121" i="5"/>
  <c r="AQ241" i="5"/>
  <c r="AR241" i="5"/>
  <c r="X42" i="4"/>
  <c r="AQ311" i="5"/>
  <c r="AR311" i="5"/>
  <c r="AR193" i="5"/>
  <c r="AQ193" i="5"/>
  <c r="AQ445" i="5"/>
  <c r="AR445" i="5"/>
  <c r="S13" i="5"/>
  <c r="R13" i="5"/>
  <c r="AD522" i="5"/>
  <c r="AS522" i="5"/>
  <c r="AE522" i="5"/>
  <c r="AQ269" i="5"/>
  <c r="AR269" i="5"/>
  <c r="AQ209" i="5"/>
  <c r="AR209" i="5"/>
  <c r="AQ433" i="5"/>
  <c r="AR433" i="5"/>
  <c r="AQ412" i="5"/>
  <c r="AR412" i="5"/>
  <c r="Z48" i="4"/>
  <c r="AF48" i="4" s="1"/>
  <c r="AR12" i="5"/>
  <c r="AQ12" i="5"/>
  <c r="AQ322" i="5"/>
  <c r="AR322" i="5"/>
  <c r="AR514" i="5"/>
  <c r="AQ514" i="5"/>
  <c r="AS525" i="5"/>
  <c r="AE112" i="4"/>
  <c r="AE78" i="4"/>
  <c r="AF55" i="4"/>
  <c r="Z113" i="4"/>
  <c r="AF113" i="4" s="1"/>
  <c r="AR152" i="5"/>
  <c r="AQ152" i="5"/>
  <c r="AQ95" i="5"/>
  <c r="AR95" i="5"/>
  <c r="AR479" i="5"/>
  <c r="AQ479" i="5"/>
  <c r="AQ502" i="5"/>
  <c r="AR502" i="5"/>
  <c r="AQ518" i="5"/>
  <c r="AR518" i="5"/>
  <c r="AQ167" i="5"/>
  <c r="AR167" i="5"/>
  <c r="AE42" i="4"/>
  <c r="AF28" i="4"/>
  <c r="AQ442" i="5"/>
  <c r="AR442" i="5"/>
  <c r="AQ59" i="5"/>
  <c r="AR59" i="5"/>
  <c r="AR277" i="5"/>
  <c r="AQ277" i="5"/>
  <c r="AD523" i="5"/>
  <c r="AQ221" i="5"/>
  <c r="AR221" i="5"/>
  <c r="AQ310" i="5"/>
  <c r="AR310" i="5"/>
  <c r="AQ204" i="5"/>
  <c r="AR204" i="5"/>
  <c r="AR375" i="5"/>
  <c r="AQ375" i="5"/>
  <c r="AR507" i="5"/>
  <c r="AQ507" i="5"/>
  <c r="AQ191" i="5"/>
  <c r="AR191" i="5"/>
  <c r="AR298" i="5"/>
  <c r="AQ298" i="5"/>
  <c r="AQ357" i="5"/>
  <c r="AR357" i="5"/>
  <c r="AR309" i="5"/>
  <c r="AQ309" i="5"/>
  <c r="AQ478" i="5"/>
  <c r="AR478" i="5"/>
  <c r="AR89" i="5"/>
  <c r="AQ89" i="5"/>
  <c r="AR174" i="5"/>
  <c r="AQ174" i="5"/>
  <c r="AE56" i="4"/>
  <c r="AR385" i="5"/>
  <c r="AQ385" i="5"/>
  <c r="AR342" i="5"/>
  <c r="AQ342" i="5"/>
  <c r="AR186" i="5"/>
  <c r="AQ186" i="5"/>
  <c r="AQ282" i="5"/>
  <c r="AR282" i="5"/>
  <c r="AR57" i="5"/>
  <c r="AQ57" i="5"/>
  <c r="AQ440" i="5"/>
  <c r="AR440" i="5"/>
  <c r="AE88" i="4"/>
  <c r="AQ264" i="5"/>
  <c r="AR264" i="5"/>
  <c r="AQ467" i="5"/>
  <c r="AR467" i="5"/>
  <c r="AR162" i="5"/>
  <c r="AQ162" i="5"/>
  <c r="AQ419" i="5"/>
  <c r="AR419" i="5"/>
  <c r="AF121" i="4"/>
  <c r="AF88" i="4"/>
  <c r="AE16" i="4"/>
  <c r="AR295" i="5"/>
  <c r="AQ295" i="5"/>
  <c r="X139" i="4"/>
  <c r="AA139" i="4" s="1"/>
  <c r="AC139" i="4" s="1"/>
  <c r="AD139" i="4" s="1"/>
  <c r="AF117" i="4"/>
  <c r="X107" i="4"/>
  <c r="AA107" i="4" s="1"/>
  <c r="AC107" i="4" s="1"/>
  <c r="AD107" i="4" s="1"/>
  <c r="X29" i="4"/>
  <c r="AA29" i="4" s="1"/>
  <c r="AC29" i="4" s="1"/>
  <c r="AD29" i="4" s="1"/>
  <c r="X60" i="4"/>
  <c r="AR116" i="5"/>
  <c r="AQ116" i="5"/>
  <c r="AR145" i="5"/>
  <c r="AQ145" i="5"/>
  <c r="AQ453" i="5"/>
  <c r="AR453" i="5"/>
  <c r="AQ220" i="5"/>
  <c r="AR220" i="5"/>
  <c r="AQ279" i="5"/>
  <c r="AR279" i="5"/>
  <c r="X147" i="4"/>
  <c r="AA147" i="4" s="1"/>
  <c r="AC147" i="4" s="1"/>
  <c r="AD147" i="4" s="1"/>
  <c r="AR128" i="5"/>
  <c r="AQ128" i="5"/>
  <c r="AQ415" i="5"/>
  <c r="AR415" i="5"/>
  <c r="X87" i="4"/>
  <c r="AA87" i="4" s="1"/>
  <c r="AC87" i="4" s="1"/>
  <c r="AD87" i="4" s="1"/>
  <c r="AQ328" i="5"/>
  <c r="AR328" i="5"/>
  <c r="AQ160" i="5"/>
  <c r="AR160" i="5"/>
  <c r="AH13" i="5"/>
  <c r="AP13" i="5"/>
  <c r="AI13" i="5"/>
  <c r="AQ475" i="5"/>
  <c r="AR475" i="5"/>
  <c r="AE119" i="4"/>
  <c r="AQ423" i="5"/>
  <c r="AR423" i="5"/>
  <c r="X154" i="4"/>
  <c r="AA154" i="4" s="1"/>
  <c r="AC154" i="4" s="1"/>
  <c r="AD154" i="4" s="1"/>
  <c r="AF146" i="4"/>
  <c r="X149" i="4"/>
  <c r="AQ35" i="5"/>
  <c r="AR35" i="5"/>
  <c r="AR155" i="5"/>
  <c r="AQ155" i="5"/>
  <c r="AQ351" i="5"/>
  <c r="AR351" i="5"/>
  <c r="AR114" i="5"/>
  <c r="AQ114" i="5"/>
  <c r="AR179" i="5"/>
  <c r="AQ179" i="5"/>
  <c r="AQ344" i="5"/>
  <c r="AR344" i="5"/>
  <c r="X78" i="4"/>
  <c r="AA78" i="4" s="1"/>
  <c r="AC78" i="4" s="1"/>
  <c r="AD78" i="4" s="1"/>
  <c r="X50" i="4"/>
  <c r="AA50" i="4" s="1"/>
  <c r="AC50" i="4" s="1"/>
  <c r="AD50" i="4" s="1"/>
  <c r="AE149" i="4"/>
  <c r="AQ459" i="5"/>
  <c r="AR459" i="5"/>
  <c r="AR172" i="5"/>
  <c r="AQ172" i="5"/>
  <c r="AR315" i="5"/>
  <c r="AQ315" i="5"/>
  <c r="AR196" i="5"/>
  <c r="AQ196" i="5"/>
  <c r="AQ325" i="5"/>
  <c r="AR325" i="5"/>
  <c r="AQ452" i="5"/>
  <c r="AR452" i="5"/>
  <c r="AR353" i="5"/>
  <c r="AQ353" i="5"/>
  <c r="AE139" i="4"/>
  <c r="AR68" i="5"/>
  <c r="AQ68" i="5"/>
  <c r="AQ62" i="5"/>
  <c r="AR62" i="5"/>
  <c r="AE99" i="4"/>
  <c r="X33" i="4"/>
  <c r="AA33" i="4" s="1"/>
  <c r="AC33" i="4" s="1"/>
  <c r="AD33" i="4" s="1"/>
  <c r="AQ299" i="5"/>
  <c r="AR299" i="5"/>
  <c r="AQ171" i="5"/>
  <c r="AR171" i="5"/>
  <c r="AG31" i="4"/>
  <c r="AI31" i="4" s="1"/>
  <c r="AO31" i="4"/>
  <c r="AR246" i="5"/>
  <c r="AQ246" i="5"/>
  <c r="AQ183" i="5"/>
  <c r="AR183" i="5"/>
  <c r="AR125" i="5"/>
  <c r="AQ125" i="5"/>
  <c r="AQ50" i="5"/>
  <c r="AR50" i="5"/>
  <c r="AQ67" i="5"/>
  <c r="AR67" i="5"/>
  <c r="AQ74" i="5"/>
  <c r="AR74" i="5"/>
  <c r="AQ132" i="5"/>
  <c r="AR132" i="5"/>
  <c r="AF110" i="4"/>
  <c r="AQ455" i="5"/>
  <c r="AR455" i="5"/>
  <c r="AR83" i="5"/>
  <c r="AQ83" i="5"/>
  <c r="AQ316" i="5"/>
  <c r="AR316" i="5"/>
  <c r="AQ490" i="5"/>
  <c r="AR490" i="5"/>
  <c r="AJ98" i="4"/>
  <c r="AK98" i="4"/>
  <c r="AE121" i="4"/>
  <c r="AR421" i="5"/>
  <c r="AQ421" i="5"/>
  <c r="AQ231" i="5"/>
  <c r="AR231" i="5"/>
  <c r="AR317" i="5"/>
  <c r="AQ317" i="5"/>
  <c r="AR319" i="5"/>
  <c r="AQ319" i="5"/>
  <c r="X56" i="4"/>
  <c r="AA56" i="4" s="1"/>
  <c r="AC56" i="4" s="1"/>
  <c r="AD56" i="4" s="1"/>
  <c r="X88" i="4"/>
  <c r="AA88" i="4" s="1"/>
  <c r="AC88" i="4" s="1"/>
  <c r="AD88" i="4" s="1"/>
  <c r="AQ280" i="5"/>
  <c r="AR280" i="5"/>
  <c r="AF104" i="4"/>
  <c r="AQ36" i="5"/>
  <c r="AR36" i="5"/>
  <c r="AR550" i="5"/>
  <c r="AQ550" i="5"/>
  <c r="AQ401" i="5"/>
  <c r="AR401" i="5"/>
  <c r="AR150" i="5"/>
  <c r="AQ150" i="5"/>
  <c r="AQ122" i="5"/>
  <c r="AR122" i="5"/>
  <c r="X31" i="4"/>
  <c r="AA31" i="4" s="1"/>
  <c r="AC31" i="4" s="1"/>
  <c r="AD31" i="4" s="1"/>
  <c r="AF147" i="4"/>
  <c r="AQ339" i="5"/>
  <c r="AR339" i="5"/>
  <c r="AQ254" i="5"/>
  <c r="AR254" i="5"/>
  <c r="AR547" i="5"/>
  <c r="AQ547" i="5"/>
  <c r="AR413" i="5"/>
  <c r="AQ413" i="5"/>
  <c r="AQ511" i="5"/>
  <c r="AR511" i="5"/>
  <c r="AR10" i="5"/>
  <c r="AQ10" i="5"/>
  <c r="AF124" i="4"/>
  <c r="X131" i="4"/>
  <c r="AQ481" i="5"/>
  <c r="AR481" i="5"/>
  <c r="U13" i="5"/>
  <c r="V13" i="5"/>
  <c r="AC13" i="5"/>
  <c r="AR247" i="5"/>
  <c r="AQ247" i="5"/>
  <c r="AR86" i="5"/>
  <c r="AQ86" i="5"/>
  <c r="AR98" i="5"/>
  <c r="AQ98" i="5"/>
  <c r="AQ201" i="5"/>
  <c r="AR201" i="5"/>
  <c r="AE138" i="4"/>
  <c r="AF65" i="4"/>
  <c r="X112" i="4"/>
  <c r="AA112" i="4" s="1"/>
  <c r="AC112" i="4" s="1"/>
  <c r="AD112" i="4" s="1"/>
  <c r="AF99" i="4"/>
  <c r="AE156" i="4"/>
  <c r="H34" i="1"/>
  <c r="B145" i="2"/>
  <c r="H35" i="1" s="1"/>
  <c r="AQ60" i="5"/>
  <c r="AR60" i="5"/>
  <c r="AQ429" i="5"/>
  <c r="AR429" i="5"/>
  <c r="AR377" i="5"/>
  <c r="AQ377" i="5"/>
  <c r="AQ554" i="5"/>
  <c r="AR554" i="5"/>
  <c r="X36" i="4"/>
  <c r="AA36" i="4" s="1"/>
  <c r="AC36" i="4" s="1"/>
  <c r="AD36" i="4" s="1"/>
  <c r="AF119" i="4"/>
  <c r="AQ489" i="5"/>
  <c r="AR489" i="5"/>
  <c r="AQ541" i="5"/>
  <c r="AR541" i="5"/>
  <c r="AR88" i="5"/>
  <c r="AQ88" i="5"/>
  <c r="AQ305" i="5"/>
  <c r="AR305" i="5"/>
  <c r="AF92" i="4"/>
  <c r="AR44" i="5"/>
  <c r="AQ44" i="5"/>
  <c r="AR39" i="5"/>
  <c r="AQ39" i="5"/>
  <c r="AQ73" i="5"/>
  <c r="AR73" i="5"/>
  <c r="AQ374" i="5"/>
  <c r="AR374" i="5"/>
  <c r="AE25" i="4"/>
  <c r="AE74" i="4"/>
  <c r="AQ416" i="5"/>
  <c r="AR416" i="5"/>
  <c r="X90" i="4"/>
  <c r="X43" i="4"/>
  <c r="AQ388" i="5"/>
  <c r="AR388" i="5"/>
  <c r="AR185" i="5"/>
  <c r="AQ185" i="5"/>
  <c r="AR49" i="5"/>
  <c r="AQ49" i="5"/>
  <c r="AR71" i="5"/>
  <c r="AQ71" i="5"/>
  <c r="X28" i="4"/>
  <c r="AA28" i="4" s="1"/>
  <c r="AC28" i="4" s="1"/>
  <c r="AD28" i="4" s="1"/>
  <c r="AF51" i="4"/>
  <c r="Y127" i="4" l="1"/>
  <c r="Z127" i="4" s="1"/>
  <c r="AD265" i="5"/>
  <c r="AG18" i="4"/>
  <c r="AO18" i="4"/>
  <c r="AS523" i="5"/>
  <c r="AD80" i="5"/>
  <c r="AD525" i="5"/>
  <c r="AE80" i="5"/>
  <c r="AD105" i="5"/>
  <c r="AE546" i="5"/>
  <c r="AS546" i="5"/>
  <c r="AD537" i="5"/>
  <c r="AS379" i="5"/>
  <c r="AS537" i="5"/>
  <c r="AD379" i="5"/>
  <c r="AE117" i="5"/>
  <c r="AE234" i="5"/>
  <c r="AS234" i="5"/>
  <c r="AU234" i="5" s="1"/>
  <c r="AD392" i="5"/>
  <c r="AS446" i="5"/>
  <c r="AT446" i="5" s="1"/>
  <c r="AD26" i="5"/>
  <c r="AD121" i="5"/>
  <c r="AD254" i="5"/>
  <c r="AD160" i="5"/>
  <c r="AE121" i="5"/>
  <c r="AE446" i="5"/>
  <c r="AE392" i="5"/>
  <c r="AE160" i="5"/>
  <c r="AS376" i="5"/>
  <c r="AT376" i="5" s="1"/>
  <c r="AD429" i="5"/>
  <c r="AE432" i="5"/>
  <c r="AE429" i="5"/>
  <c r="AD432" i="5"/>
  <c r="AE426" i="5"/>
  <c r="AS23" i="5"/>
  <c r="AT23" i="5" s="1"/>
  <c r="AS426" i="5"/>
  <c r="Y37" i="4"/>
  <c r="Z37" i="4" s="1"/>
  <c r="AA37" i="4" s="1"/>
  <c r="AC37" i="4" s="1"/>
  <c r="AD37" i="4" s="1"/>
  <c r="AE23" i="5"/>
  <c r="AE534" i="5"/>
  <c r="AS534" i="5"/>
  <c r="AT534" i="5" s="1"/>
  <c r="AS530" i="5"/>
  <c r="AU530" i="5" s="1"/>
  <c r="AE530" i="5"/>
  <c r="X145" i="4"/>
  <c r="AJ145" i="4" s="1"/>
  <c r="AE145" i="4"/>
  <c r="AE376" i="5"/>
  <c r="AS105" i="5"/>
  <c r="AU105" i="5" s="1"/>
  <c r="AD264" i="5"/>
  <c r="AD508" i="5"/>
  <c r="AD417" i="5"/>
  <c r="AD422" i="5"/>
  <c r="AS483" i="5"/>
  <c r="AU483" i="5" s="1"/>
  <c r="AS508" i="5"/>
  <c r="AE289" i="5"/>
  <c r="AD232" i="5"/>
  <c r="AE483" i="5"/>
  <c r="AE279" i="5"/>
  <c r="AE254" i="5"/>
  <c r="AE232" i="5"/>
  <c r="AD500" i="5"/>
  <c r="AD279" i="5"/>
  <c r="X66" i="4"/>
  <c r="AJ66" i="4" s="1"/>
  <c r="AE422" i="5"/>
  <c r="AS532" i="5"/>
  <c r="AT532" i="5" s="1"/>
  <c r="AS200" i="5"/>
  <c r="AT200" i="5" s="1"/>
  <c r="AE500" i="5"/>
  <c r="AS26" i="5"/>
  <c r="AT26" i="5" s="1"/>
  <c r="AE532" i="5"/>
  <c r="AD479" i="5"/>
  <c r="AS289" i="5"/>
  <c r="AT289" i="5" s="1"/>
  <c r="AE14" i="4"/>
  <c r="AS469" i="5"/>
  <c r="AU469" i="5" s="1"/>
  <c r="AD469" i="5"/>
  <c r="AE417" i="5"/>
  <c r="AS243" i="5"/>
  <c r="AU243" i="5" s="1"/>
  <c r="AS345" i="5"/>
  <c r="AT345" i="5" s="1"/>
  <c r="AD117" i="5"/>
  <c r="AS97" i="5"/>
  <c r="AT97" i="5" s="1"/>
  <c r="AS463" i="5"/>
  <c r="AU463" i="5" s="1"/>
  <c r="AE97" i="5"/>
  <c r="K36" i="2"/>
  <c r="L36" i="2"/>
  <c r="X46" i="4"/>
  <c r="AK46" i="4" s="1"/>
  <c r="AE15" i="4"/>
  <c r="AO46" i="4"/>
  <c r="AE37" i="4"/>
  <c r="AS265" i="5"/>
  <c r="AT265" i="5" s="1"/>
  <c r="AE520" i="5"/>
  <c r="AD520" i="5"/>
  <c r="AS184" i="5"/>
  <c r="AT184" i="5" s="1"/>
  <c r="AE184" i="5"/>
  <c r="AD463" i="5"/>
  <c r="AE205" i="5"/>
  <c r="AD470" i="5"/>
  <c r="AS470" i="5"/>
  <c r="AU470" i="5" s="1"/>
  <c r="AD556" i="5"/>
  <c r="AS327" i="5"/>
  <c r="AT327" i="5" s="1"/>
  <c r="AS509" i="5"/>
  <c r="AT509" i="5" s="1"/>
  <c r="AD511" i="5"/>
  <c r="AE140" i="5"/>
  <c r="AD452" i="5"/>
  <c r="AS226" i="5"/>
  <c r="AT226" i="5" s="1"/>
  <c r="AE354" i="5"/>
  <c r="AS22" i="5"/>
  <c r="AT22" i="5" s="1"/>
  <c r="AE213" i="5"/>
  <c r="AS511" i="5"/>
  <c r="AT511" i="5" s="1"/>
  <c r="AS297" i="5"/>
  <c r="AT297" i="5" s="1"/>
  <c r="AS466" i="5"/>
  <c r="AU466" i="5" s="1"/>
  <c r="AE297" i="5"/>
  <c r="AS213" i="5"/>
  <c r="AU213" i="5" s="1"/>
  <c r="AS540" i="5"/>
  <c r="AU540" i="5" s="1"/>
  <c r="AE359" i="5"/>
  <c r="Y20" i="4"/>
  <c r="Z20" i="4" s="1"/>
  <c r="AF20" i="4" s="1"/>
  <c r="AE20" i="4"/>
  <c r="AD444" i="5"/>
  <c r="AD183" i="5"/>
  <c r="AS49" i="5"/>
  <c r="AT49" i="5" s="1"/>
  <c r="AE46" i="4"/>
  <c r="AA43" i="4"/>
  <c r="AC43" i="4" s="1"/>
  <c r="AD43" i="4" s="1"/>
  <c r="AD540" i="5"/>
  <c r="AS359" i="5"/>
  <c r="AT359" i="5" s="1"/>
  <c r="AE365" i="5"/>
  <c r="AS514" i="5"/>
  <c r="AT514" i="5" s="1"/>
  <c r="AE479" i="5"/>
  <c r="X14" i="4"/>
  <c r="AJ14" i="4" s="1"/>
  <c r="AE24" i="5"/>
  <c r="AS166" i="5"/>
  <c r="AT166" i="5" s="1"/>
  <c r="AD136" i="5"/>
  <c r="X61" i="4"/>
  <c r="AJ61" i="4" s="1"/>
  <c r="AE66" i="4"/>
  <c r="AF66" i="4"/>
  <c r="AO66" i="4" s="1"/>
  <c r="AD302" i="5"/>
  <c r="AA149" i="4"/>
  <c r="AC149" i="4" s="1"/>
  <c r="AD149" i="4" s="1"/>
  <c r="AO61" i="4"/>
  <c r="AK18" i="4"/>
  <c r="AA115" i="4"/>
  <c r="AC115" i="4" s="1"/>
  <c r="AD115" i="4" s="1"/>
  <c r="AE61" i="4"/>
  <c r="AE40" i="5"/>
  <c r="AE237" i="5"/>
  <c r="AE42" i="5"/>
  <c r="AD386" i="5"/>
  <c r="AE261" i="5"/>
  <c r="AS188" i="5"/>
  <c r="AT188" i="5" s="1"/>
  <c r="AA18" i="4"/>
  <c r="AC18" i="4" s="1"/>
  <c r="AD18" i="4" s="1"/>
  <c r="AE386" i="5"/>
  <c r="AS42" i="5"/>
  <c r="AU42" i="5" s="1"/>
  <c r="AF142" i="4"/>
  <c r="AG142" i="4" s="1"/>
  <c r="AI142" i="4" s="1"/>
  <c r="AS248" i="5"/>
  <c r="AU248" i="5" s="1"/>
  <c r="AD261" i="5"/>
  <c r="AE142" i="4"/>
  <c r="AS361" i="5"/>
  <c r="AU361" i="5" s="1"/>
  <c r="AD361" i="5"/>
  <c r="AD543" i="5"/>
  <c r="AD280" i="5"/>
  <c r="AS313" i="5"/>
  <c r="AU313" i="5" s="1"/>
  <c r="X142" i="4"/>
  <c r="AJ142" i="4" s="1"/>
  <c r="AE280" i="5"/>
  <c r="AD301" i="5"/>
  <c r="AE303" i="5"/>
  <c r="AE482" i="5"/>
  <c r="AE382" i="5"/>
  <c r="AS351" i="5"/>
  <c r="AT351" i="5" s="1"/>
  <c r="AS518" i="5"/>
  <c r="AU518" i="5" s="1"/>
  <c r="AS31" i="5"/>
  <c r="AT31" i="5" s="1"/>
  <c r="AE491" i="5"/>
  <c r="AT278" i="5"/>
  <c r="AD365" i="5"/>
  <c r="AE501" i="5"/>
  <c r="AS353" i="5"/>
  <c r="AT353" i="5" s="1"/>
  <c r="AS421" i="5"/>
  <c r="AT421" i="5" s="1"/>
  <c r="AD332" i="5"/>
  <c r="AE332" i="5"/>
  <c r="AD518" i="5"/>
  <c r="AD203" i="5"/>
  <c r="AE166" i="5"/>
  <c r="AS302" i="5"/>
  <c r="AU302" i="5" s="1"/>
  <c r="AE70" i="5"/>
  <c r="AS145" i="5"/>
  <c r="AU145" i="5" s="1"/>
  <c r="AD514" i="5"/>
  <c r="AS300" i="5"/>
  <c r="AT300" i="5" s="1"/>
  <c r="AS444" i="5"/>
  <c r="AU444" i="5" s="1"/>
  <c r="AD345" i="5"/>
  <c r="AE136" i="5"/>
  <c r="AE243" i="5"/>
  <c r="AS113" i="5"/>
  <c r="AU113" i="5" s="1"/>
  <c r="AE300" i="5"/>
  <c r="AS382" i="5"/>
  <c r="AT382" i="5" s="1"/>
  <c r="AD482" i="5"/>
  <c r="AS58" i="5"/>
  <c r="AU58" i="5" s="1"/>
  <c r="AE58" i="5"/>
  <c r="AD48" i="5"/>
  <c r="AD363" i="5"/>
  <c r="AS201" i="5"/>
  <c r="AU201" i="5" s="1"/>
  <c r="AS349" i="5"/>
  <c r="AT349" i="5" s="1"/>
  <c r="AE336" i="5"/>
  <c r="AS137" i="5"/>
  <c r="AT137" i="5" s="1"/>
  <c r="AE59" i="5"/>
  <c r="AE349" i="5"/>
  <c r="AE378" i="5"/>
  <c r="AS222" i="5"/>
  <c r="AU222" i="5" s="1"/>
  <c r="AS336" i="5"/>
  <c r="AT336" i="5" s="1"/>
  <c r="AS21" i="5"/>
  <c r="AT21" i="5" s="1"/>
  <c r="AD21" i="5"/>
  <c r="AS148" i="5"/>
  <c r="AT148" i="5" s="1"/>
  <c r="AE248" i="5"/>
  <c r="AE188" i="5"/>
  <c r="AE137" i="5"/>
  <c r="AD59" i="5"/>
  <c r="AD374" i="5"/>
  <c r="AD32" i="5"/>
  <c r="AS478" i="5"/>
  <c r="AU478" i="5" s="1"/>
  <c r="AE223" i="5"/>
  <c r="AS374" i="5"/>
  <c r="AU374" i="5" s="1"/>
  <c r="AE455" i="5"/>
  <c r="AS32" i="5"/>
  <c r="AT32" i="5" s="1"/>
  <c r="AD478" i="5"/>
  <c r="AD223" i="5"/>
  <c r="AE199" i="5"/>
  <c r="AD303" i="5"/>
  <c r="AE313" i="5"/>
  <c r="AD481" i="5"/>
  <c r="AD237" i="5"/>
  <c r="AS363" i="5"/>
  <c r="AT363" i="5" s="1"/>
  <c r="AS378" i="5"/>
  <c r="AU378" i="5" s="1"/>
  <c r="AE222" i="5"/>
  <c r="AE69" i="5"/>
  <c r="AE543" i="5"/>
  <c r="AS301" i="5"/>
  <c r="AU301" i="5" s="1"/>
  <c r="AS455" i="5"/>
  <c r="AU455" i="5" s="1"/>
  <c r="AD453" i="5"/>
  <c r="AS48" i="5"/>
  <c r="AU48" i="5" s="1"/>
  <c r="AD138" i="5"/>
  <c r="AS138" i="5"/>
  <c r="AT138" i="5" s="1"/>
  <c r="AD360" i="5"/>
  <c r="AS477" i="5"/>
  <c r="AT477" i="5" s="1"/>
  <c r="AE333" i="5"/>
  <c r="AE477" i="5"/>
  <c r="AS94" i="5"/>
  <c r="AU94" i="5" s="1"/>
  <c r="AD194" i="5"/>
  <c r="AS306" i="5"/>
  <c r="AU306" i="5" s="1"/>
  <c r="AS494" i="5"/>
  <c r="AU494" i="5" s="1"/>
  <c r="AA96" i="4"/>
  <c r="AC96" i="4" s="1"/>
  <c r="AD96" i="4" s="1"/>
  <c r="AR96" i="4" s="1"/>
  <c r="AT96" i="4" s="1"/>
  <c r="AD94" i="5"/>
  <c r="AD333" i="5"/>
  <c r="AS360" i="5"/>
  <c r="AU360" i="5" s="1"/>
  <c r="AS259" i="5"/>
  <c r="AU259" i="5" s="1"/>
  <c r="AD460" i="5"/>
  <c r="AT147" i="5"/>
  <c r="AS194" i="5"/>
  <c r="AU194" i="5" s="1"/>
  <c r="AD306" i="5"/>
  <c r="AE494" i="5"/>
  <c r="AT54" i="5"/>
  <c r="AS158" i="5"/>
  <c r="AU158" i="5" s="1"/>
  <c r="AD54" i="5"/>
  <c r="AE173" i="5"/>
  <c r="AD269" i="5"/>
  <c r="AS119" i="5"/>
  <c r="AU119" i="5" s="1"/>
  <c r="AE186" i="5"/>
  <c r="AE460" i="5"/>
  <c r="AD475" i="5"/>
  <c r="AE399" i="5"/>
  <c r="AD398" i="5"/>
  <c r="AS475" i="5"/>
  <c r="AU475" i="5" s="1"/>
  <c r="AD536" i="5"/>
  <c r="AE165" i="5"/>
  <c r="AE125" i="5"/>
  <c r="AS186" i="5"/>
  <c r="AU186" i="5" s="1"/>
  <c r="AD399" i="5"/>
  <c r="AD456" i="5"/>
  <c r="AE54" i="5"/>
  <c r="AS425" i="5"/>
  <c r="AT425" i="5" s="1"/>
  <c r="AS55" i="5"/>
  <c r="AT55" i="5" s="1"/>
  <c r="AE135" i="4"/>
  <c r="AE533" i="5"/>
  <c r="AD31" i="5"/>
  <c r="AS440" i="5"/>
  <c r="AT440" i="5" s="1"/>
  <c r="AD366" i="5"/>
  <c r="AS462" i="5"/>
  <c r="AU462" i="5" s="1"/>
  <c r="AE65" i="5"/>
  <c r="AD436" i="5"/>
  <c r="AD400" i="5"/>
  <c r="AD296" i="5"/>
  <c r="AS283" i="5"/>
  <c r="AT283" i="5" s="1"/>
  <c r="AE269" i="5"/>
  <c r="AE241" i="5"/>
  <c r="AS517" i="5"/>
  <c r="AT517" i="5" s="1"/>
  <c r="AE208" i="5"/>
  <c r="AS140" i="5"/>
  <c r="AU140" i="5" s="1"/>
  <c r="AS556" i="5"/>
  <c r="AU556" i="5" s="1"/>
  <c r="AE22" i="5"/>
  <c r="AD151" i="5"/>
  <c r="AD226" i="5"/>
  <c r="AD466" i="5"/>
  <c r="AS62" i="5"/>
  <c r="AT62" i="5" s="1"/>
  <c r="AS354" i="5"/>
  <c r="AU354" i="5" s="1"/>
  <c r="AS309" i="5"/>
  <c r="AT309" i="5" s="1"/>
  <c r="AD401" i="5"/>
  <c r="AS325" i="5"/>
  <c r="AU325" i="5" s="1"/>
  <c r="X15" i="4"/>
  <c r="AJ15" i="4" s="1"/>
  <c r="AE210" i="5"/>
  <c r="AE151" i="5"/>
  <c r="AD472" i="5"/>
  <c r="AD112" i="5"/>
  <c r="AE551" i="5"/>
  <c r="AE309" i="5"/>
  <c r="AD486" i="5"/>
  <c r="AE112" i="5"/>
  <c r="AS551" i="5"/>
  <c r="AU551" i="5" s="1"/>
  <c r="AD245" i="5"/>
  <c r="AD277" i="5"/>
  <c r="AS116" i="5"/>
  <c r="AT116" i="5" s="1"/>
  <c r="AD325" i="5"/>
  <c r="AS504" i="5"/>
  <c r="AT504" i="5" s="1"/>
  <c r="AS210" i="5"/>
  <c r="AU210" i="5" s="1"/>
  <c r="AE304" i="5"/>
  <c r="AD327" i="5"/>
  <c r="AS452" i="5"/>
  <c r="AU452" i="5" s="1"/>
  <c r="AD504" i="5"/>
  <c r="AD304" i="5"/>
  <c r="AS245" i="5"/>
  <c r="AT245" i="5" s="1"/>
  <c r="AS46" i="5"/>
  <c r="AT46" i="5" s="1"/>
  <c r="AS277" i="5"/>
  <c r="AU277" i="5" s="1"/>
  <c r="AD158" i="5"/>
  <c r="AD46" i="5"/>
  <c r="AD116" i="5"/>
  <c r="AS438" i="5"/>
  <c r="AT438" i="5" s="1"/>
  <c r="AS244" i="5"/>
  <c r="AU244" i="5" s="1"/>
  <c r="AD189" i="5"/>
  <c r="AD40" i="5"/>
  <c r="AE502" i="5"/>
  <c r="AD38" i="5"/>
  <c r="AD180" i="5"/>
  <c r="AE101" i="5"/>
  <c r="AE480" i="5"/>
  <c r="AS548" i="5"/>
  <c r="AT548" i="5" s="1"/>
  <c r="AS36" i="5"/>
  <c r="AU36" i="5" s="1"/>
  <c r="AS502" i="5"/>
  <c r="AT502" i="5" s="1"/>
  <c r="AS310" i="5"/>
  <c r="AU310" i="5" s="1"/>
  <c r="AD142" i="5"/>
  <c r="AE76" i="5"/>
  <c r="AS308" i="5"/>
  <c r="AU308" i="5" s="1"/>
  <c r="AD338" i="5"/>
  <c r="AE142" i="5"/>
  <c r="AD274" i="5"/>
  <c r="AD238" i="5"/>
  <c r="AE19" i="5"/>
  <c r="AD150" i="5"/>
  <c r="AI18" i="4"/>
  <c r="AE544" i="5"/>
  <c r="AD450" i="5"/>
  <c r="AS115" i="5"/>
  <c r="AT115" i="5" s="1"/>
  <c r="AX115" i="5" s="1"/>
  <c r="AY115" i="5" s="1"/>
  <c r="AD295" i="5"/>
  <c r="AE115" i="5"/>
  <c r="AD491" i="5"/>
  <c r="AS150" i="5"/>
  <c r="AU150" i="5" s="1"/>
  <c r="AE552" i="5"/>
  <c r="AE517" i="5"/>
  <c r="AE341" i="5"/>
  <c r="AE25" i="5"/>
  <c r="AS552" i="5"/>
  <c r="AT552" i="5" s="1"/>
  <c r="AD241" i="5"/>
  <c r="AD298" i="5"/>
  <c r="AS25" i="5"/>
  <c r="AT25" i="5" s="1"/>
  <c r="AE298" i="5"/>
  <c r="AD451" i="5"/>
  <c r="AT202" i="5"/>
  <c r="AE202" i="5"/>
  <c r="AD202" i="5"/>
  <c r="AD208" i="5"/>
  <c r="AS451" i="5"/>
  <c r="AU451" i="5" s="1"/>
  <c r="AS267" i="5"/>
  <c r="AU267" i="5" s="1"/>
  <c r="AS174" i="5"/>
  <c r="AU174" i="5" s="1"/>
  <c r="AS104" i="5"/>
  <c r="AU104" i="5" s="1"/>
  <c r="AE145" i="5"/>
  <c r="AD104" i="5"/>
  <c r="AS178" i="5"/>
  <c r="AU178" i="5" s="1"/>
  <c r="AE113" i="5"/>
  <c r="AE200" i="5"/>
  <c r="AS533" i="5"/>
  <c r="AT533" i="5" s="1"/>
  <c r="AE216" i="5"/>
  <c r="AS120" i="5"/>
  <c r="AU120" i="5" s="1"/>
  <c r="AS501" i="5"/>
  <c r="AU501" i="5" s="1"/>
  <c r="AE456" i="5"/>
  <c r="AD421" i="5"/>
  <c r="AE120" i="5"/>
  <c r="AU78" i="5"/>
  <c r="AE351" i="5"/>
  <c r="AD275" i="5"/>
  <c r="AD440" i="5"/>
  <c r="AS400" i="5"/>
  <c r="AT400" i="5" s="1"/>
  <c r="AE203" i="5"/>
  <c r="AS366" i="5"/>
  <c r="AU366" i="5" s="1"/>
  <c r="AD216" i="5"/>
  <c r="AE434" i="5"/>
  <c r="AS390" i="5"/>
  <c r="AU390" i="5" s="1"/>
  <c r="AD383" i="5"/>
  <c r="AE275" i="5"/>
  <c r="AE181" i="5"/>
  <c r="AD260" i="5"/>
  <c r="AD434" i="5"/>
  <c r="AE384" i="5"/>
  <c r="AE425" i="5"/>
  <c r="AE390" i="5"/>
  <c r="AD165" i="5"/>
  <c r="AD335" i="5"/>
  <c r="AD506" i="5"/>
  <c r="AD181" i="5"/>
  <c r="AE260" i="5"/>
  <c r="AS383" i="5"/>
  <c r="AU383" i="5" s="1"/>
  <c r="AS492" i="5"/>
  <c r="AU492" i="5" s="1"/>
  <c r="AS384" i="5"/>
  <c r="AT384" i="5" s="1"/>
  <c r="AS335" i="5"/>
  <c r="AU335" i="5" s="1"/>
  <c r="AE506" i="5"/>
  <c r="AD492" i="5"/>
  <c r="AD353" i="5"/>
  <c r="AE495" i="5"/>
  <c r="AS193" i="5"/>
  <c r="AT193" i="5" s="1"/>
  <c r="AD114" i="5"/>
  <c r="AD495" i="5"/>
  <c r="AT81" i="5"/>
  <c r="AD283" i="5"/>
  <c r="AS114" i="5"/>
  <c r="AT114" i="5" s="1"/>
  <c r="AS420" i="5"/>
  <c r="AT420" i="5" s="1"/>
  <c r="AD441" i="5"/>
  <c r="AE462" i="5"/>
  <c r="AS441" i="5"/>
  <c r="AU441" i="5" s="1"/>
  <c r="AE420" i="5"/>
  <c r="AE278" i="5"/>
  <c r="AS60" i="5"/>
  <c r="AU60" i="5" s="1"/>
  <c r="X135" i="4"/>
  <c r="AJ135" i="4" s="1"/>
  <c r="AD278" i="5"/>
  <c r="AD81" i="5"/>
  <c r="AE122" i="5"/>
  <c r="AE49" i="5"/>
  <c r="AD70" i="5"/>
  <c r="AS122" i="5"/>
  <c r="AT122" i="5" s="1"/>
  <c r="AE81" i="5"/>
  <c r="AE78" i="5"/>
  <c r="AE60" i="5"/>
  <c r="AE36" i="5"/>
  <c r="AD356" i="5"/>
  <c r="AD310" i="5"/>
  <c r="AF125" i="4"/>
  <c r="AG125" i="4" s="1"/>
  <c r="AI125" i="4" s="1"/>
  <c r="AD127" i="5"/>
  <c r="AE356" i="5"/>
  <c r="AE125" i="4"/>
  <c r="AE127" i="5"/>
  <c r="AE143" i="5"/>
  <c r="AD343" i="5"/>
  <c r="AS314" i="5"/>
  <c r="AT314" i="5" s="1"/>
  <c r="AE343" i="5"/>
  <c r="AS50" i="5"/>
  <c r="AT50" i="5" s="1"/>
  <c r="AE342" i="5"/>
  <c r="X125" i="4"/>
  <c r="AJ125" i="4" s="1"/>
  <c r="AS143" i="5"/>
  <c r="AT143" i="5" s="1"/>
  <c r="AE12" i="5"/>
  <c r="AS541" i="5"/>
  <c r="AT541" i="5" s="1"/>
  <c r="AD50" i="5"/>
  <c r="AD428" i="5"/>
  <c r="AS12" i="5"/>
  <c r="AU12" i="5" s="1"/>
  <c r="AS496" i="5"/>
  <c r="AU496" i="5" s="1"/>
  <c r="AE496" i="5"/>
  <c r="AE314" i="5"/>
  <c r="AE38" i="5"/>
  <c r="AD342" i="5"/>
  <c r="AE308" i="5"/>
  <c r="AS77" i="5"/>
  <c r="AT77" i="5" s="1"/>
  <c r="AX77" i="5" s="1"/>
  <c r="AY77" i="5" s="1"/>
  <c r="AS476" i="5"/>
  <c r="AT476" i="5" s="1"/>
  <c r="AS405" i="5"/>
  <c r="AU405" i="5" s="1"/>
  <c r="AE106" i="5"/>
  <c r="AD244" i="5"/>
  <c r="AS295" i="5"/>
  <c r="AU295" i="5" s="1"/>
  <c r="AS76" i="5"/>
  <c r="AU76" i="5" s="1"/>
  <c r="AD438" i="5"/>
  <c r="AE405" i="5"/>
  <c r="AS106" i="5"/>
  <c r="AT106" i="5" s="1"/>
  <c r="AS134" i="5"/>
  <c r="AU134" i="5" s="1"/>
  <c r="AE180" i="5"/>
  <c r="AE476" i="5"/>
  <c r="AS90" i="5"/>
  <c r="AU90" i="5" s="1"/>
  <c r="AD282" i="5"/>
  <c r="AD528" i="5"/>
  <c r="X57" i="4"/>
  <c r="AJ57" i="4" s="1"/>
  <c r="AD77" i="5"/>
  <c r="AE57" i="4"/>
  <c r="AD239" i="5"/>
  <c r="AS24" i="5"/>
  <c r="AT24" i="5" s="1"/>
  <c r="AE338" i="5"/>
  <c r="AE274" i="5"/>
  <c r="AD294" i="5"/>
  <c r="AS239" i="5"/>
  <c r="AU239" i="5" s="1"/>
  <c r="AS293" i="5"/>
  <c r="AT293" i="5" s="1"/>
  <c r="AD262" i="5"/>
  <c r="AS44" i="5"/>
  <c r="AT44" i="5" s="1"/>
  <c r="AE294" i="5"/>
  <c r="AD217" i="5"/>
  <c r="AE247" i="5"/>
  <c r="AS238" i="5"/>
  <c r="AU238" i="5" s="1"/>
  <c r="AD293" i="5"/>
  <c r="AE189" i="5"/>
  <c r="AE262" i="5"/>
  <c r="AS344" i="5"/>
  <c r="AU344" i="5" s="1"/>
  <c r="AD101" i="5"/>
  <c r="AE44" i="5"/>
  <c r="AS394" i="5"/>
  <c r="AT394" i="5" s="1"/>
  <c r="AS19" i="5"/>
  <c r="AT19" i="5" s="1"/>
  <c r="AS453" i="5"/>
  <c r="AT453" i="5" s="1"/>
  <c r="AD548" i="5"/>
  <c r="AE148" i="5"/>
  <c r="AD197" i="5"/>
  <c r="AS220" i="5"/>
  <c r="AU220" i="5" s="1"/>
  <c r="AD544" i="5"/>
  <c r="AE450" i="5"/>
  <c r="AK96" i="4"/>
  <c r="AS217" i="5"/>
  <c r="AU217" i="5" s="1"/>
  <c r="AS197" i="5"/>
  <c r="AU197" i="5" s="1"/>
  <c r="AE220" i="5"/>
  <c r="AE266" i="5"/>
  <c r="AD257" i="5"/>
  <c r="AE436" i="5"/>
  <c r="AD174" i="5"/>
  <c r="AS410" i="5"/>
  <c r="AU410" i="5" s="1"/>
  <c r="AE34" i="5"/>
  <c r="AS132" i="5"/>
  <c r="AU132" i="5" s="1"/>
  <c r="AS27" i="5"/>
  <c r="AU27" i="5" s="1"/>
  <c r="AE133" i="5"/>
  <c r="AS126" i="5"/>
  <c r="AT126" i="5" s="1"/>
  <c r="AS416" i="5"/>
  <c r="AT416" i="5" s="1"/>
  <c r="AS385" i="5"/>
  <c r="AT385" i="5" s="1"/>
  <c r="AS111" i="5"/>
  <c r="AU111" i="5" s="1"/>
  <c r="AD133" i="5"/>
  <c r="AD267" i="5"/>
  <c r="AS68" i="5"/>
  <c r="AT68" i="5" s="1"/>
  <c r="AE416" i="5"/>
  <c r="AD27" i="5"/>
  <c r="AS447" i="5"/>
  <c r="AT447" i="5" s="1"/>
  <c r="AD385" i="5"/>
  <c r="AD350" i="5"/>
  <c r="AS350" i="5"/>
  <c r="AT350" i="5" s="1"/>
  <c r="AE375" i="5"/>
  <c r="AS179" i="5"/>
  <c r="AU179" i="5" s="1"/>
  <c r="AE35" i="5"/>
  <c r="AD73" i="5"/>
  <c r="AD29" i="5"/>
  <c r="AS155" i="5"/>
  <c r="AU155" i="5" s="1"/>
  <c r="AE505" i="5"/>
  <c r="AS369" i="5"/>
  <c r="AT369" i="5" s="1"/>
  <c r="AE43" i="5"/>
  <c r="AD155" i="5"/>
  <c r="AE68" i="5"/>
  <c r="AS73" i="5"/>
  <c r="AT73" i="5" s="1"/>
  <c r="AE111" i="5"/>
  <c r="AD369" i="5"/>
  <c r="AD341" i="5"/>
  <c r="AS505" i="5"/>
  <c r="AT505" i="5" s="1"/>
  <c r="AD126" i="5"/>
  <c r="AS388" i="5"/>
  <c r="AU388" i="5" s="1"/>
  <c r="AD465" i="5"/>
  <c r="AD132" i="5"/>
  <c r="AU257" i="5"/>
  <c r="AD125" i="5"/>
  <c r="AD529" i="5"/>
  <c r="AE296" i="5"/>
  <c r="AD253" i="5"/>
  <c r="AD228" i="5"/>
  <c r="AD55" i="5"/>
  <c r="AS529" i="5"/>
  <c r="AU529" i="5" s="1"/>
  <c r="AD499" i="5"/>
  <c r="AD168" i="5"/>
  <c r="AS228" i="5"/>
  <c r="AU228" i="5" s="1"/>
  <c r="AD236" i="5"/>
  <c r="AE499" i="5"/>
  <c r="AE403" i="5"/>
  <c r="AD33" i="5"/>
  <c r="AE147" i="5"/>
  <c r="AE157" i="5"/>
  <c r="AS168" i="5"/>
  <c r="AU168" i="5" s="1"/>
  <c r="AS99" i="5"/>
  <c r="AU99" i="5" s="1"/>
  <c r="AE253" i="5"/>
  <c r="AD66" i="5"/>
  <c r="AS473" i="5"/>
  <c r="AU473" i="5" s="1"/>
  <c r="AS236" i="5"/>
  <c r="AU236" i="5" s="1"/>
  <c r="AE214" i="5"/>
  <c r="AS141" i="5"/>
  <c r="AU141" i="5" s="1"/>
  <c r="AS404" i="5"/>
  <c r="AU404" i="5" s="1"/>
  <c r="AD268" i="5"/>
  <c r="AS403" i="5"/>
  <c r="AU403" i="5" s="1"/>
  <c r="AE33" i="5"/>
  <c r="AS218" i="5"/>
  <c r="AT218" i="5" s="1"/>
  <c r="AS398" i="5"/>
  <c r="AT398" i="5" s="1"/>
  <c r="AD173" i="5"/>
  <c r="AS66" i="5"/>
  <c r="AU66" i="5" s="1"/>
  <c r="AE473" i="5"/>
  <c r="AD119" i="5"/>
  <c r="AS214" i="5"/>
  <c r="AU214" i="5" s="1"/>
  <c r="AE141" i="5"/>
  <c r="AE404" i="5"/>
  <c r="AE268" i="5"/>
  <c r="AD259" i="5"/>
  <c r="AD266" i="5"/>
  <c r="AE257" i="5"/>
  <c r="AS229" i="5"/>
  <c r="AU229" i="5" s="1"/>
  <c r="AE229" i="5"/>
  <c r="AE536" i="5"/>
  <c r="AS108" i="5"/>
  <c r="AT108" i="5" s="1"/>
  <c r="AD218" i="5"/>
  <c r="AS65" i="5"/>
  <c r="AU65" i="5" s="1"/>
  <c r="AD147" i="5"/>
  <c r="AE99" i="5"/>
  <c r="AS157" i="5"/>
  <c r="AU157" i="5" s="1"/>
  <c r="AE541" i="5"/>
  <c r="AD90" i="5"/>
  <c r="AE282" i="5"/>
  <c r="AS468" i="5"/>
  <c r="AT468" i="5" s="1"/>
  <c r="AS528" i="5"/>
  <c r="AU528" i="5" s="1"/>
  <c r="AD134" i="5"/>
  <c r="AS428" i="5"/>
  <c r="AU428" i="5" s="1"/>
  <c r="AE468" i="5"/>
  <c r="AS198" i="5"/>
  <c r="AT198" i="5" s="1"/>
  <c r="AD513" i="5"/>
  <c r="AE329" i="5"/>
  <c r="AS285" i="5"/>
  <c r="AT285" i="5" s="1"/>
  <c r="AE521" i="5"/>
  <c r="AE380" i="5"/>
  <c r="AS513" i="5"/>
  <c r="AU513" i="5" s="1"/>
  <c r="AE331" i="5"/>
  <c r="AD395" i="5"/>
  <c r="AS318" i="5"/>
  <c r="AU318" i="5" s="1"/>
  <c r="AD329" i="5"/>
  <c r="AD83" i="5"/>
  <c r="AE285" i="5"/>
  <c r="AD521" i="5"/>
  <c r="AE198" i="5"/>
  <c r="AD255" i="5"/>
  <c r="AE471" i="5"/>
  <c r="AD471" i="5"/>
  <c r="AD380" i="5"/>
  <c r="AD331" i="5"/>
  <c r="AE395" i="5"/>
  <c r="AE318" i="5"/>
  <c r="AS270" i="5"/>
  <c r="AT270" i="5" s="1"/>
  <c r="AD427" i="5"/>
  <c r="AE83" i="5"/>
  <c r="AS402" i="5"/>
  <c r="AU402" i="5" s="1"/>
  <c r="AD270" i="5"/>
  <c r="AE427" i="5"/>
  <c r="AE402" i="5"/>
  <c r="AS255" i="5"/>
  <c r="AT255" i="5" s="1"/>
  <c r="Y39" i="4"/>
  <c r="Z39" i="4" s="1"/>
  <c r="AF39" i="4" s="1"/>
  <c r="AE62" i="5"/>
  <c r="AS205" i="5"/>
  <c r="AT205" i="5" s="1"/>
  <c r="AD251" i="5"/>
  <c r="AU175" i="5"/>
  <c r="AS82" i="5"/>
  <c r="AU82" i="5" s="1"/>
  <c r="AE39" i="4"/>
  <c r="AS401" i="5"/>
  <c r="AU401" i="5" s="1"/>
  <c r="AS437" i="5"/>
  <c r="AT437" i="5" s="1"/>
  <c r="AD82" i="5"/>
  <c r="AE437" i="5"/>
  <c r="AE251" i="5"/>
  <c r="AD424" i="5"/>
  <c r="AS387" i="5"/>
  <c r="AT387" i="5" s="1"/>
  <c r="AS103" i="5"/>
  <c r="AT103" i="5" s="1"/>
  <c r="AE175" i="5"/>
  <c r="AD381" i="5"/>
  <c r="AE424" i="5"/>
  <c r="AS316" i="5"/>
  <c r="AU316" i="5" s="1"/>
  <c r="AD7" i="5"/>
  <c r="B215" i="2" s="1"/>
  <c r="B216" i="2" s="1"/>
  <c r="B217" i="2" s="1"/>
  <c r="B227" i="2" s="1"/>
  <c r="B229" i="2" s="1"/>
  <c r="AE381" i="5"/>
  <c r="AD67" i="5"/>
  <c r="AO118" i="4"/>
  <c r="AR118" i="4" s="1"/>
  <c r="AT118" i="4" s="1"/>
  <c r="AE509" i="5"/>
  <c r="AD316" i="5"/>
  <c r="AS67" i="5"/>
  <c r="AU67" i="5" s="1"/>
  <c r="AS486" i="5"/>
  <c r="AU486" i="5" s="1"/>
  <c r="AE7" i="5"/>
  <c r="AS472" i="5"/>
  <c r="AT472" i="5" s="1"/>
  <c r="AE103" i="5"/>
  <c r="AD175" i="5"/>
  <c r="AD410" i="5"/>
  <c r="AE339" i="5"/>
  <c r="AS558" i="5"/>
  <c r="AU558" i="5" s="1"/>
  <c r="AE555" i="5"/>
  <c r="AE515" i="5"/>
  <c r="AD553" i="5"/>
  <c r="AD339" i="5"/>
  <c r="AE178" i="5"/>
  <c r="AE72" i="5"/>
  <c r="X12" i="4"/>
  <c r="AJ12" i="4" s="1"/>
  <c r="AD34" i="5"/>
  <c r="AE558" i="5"/>
  <c r="AS555" i="5"/>
  <c r="AU555" i="5" s="1"/>
  <c r="AE553" i="5"/>
  <c r="AS128" i="5"/>
  <c r="AT128" i="5" s="1"/>
  <c r="AE209" i="5"/>
  <c r="AD388" i="5"/>
  <c r="AE406" i="5"/>
  <c r="AD498" i="5"/>
  <c r="AD515" i="5"/>
  <c r="AD433" i="5"/>
  <c r="AE498" i="5"/>
  <c r="AS411" i="5"/>
  <c r="AU411" i="5" s="1"/>
  <c r="AS321" i="5"/>
  <c r="AU321" i="5" s="1"/>
  <c r="AE377" i="5"/>
  <c r="AE153" i="5"/>
  <c r="AE263" i="5"/>
  <c r="AE75" i="5"/>
  <c r="AE102" i="5"/>
  <c r="AD193" i="5"/>
  <c r="AE128" i="5"/>
  <c r="AS102" i="5"/>
  <c r="AT102" i="5" s="1"/>
  <c r="AD110" i="5"/>
  <c r="Y12" i="4"/>
  <c r="Z12" i="4" s="1"/>
  <c r="AF12" i="4" s="1"/>
  <c r="AG12" i="4" s="1"/>
  <c r="AI12" i="4" s="1"/>
  <c r="AD411" i="5"/>
  <c r="AS263" i="5"/>
  <c r="AU263" i="5" s="1"/>
  <c r="AS75" i="5"/>
  <c r="AU75" i="5" s="1"/>
  <c r="AS209" i="5"/>
  <c r="AT209" i="5" s="1"/>
  <c r="AE171" i="5"/>
  <c r="AE433" i="5"/>
  <c r="AS29" i="5"/>
  <c r="AT29" i="5" s="1"/>
  <c r="AS377" i="5"/>
  <c r="AU377" i="5" s="1"/>
  <c r="AS153" i="5"/>
  <c r="AT153" i="5" s="1"/>
  <c r="AE465" i="5"/>
  <c r="AD43" i="5"/>
  <c r="AD179" i="5"/>
  <c r="AS110" i="5"/>
  <c r="AU110" i="5" s="1"/>
  <c r="AE447" i="5"/>
  <c r="AD171" i="5"/>
  <c r="AS35" i="5"/>
  <c r="AT35" i="5" s="1"/>
  <c r="AS375" i="5"/>
  <c r="AT375" i="5" s="1"/>
  <c r="AE182" i="5"/>
  <c r="AD78" i="5"/>
  <c r="AS20" i="5"/>
  <c r="AT20" i="5" s="1"/>
  <c r="AD69" i="5"/>
  <c r="AE135" i="5"/>
  <c r="AD414" i="5"/>
  <c r="AE481" i="5"/>
  <c r="AD560" i="5"/>
  <c r="AS240" i="5"/>
  <c r="AT240" i="5" s="1"/>
  <c r="AE129" i="5"/>
  <c r="AD135" i="5"/>
  <c r="AE394" i="5"/>
  <c r="AD362" i="5"/>
  <c r="AS414" i="5"/>
  <c r="AT414" i="5" s="1"/>
  <c r="AD204" i="5"/>
  <c r="AS560" i="5"/>
  <c r="AT560" i="5" s="1"/>
  <c r="AS231" i="5"/>
  <c r="AU231" i="5" s="1"/>
  <c r="AS219" i="5"/>
  <c r="AT219" i="5" s="1"/>
  <c r="AS129" i="5"/>
  <c r="AT129" i="5" s="1"/>
  <c r="AE201" i="5"/>
  <c r="AD93" i="5"/>
  <c r="AE362" i="5"/>
  <c r="AS53" i="5"/>
  <c r="AT53" i="5" s="1"/>
  <c r="AS204" i="5"/>
  <c r="AT204" i="5" s="1"/>
  <c r="AE231" i="5"/>
  <c r="AE240" i="5"/>
  <c r="AE163" i="5"/>
  <c r="AD53" i="5"/>
  <c r="AD219" i="5"/>
  <c r="AS93" i="5"/>
  <c r="AT93" i="5" s="1"/>
  <c r="AS199" i="5"/>
  <c r="AT199" i="5" s="1"/>
  <c r="AE344" i="5"/>
  <c r="AS163" i="5"/>
  <c r="AT163" i="5" s="1"/>
  <c r="AS247" i="5"/>
  <c r="AT247" i="5" s="1"/>
  <c r="AE321" i="5"/>
  <c r="AD320" i="5"/>
  <c r="AS291" i="5"/>
  <c r="AU291" i="5" s="1"/>
  <c r="AE108" i="5"/>
  <c r="AD348" i="5"/>
  <c r="AS320" i="5"/>
  <c r="AT320" i="5" s="1"/>
  <c r="AD291" i="5"/>
  <c r="AE183" i="5"/>
  <c r="AE348" i="5"/>
  <c r="AU182" i="5"/>
  <c r="AK118" i="4"/>
  <c r="AT72" i="5"/>
  <c r="AE413" i="5"/>
  <c r="AD182" i="5"/>
  <c r="AJ118" i="4"/>
  <c r="AD413" i="5"/>
  <c r="AD72" i="5"/>
  <c r="AS406" i="5"/>
  <c r="AT406" i="5" s="1"/>
  <c r="AS480" i="5"/>
  <c r="AT480" i="5" s="1"/>
  <c r="AD45" i="5"/>
  <c r="AE317" i="5"/>
  <c r="AE20" i="5"/>
  <c r="AD317" i="5"/>
  <c r="AS272" i="5"/>
  <c r="AU272" i="5" s="1"/>
  <c r="Y26" i="4"/>
  <c r="Z26" i="4" s="1"/>
  <c r="X26" i="4"/>
  <c r="AJ26" i="4" s="1"/>
  <c r="AE26" i="4"/>
  <c r="AD272" i="5"/>
  <c r="AS45" i="5"/>
  <c r="AT45" i="5" s="1"/>
  <c r="AE323" i="5"/>
  <c r="AE559" i="5"/>
  <c r="AS323" i="5"/>
  <c r="AU323" i="5" s="1"/>
  <c r="AS559" i="5"/>
  <c r="AU559" i="5" s="1"/>
  <c r="AS409" i="5"/>
  <c r="AU409" i="5" s="1"/>
  <c r="AE387" i="5"/>
  <c r="AD409" i="5"/>
  <c r="AR11" i="5"/>
  <c r="Y22" i="4"/>
  <c r="Z22" i="4" s="1"/>
  <c r="AA22" i="4" s="1"/>
  <c r="AC22" i="4" s="1"/>
  <c r="AD22" i="4" s="1"/>
  <c r="AE22" i="4"/>
  <c r="AE129" i="4"/>
  <c r="X72" i="4"/>
  <c r="AJ72" i="4" s="1"/>
  <c r="AE72" i="4"/>
  <c r="AO72" i="4"/>
  <c r="AS11" i="5"/>
  <c r="AU11" i="5" s="1"/>
  <c r="Y148" i="4"/>
  <c r="Z148" i="4" s="1"/>
  <c r="AF148" i="4" s="1"/>
  <c r="AE148" i="4"/>
  <c r="Y109" i="4"/>
  <c r="Z109" i="4" s="1"/>
  <c r="AF109" i="4" s="1"/>
  <c r="AE109" i="4"/>
  <c r="AA143" i="4"/>
  <c r="AC143" i="4" s="1"/>
  <c r="AD143" i="4" s="1"/>
  <c r="AT127" i="5"/>
  <c r="AS287" i="5"/>
  <c r="AT287" i="5" s="1"/>
  <c r="AA42" i="4"/>
  <c r="AC42" i="4" s="1"/>
  <c r="AD42" i="4" s="1"/>
  <c r="AQ9" i="5"/>
  <c r="AE79" i="4"/>
  <c r="X129" i="4"/>
  <c r="AJ129" i="4" s="1"/>
  <c r="AF152" i="4"/>
  <c r="AG152" i="4" s="1"/>
  <c r="AI152" i="4" s="1"/>
  <c r="AS249" i="5"/>
  <c r="AU249" i="5" s="1"/>
  <c r="AF67" i="4"/>
  <c r="AG67" i="4" s="1"/>
  <c r="AI67" i="4" s="1"/>
  <c r="AE67" i="4"/>
  <c r="X67" i="4"/>
  <c r="AA67" i="4" s="1"/>
  <c r="AC67" i="4" s="1"/>
  <c r="AD67" i="4" s="1"/>
  <c r="X79" i="4"/>
  <c r="AJ79" i="4" s="1"/>
  <c r="AD130" i="5"/>
  <c r="AD449" i="5"/>
  <c r="X152" i="4"/>
  <c r="AA152" i="4" s="1"/>
  <c r="AC152" i="4" s="1"/>
  <c r="AD152" i="4" s="1"/>
  <c r="AK143" i="4"/>
  <c r="AE152" i="4"/>
  <c r="Y34" i="4"/>
  <c r="Z34" i="4" s="1"/>
  <c r="AE34" i="4"/>
  <c r="X34" i="4"/>
  <c r="AJ34" i="4" s="1"/>
  <c r="X133" i="4"/>
  <c r="AJ133" i="4" s="1"/>
  <c r="AE133" i="4"/>
  <c r="Y133" i="4"/>
  <c r="Z133" i="4" s="1"/>
  <c r="Y21" i="4"/>
  <c r="Z21" i="4" s="1"/>
  <c r="AE21" i="4"/>
  <c r="X21" i="4"/>
  <c r="AJ21" i="4" s="1"/>
  <c r="Y58" i="4"/>
  <c r="Z58" i="4" s="1"/>
  <c r="X58" i="4"/>
  <c r="AJ58" i="4" s="1"/>
  <c r="AE58" i="4"/>
  <c r="Y144" i="4"/>
  <c r="X144" i="4"/>
  <c r="AE144" i="4"/>
  <c r="Y24" i="4"/>
  <c r="Z24" i="4" s="1"/>
  <c r="AE24" i="4"/>
  <c r="X24" i="4"/>
  <c r="Y83" i="4"/>
  <c r="Z83" i="4" s="1"/>
  <c r="AE83" i="4"/>
  <c r="AE62" i="4"/>
  <c r="Y62" i="4"/>
  <c r="Z62" i="4" s="1"/>
  <c r="Y101" i="4"/>
  <c r="Z101" i="4" s="1"/>
  <c r="X101" i="4"/>
  <c r="AJ101" i="4" s="1"/>
  <c r="AE101" i="4"/>
  <c r="AF79" i="4"/>
  <c r="Y132" i="4"/>
  <c r="Z132" i="4" s="1"/>
  <c r="AF132" i="4" s="1"/>
  <c r="AE132" i="4"/>
  <c r="X132" i="4"/>
  <c r="Y94" i="4"/>
  <c r="Z94" i="4" s="1"/>
  <c r="X94" i="4"/>
  <c r="AA140" i="4"/>
  <c r="AC140" i="4" s="1"/>
  <c r="AD140" i="4" s="1"/>
  <c r="AK140" i="4"/>
  <c r="AF140" i="4"/>
  <c r="X62" i="4"/>
  <c r="AJ62" i="4" s="1"/>
  <c r="X83" i="4"/>
  <c r="AJ83" i="4" s="1"/>
  <c r="X141" i="4"/>
  <c r="AJ141" i="4" s="1"/>
  <c r="Y141" i="4"/>
  <c r="AE141" i="4"/>
  <c r="Y59" i="4"/>
  <c r="Z59" i="4" s="1"/>
  <c r="AE59" i="4"/>
  <c r="Y10" i="4"/>
  <c r="Z10" i="4" s="1"/>
  <c r="X10" i="4"/>
  <c r="AJ10" i="4" s="1"/>
  <c r="AE10" i="4"/>
  <c r="Y130" i="4"/>
  <c r="X130" i="4"/>
  <c r="AE130" i="4"/>
  <c r="X155" i="4"/>
  <c r="Y155" i="4"/>
  <c r="AF105" i="4"/>
  <c r="AA105" i="4"/>
  <c r="AC105" i="4" s="1"/>
  <c r="AD105" i="4" s="1"/>
  <c r="AK105" i="4"/>
  <c r="AD287" i="5"/>
  <c r="AD249" i="5"/>
  <c r="AF76" i="4"/>
  <c r="AA76" i="4"/>
  <c r="AC76" i="4" s="1"/>
  <c r="AD76" i="4" s="1"/>
  <c r="AK76" i="4"/>
  <c r="AE449" i="5"/>
  <c r="AE292" i="5"/>
  <c r="AS393" i="5"/>
  <c r="AT393" i="5" s="1"/>
  <c r="AS292" i="5"/>
  <c r="AU292" i="5" s="1"/>
  <c r="AS391" i="5"/>
  <c r="AT391" i="5" s="1"/>
  <c r="AD393" i="5"/>
  <c r="AE391" i="5"/>
  <c r="AA84" i="4"/>
  <c r="AC84" i="4" s="1"/>
  <c r="AD84" i="4" s="1"/>
  <c r="AK84" i="4"/>
  <c r="AF84" i="4"/>
  <c r="AE286" i="5"/>
  <c r="AD286" i="5"/>
  <c r="AS162" i="5"/>
  <c r="AT162" i="5" s="1"/>
  <c r="AD123" i="5"/>
  <c r="AD74" i="5"/>
  <c r="AG143" i="4"/>
  <c r="AI143" i="4" s="1"/>
  <c r="AO143" i="4"/>
  <c r="AD11" i="5"/>
  <c r="AG75" i="4"/>
  <c r="AI75" i="4" s="1"/>
  <c r="AE11" i="5"/>
  <c r="AS235" i="5"/>
  <c r="AU235" i="5" s="1"/>
  <c r="AE10" i="5"/>
  <c r="AS10" i="5"/>
  <c r="AU10" i="5" s="1"/>
  <c r="AD235" i="5"/>
  <c r="AE123" i="5"/>
  <c r="AE74" i="5"/>
  <c r="AE162" i="5"/>
  <c r="AS299" i="5"/>
  <c r="AU299" i="5" s="1"/>
  <c r="AA123" i="4"/>
  <c r="AC123" i="4" s="1"/>
  <c r="AD123" i="4" s="1"/>
  <c r="AO108" i="4"/>
  <c r="AK40" i="4"/>
  <c r="AA32" i="4"/>
  <c r="AC32" i="4" s="1"/>
  <c r="AD32" i="4" s="1"/>
  <c r="AD557" i="5"/>
  <c r="AE549" i="5"/>
  <c r="AK123" i="4"/>
  <c r="AE271" i="5"/>
  <c r="AA40" i="4"/>
  <c r="AC40" i="4" s="1"/>
  <c r="AD40" i="4" s="1"/>
  <c r="AR40" i="4" s="1"/>
  <c r="AT40" i="4" s="1"/>
  <c r="AD311" i="5"/>
  <c r="AS8" i="5"/>
  <c r="AT8" i="5" s="1"/>
  <c r="AK99" i="4"/>
  <c r="AS169" i="5"/>
  <c r="AT169" i="5" s="1"/>
  <c r="AE340" i="5"/>
  <c r="AD397" i="5"/>
  <c r="AD538" i="5"/>
  <c r="AE407" i="5"/>
  <c r="AD176" i="5"/>
  <c r="AE311" i="5"/>
  <c r="AE130" i="5"/>
  <c r="AS340" i="5"/>
  <c r="AU340" i="5" s="1"/>
  <c r="AE412" i="5"/>
  <c r="AS271" i="5"/>
  <c r="AT271" i="5" s="1"/>
  <c r="AD445" i="5"/>
  <c r="AS95" i="5"/>
  <c r="AT95" i="5" s="1"/>
  <c r="AE538" i="5"/>
  <c r="AS412" i="5"/>
  <c r="AT412" i="5" s="1"/>
  <c r="AD334" i="5"/>
  <c r="AE445" i="5"/>
  <c r="AD95" i="5"/>
  <c r="AD458" i="5"/>
  <c r="AS79" i="5"/>
  <c r="AT79" i="5" s="1"/>
  <c r="AX78" i="5" s="1"/>
  <c r="AY78" i="5" s="1"/>
  <c r="AE52" i="5"/>
  <c r="AS458" i="5"/>
  <c r="AU458" i="5" s="1"/>
  <c r="AE79" i="5"/>
  <c r="AS52" i="5"/>
  <c r="AU52" i="5" s="1"/>
  <c r="AD233" i="5"/>
  <c r="AE510" i="5"/>
  <c r="AE467" i="5"/>
  <c r="AS233" i="5"/>
  <c r="AU233" i="5" s="1"/>
  <c r="AS396" i="5"/>
  <c r="AT396" i="5" s="1"/>
  <c r="AD169" i="5"/>
  <c r="AS510" i="5"/>
  <c r="AU510" i="5" s="1"/>
  <c r="AD467" i="5"/>
  <c r="AE299" i="5"/>
  <c r="AD396" i="5"/>
  <c r="AE397" i="5"/>
  <c r="AS443" i="5"/>
  <c r="AU443" i="5" s="1"/>
  <c r="AE373" i="5"/>
  <c r="AD448" i="5"/>
  <c r="AS364" i="5"/>
  <c r="AT364" i="5" s="1"/>
  <c r="AE215" i="5"/>
  <c r="AD215" i="5"/>
  <c r="AS549" i="5"/>
  <c r="AU549" i="5" s="1"/>
  <c r="AE557" i="5"/>
  <c r="AE448" i="5"/>
  <c r="AD364" i="5"/>
  <c r="AS56" i="5"/>
  <c r="AU56" i="5" s="1"/>
  <c r="AE370" i="5"/>
  <c r="AE107" i="5"/>
  <c r="AE57" i="5"/>
  <c r="AD39" i="5"/>
  <c r="AS191" i="5"/>
  <c r="AU191" i="5" s="1"/>
  <c r="AE172" i="5"/>
  <c r="AS490" i="5"/>
  <c r="AT490" i="5" s="1"/>
  <c r="AD464" i="5"/>
  <c r="AD373" i="5"/>
  <c r="AS539" i="5"/>
  <c r="AT539" i="5" s="1"/>
  <c r="AD443" i="5"/>
  <c r="AS550" i="5"/>
  <c r="AU550" i="5" s="1"/>
  <c r="AS503" i="5"/>
  <c r="AT503" i="5" s="1"/>
  <c r="AE490" i="5"/>
  <c r="AE539" i="5"/>
  <c r="AE550" i="5"/>
  <c r="AD290" i="5"/>
  <c r="AE464" i="5"/>
  <c r="AE252" i="5"/>
  <c r="AD96" i="5"/>
  <c r="AS154" i="5"/>
  <c r="AU154" i="5" s="1"/>
  <c r="AE290" i="5"/>
  <c r="AD370" i="5"/>
  <c r="AS230" i="5"/>
  <c r="AT230" i="5" s="1"/>
  <c r="AD252" i="5"/>
  <c r="AS96" i="5"/>
  <c r="AU96" i="5" s="1"/>
  <c r="AE154" i="5"/>
  <c r="AD542" i="5"/>
  <c r="AS457" i="5"/>
  <c r="AT457" i="5" s="1"/>
  <c r="AE457" i="5"/>
  <c r="AE230" i="5"/>
  <c r="AS542" i="5"/>
  <c r="AU542" i="5" s="1"/>
  <c r="AD191" i="5"/>
  <c r="AS57" i="5"/>
  <c r="AT57" i="5" s="1"/>
  <c r="AS207" i="5"/>
  <c r="AU207" i="5" s="1"/>
  <c r="AE207" i="5"/>
  <c r="AE212" i="5"/>
  <c r="AD284" i="5"/>
  <c r="AD212" i="5"/>
  <c r="AE418" i="5"/>
  <c r="AE85" i="5"/>
  <c r="AS196" i="5"/>
  <c r="AU196" i="5" s="1"/>
  <c r="AS352" i="5"/>
  <c r="AU352" i="5" s="1"/>
  <c r="AE161" i="5"/>
  <c r="AE64" i="5"/>
  <c r="AD547" i="5"/>
  <c r="AE288" i="5"/>
  <c r="AD187" i="5"/>
  <c r="AD435" i="5"/>
  <c r="AE305" i="5"/>
  <c r="AE187" i="5"/>
  <c r="AS435" i="5"/>
  <c r="AT435" i="5" s="1"/>
  <c r="AD305" i="5"/>
  <c r="AD71" i="5"/>
  <c r="AD315" i="5"/>
  <c r="AS315" i="5"/>
  <c r="AT315" i="5" s="1"/>
  <c r="AE250" i="5"/>
  <c r="AE156" i="5"/>
  <c r="AS346" i="5"/>
  <c r="AT346" i="5" s="1"/>
  <c r="AD149" i="5"/>
  <c r="AE312" i="5"/>
  <c r="AS124" i="5"/>
  <c r="AU124" i="5" s="1"/>
  <c r="AD367" i="5"/>
  <c r="AE124" i="5"/>
  <c r="AE526" i="5"/>
  <c r="AS307" i="5"/>
  <c r="AT307" i="5" s="1"/>
  <c r="AS211" i="5"/>
  <c r="AT211" i="5" s="1"/>
  <c r="AS526" i="5"/>
  <c r="AU526" i="5" s="1"/>
  <c r="AE531" i="5"/>
  <c r="AD312" i="5"/>
  <c r="AD225" i="5"/>
  <c r="AD159" i="5"/>
  <c r="AS330" i="5"/>
  <c r="AT330" i="5" s="1"/>
  <c r="AD485" i="5"/>
  <c r="AS419" i="5"/>
  <c r="AU419" i="5" s="1"/>
  <c r="AD330" i="5"/>
  <c r="AE485" i="5"/>
  <c r="AS139" i="5"/>
  <c r="AT139" i="5" s="1"/>
  <c r="AS185" i="5"/>
  <c r="AT185" i="5" s="1"/>
  <c r="AS519" i="5"/>
  <c r="AU519" i="5" s="1"/>
  <c r="AS227" i="5"/>
  <c r="AU227" i="5" s="1"/>
  <c r="AE246" i="5"/>
  <c r="AE224" i="5"/>
  <c r="AD47" i="5"/>
  <c r="AS487" i="5"/>
  <c r="AU487" i="5" s="1"/>
  <c r="AA124" i="4"/>
  <c r="AC124" i="4" s="1"/>
  <c r="AD124" i="4" s="1"/>
  <c r="AE487" i="5"/>
  <c r="AE326" i="5"/>
  <c r="AD167" i="5"/>
  <c r="AD28" i="5"/>
  <c r="AS326" i="5"/>
  <c r="AU326" i="5" s="1"/>
  <c r="AE118" i="5"/>
  <c r="AE176" i="5"/>
  <c r="AS407" i="5"/>
  <c r="AT407" i="5" s="1"/>
  <c r="AS39" i="5"/>
  <c r="AT39" i="5" s="1"/>
  <c r="AE98" i="5"/>
  <c r="AS172" i="5"/>
  <c r="AU172" i="5" s="1"/>
  <c r="AE284" i="5"/>
  <c r="AS547" i="5"/>
  <c r="AU547" i="5" s="1"/>
  <c r="AD488" i="5"/>
  <c r="AS418" i="5"/>
  <c r="AT418" i="5" s="1"/>
  <c r="AE196" i="5"/>
  <c r="AS357" i="5"/>
  <c r="AU357" i="5" s="1"/>
  <c r="AD358" i="5"/>
  <c r="AS98" i="5"/>
  <c r="AT98" i="5" s="1"/>
  <c r="AE488" i="5"/>
  <c r="AD357" i="5"/>
  <c r="AD144" i="5"/>
  <c r="AS322" i="5"/>
  <c r="AT322" i="5" s="1"/>
  <c r="AE144" i="5"/>
  <c r="AS107" i="5"/>
  <c r="AU107" i="5" s="1"/>
  <c r="AE352" i="5"/>
  <c r="AD85" i="5"/>
  <c r="AD322" i="5"/>
  <c r="AD161" i="5"/>
  <c r="AS64" i="5"/>
  <c r="AT64" i="5" s="1"/>
  <c r="AD8" i="5"/>
  <c r="AD139" i="5"/>
  <c r="AE346" i="5"/>
  <c r="AE423" i="5"/>
  <c r="AE185" i="5"/>
  <c r="AE419" i="5"/>
  <c r="AE159" i="5"/>
  <c r="AE227" i="5"/>
  <c r="AD37" i="5"/>
  <c r="AS246" i="5"/>
  <c r="AU246" i="5" s="1"/>
  <c r="AD524" i="5"/>
  <c r="AS423" i="5"/>
  <c r="AU423" i="5" s="1"/>
  <c r="AE37" i="5"/>
  <c r="AE524" i="5"/>
  <c r="AE319" i="5"/>
  <c r="AE100" i="5"/>
  <c r="AD319" i="5"/>
  <c r="AD273" i="5"/>
  <c r="AE442" i="5"/>
  <c r="AS225" i="5"/>
  <c r="AT225" i="5" s="1"/>
  <c r="AD100" i="5"/>
  <c r="AS273" i="5"/>
  <c r="AT273" i="5" s="1"/>
  <c r="AS281" i="5"/>
  <c r="AT281" i="5" s="1"/>
  <c r="AE408" i="5"/>
  <c r="AS442" i="5"/>
  <c r="AU442" i="5" s="1"/>
  <c r="AD281" i="5"/>
  <c r="AE535" i="5"/>
  <c r="AD86" i="5"/>
  <c r="AS535" i="5"/>
  <c r="AU535" i="5" s="1"/>
  <c r="AE489" i="5"/>
  <c r="AO68" i="4"/>
  <c r="AD489" i="5"/>
  <c r="AS224" i="5"/>
  <c r="AT224" i="5" s="1"/>
  <c r="AE61" i="5"/>
  <c r="AK68" i="4"/>
  <c r="AE355" i="5"/>
  <c r="AE430" i="5"/>
  <c r="AS61" i="5"/>
  <c r="AU61" i="5" s="1"/>
  <c r="AE177" i="5"/>
  <c r="AS28" i="5"/>
  <c r="AU28" i="5" s="1"/>
  <c r="AS355" i="5"/>
  <c r="AT355" i="5" s="1"/>
  <c r="AS430" i="5"/>
  <c r="AU430" i="5" s="1"/>
  <c r="AD256" i="5"/>
  <c r="AE337" i="5"/>
  <c r="AD389" i="5"/>
  <c r="AD56" i="5"/>
  <c r="AD307" i="5"/>
  <c r="AD211" i="5"/>
  <c r="AG103" i="4"/>
  <c r="AI103" i="4" s="1"/>
  <c r="AD87" i="5"/>
  <c r="AE493" i="5"/>
  <c r="AA68" i="4"/>
  <c r="AC68" i="4" s="1"/>
  <c r="AD68" i="4" s="1"/>
  <c r="AA19" i="4"/>
  <c r="AC19" i="4" s="1"/>
  <c r="AD19" i="4" s="1"/>
  <c r="AR19" i="4" s="1"/>
  <c r="AT19" i="4" s="1"/>
  <c r="AS493" i="5"/>
  <c r="AT493" i="5" s="1"/>
  <c r="AS195" i="5"/>
  <c r="AT195" i="5" s="1"/>
  <c r="AS92" i="5"/>
  <c r="AT92" i="5" s="1"/>
  <c r="AK9" i="4"/>
  <c r="AS190" i="5"/>
  <c r="AU190" i="5" s="1"/>
  <c r="AS30" i="5"/>
  <c r="AU30" i="5" s="1"/>
  <c r="AD195" i="5"/>
  <c r="AK103" i="4"/>
  <c r="AE190" i="5"/>
  <c r="AE30" i="5"/>
  <c r="AS41" i="5"/>
  <c r="AU41" i="5" s="1"/>
  <c r="AD439" i="5"/>
  <c r="AK85" i="4"/>
  <c r="AD192" i="5"/>
  <c r="AS86" i="5"/>
  <c r="AT86" i="5" s="1"/>
  <c r="AS177" i="5"/>
  <c r="AT177" i="5" s="1"/>
  <c r="AS164" i="5"/>
  <c r="AU164" i="5" s="1"/>
  <c r="AD164" i="5"/>
  <c r="AE461" i="5"/>
  <c r="AE192" i="5"/>
  <c r="AE347" i="5"/>
  <c r="AE146" i="5"/>
  <c r="AE41" i="5"/>
  <c r="AD51" i="5"/>
  <c r="AS527" i="5"/>
  <c r="AU527" i="5" s="1"/>
  <c r="AD337" i="5"/>
  <c r="AE87" i="5"/>
  <c r="AK82" i="4"/>
  <c r="AD461" i="5"/>
  <c r="AS367" i="5"/>
  <c r="AU367" i="5" s="1"/>
  <c r="AS51" i="5"/>
  <c r="AU51" i="5" s="1"/>
  <c r="AA120" i="4"/>
  <c r="AC120" i="4" s="1"/>
  <c r="AD120" i="4" s="1"/>
  <c r="AA99" i="4"/>
  <c r="AC99" i="4" s="1"/>
  <c r="AD99" i="4" s="1"/>
  <c r="AD527" i="5"/>
  <c r="AK153" i="4"/>
  <c r="AD408" i="5"/>
  <c r="AS389" i="5"/>
  <c r="AT389" i="5" s="1"/>
  <c r="AA103" i="4"/>
  <c r="AC103" i="4" s="1"/>
  <c r="AD103" i="4" s="1"/>
  <c r="AK102" i="4"/>
  <c r="AS368" i="5"/>
  <c r="AT368" i="5" s="1"/>
  <c r="AA9" i="4"/>
  <c r="AC9" i="4" s="1"/>
  <c r="AD9" i="4" s="1"/>
  <c r="AR9" i="4" s="1"/>
  <c r="AT9" i="4" s="1"/>
  <c r="AE368" i="5"/>
  <c r="AE63" i="5"/>
  <c r="AE131" i="5"/>
  <c r="AS131" i="5"/>
  <c r="AT131" i="5" s="1"/>
  <c r="AE167" i="5"/>
  <c r="AK81" i="4"/>
  <c r="AD347" i="5"/>
  <c r="AD146" i="5"/>
  <c r="AD63" i="5"/>
  <c r="AS439" i="5"/>
  <c r="AT439" i="5" s="1"/>
  <c r="AG97" i="4"/>
  <c r="AI97" i="4" s="1"/>
  <c r="AA45" i="4"/>
  <c r="AC45" i="4" s="1"/>
  <c r="AD45" i="4" s="1"/>
  <c r="AA102" i="4"/>
  <c r="AC102" i="4" s="1"/>
  <c r="AD102" i="4" s="1"/>
  <c r="AR102" i="4" s="1"/>
  <c r="AT102" i="4" s="1"/>
  <c r="AS156" i="5"/>
  <c r="AU156" i="5" s="1"/>
  <c r="AS71" i="5"/>
  <c r="AT71" i="5" s="1"/>
  <c r="AD170" i="5"/>
  <c r="AE170" i="5"/>
  <c r="AS250" i="5"/>
  <c r="AT250" i="5" s="1"/>
  <c r="AF32" i="4"/>
  <c r="AG32" i="4" s="1"/>
  <c r="AI32" i="4" s="1"/>
  <c r="AA122" i="4"/>
  <c r="AC122" i="4" s="1"/>
  <c r="AD122" i="4" s="1"/>
  <c r="AA74" i="4"/>
  <c r="AC74" i="4" s="1"/>
  <c r="AD74" i="4" s="1"/>
  <c r="AR74" i="4" s="1"/>
  <c r="AT74" i="4" s="1"/>
  <c r="AK45" i="4"/>
  <c r="AS415" i="5"/>
  <c r="AU415" i="5" s="1"/>
  <c r="AA60" i="4"/>
  <c r="AC60" i="4" s="1"/>
  <c r="AD60" i="4" s="1"/>
  <c r="AD415" i="5"/>
  <c r="AO45" i="4"/>
  <c r="AD516" i="5"/>
  <c r="AA82" i="4"/>
  <c r="AC82" i="4" s="1"/>
  <c r="AD82" i="4" s="1"/>
  <c r="AR82" i="4" s="1"/>
  <c r="AT82" i="4" s="1"/>
  <c r="AS516" i="5"/>
  <c r="AU516" i="5" s="1"/>
  <c r="AS152" i="5"/>
  <c r="AU152" i="5" s="1"/>
  <c r="AE152" i="5"/>
  <c r="AD288" i="5"/>
  <c r="AK74" i="4"/>
  <c r="AK71" i="4"/>
  <c r="AE149" i="5"/>
  <c r="AF120" i="4"/>
  <c r="AO120" i="4" s="1"/>
  <c r="AS531" i="5"/>
  <c r="AU531" i="5" s="1"/>
  <c r="AE554" i="5"/>
  <c r="AS334" i="5"/>
  <c r="AU334" i="5" s="1"/>
  <c r="AE256" i="5"/>
  <c r="AD554" i="5"/>
  <c r="AK120" i="4"/>
  <c r="AK19" i="4"/>
  <c r="AE258" i="5"/>
  <c r="AE276" i="5"/>
  <c r="AE328" i="5"/>
  <c r="AS358" i="5"/>
  <c r="AU358" i="5" s="1"/>
  <c r="AE519" i="5"/>
  <c r="AD92" i="5"/>
  <c r="AS372" i="5"/>
  <c r="AT372" i="5" s="1"/>
  <c r="AS276" i="5"/>
  <c r="AT276" i="5" s="1"/>
  <c r="AS507" i="5"/>
  <c r="AT507" i="5" s="1"/>
  <c r="AD258" i="5"/>
  <c r="AS328" i="5"/>
  <c r="AT328" i="5" s="1"/>
  <c r="AE507" i="5"/>
  <c r="AK80" i="4"/>
  <c r="AA81" i="4"/>
  <c r="AC81" i="4" s="1"/>
  <c r="AD81" i="4" s="1"/>
  <c r="AF52" i="4"/>
  <c r="AA52" i="4"/>
  <c r="AC52" i="4" s="1"/>
  <c r="AD52" i="4" s="1"/>
  <c r="AE431" i="5"/>
  <c r="AS89" i="5"/>
  <c r="AU89" i="5" s="1"/>
  <c r="AS47" i="5"/>
  <c r="AT47" i="5" s="1"/>
  <c r="AE474" i="5"/>
  <c r="AF116" i="4"/>
  <c r="AK116" i="4"/>
  <c r="AJ108" i="4"/>
  <c r="AK108" i="4"/>
  <c r="AF38" i="4"/>
  <c r="AA38" i="4"/>
  <c r="AC38" i="4" s="1"/>
  <c r="AD38" i="4" s="1"/>
  <c r="AK38" i="4"/>
  <c r="AF63" i="4"/>
  <c r="AA63" i="4"/>
  <c r="AC63" i="4" s="1"/>
  <c r="AD63" i="4" s="1"/>
  <c r="AK63" i="4"/>
  <c r="AO70" i="4"/>
  <c r="AG70" i="4"/>
  <c r="AI70" i="4" s="1"/>
  <c r="AS431" i="5"/>
  <c r="AU431" i="5" s="1"/>
  <c r="AE89" i="5"/>
  <c r="AS474" i="5"/>
  <c r="AT474" i="5" s="1"/>
  <c r="B93" i="2"/>
  <c r="B113" i="2" s="1"/>
  <c r="H25" i="1" s="1"/>
  <c r="AG44" i="4"/>
  <c r="AI44" i="4" s="1"/>
  <c r="AO44" i="4"/>
  <c r="AF137" i="4"/>
  <c r="AK137" i="4"/>
  <c r="AA137" i="4"/>
  <c r="AC137" i="4" s="1"/>
  <c r="AD137" i="4" s="1"/>
  <c r="AA126" i="4"/>
  <c r="AC126" i="4" s="1"/>
  <c r="AD126" i="4" s="1"/>
  <c r="AF126" i="4"/>
  <c r="AK126" i="4"/>
  <c r="AF95" i="4"/>
  <c r="AK95" i="4"/>
  <c r="AA95" i="4"/>
  <c r="AC95" i="4" s="1"/>
  <c r="AD95" i="4" s="1"/>
  <c r="AK64" i="4"/>
  <c r="AF64" i="4"/>
  <c r="AA64" i="4"/>
  <c r="AC64" i="4" s="1"/>
  <c r="AD64" i="4" s="1"/>
  <c r="AS545" i="5"/>
  <c r="AU545" i="5" s="1"/>
  <c r="AD109" i="5"/>
  <c r="AA117" i="4"/>
  <c r="AC117" i="4" s="1"/>
  <c r="AD117" i="4" s="1"/>
  <c r="AA75" i="4"/>
  <c r="AC75" i="4" s="1"/>
  <c r="AD75" i="4" s="1"/>
  <c r="AF86" i="4"/>
  <c r="AA86" i="4"/>
  <c r="AC86" i="4" s="1"/>
  <c r="AD86" i="4" s="1"/>
  <c r="AK86" i="4"/>
  <c r="AJ27" i="4"/>
  <c r="AA27" i="4"/>
  <c r="AC27" i="4" s="1"/>
  <c r="AD27" i="4" s="1"/>
  <c r="AR27" i="4" s="1"/>
  <c r="AT27" i="4" s="1"/>
  <c r="AK27" i="4"/>
  <c r="AF69" i="4"/>
  <c r="AK69" i="4"/>
  <c r="AA69" i="4"/>
  <c r="AC69" i="4" s="1"/>
  <c r="AD69" i="4" s="1"/>
  <c r="AE545" i="5"/>
  <c r="AE109" i="5"/>
  <c r="AD324" i="5"/>
  <c r="AF100" i="4"/>
  <c r="AK100" i="4"/>
  <c r="AA100" i="4"/>
  <c r="AC100" i="4" s="1"/>
  <c r="AD100" i="4" s="1"/>
  <c r="AK30" i="4"/>
  <c r="AA157" i="4"/>
  <c r="AC157" i="4" s="1"/>
  <c r="AD157" i="4" s="1"/>
  <c r="AF157" i="4"/>
  <c r="AK157" i="4"/>
  <c r="AF14" i="4"/>
  <c r="AF150" i="4"/>
  <c r="AA150" i="4"/>
  <c r="AC150" i="4" s="1"/>
  <c r="AD150" i="4" s="1"/>
  <c r="AK150" i="4"/>
  <c r="AA111" i="4"/>
  <c r="AC111" i="4" s="1"/>
  <c r="AD111" i="4" s="1"/>
  <c r="AS84" i="5"/>
  <c r="AT84" i="5" s="1"/>
  <c r="AE454" i="5"/>
  <c r="AA116" i="4"/>
  <c r="AC116" i="4" s="1"/>
  <c r="AD116" i="4" s="1"/>
  <c r="AJ116" i="4"/>
  <c r="AA71" i="4"/>
  <c r="AC71" i="4" s="1"/>
  <c r="AD71" i="4" s="1"/>
  <c r="AR71" i="4" s="1"/>
  <c r="AT71" i="4" s="1"/>
  <c r="AA30" i="4"/>
  <c r="AC30" i="4" s="1"/>
  <c r="AD30" i="4" s="1"/>
  <c r="AR30" i="4" s="1"/>
  <c r="AT30" i="4" s="1"/>
  <c r="AF54" i="4"/>
  <c r="AA54" i="4"/>
  <c r="AC54" i="4" s="1"/>
  <c r="AD54" i="4" s="1"/>
  <c r="AK54" i="4"/>
  <c r="AA44" i="4"/>
  <c r="AC44" i="4" s="1"/>
  <c r="AD44" i="4" s="1"/>
  <c r="AJ44" i="4"/>
  <c r="AK128" i="4"/>
  <c r="AF128" i="4"/>
  <c r="AA128" i="4"/>
  <c r="AC128" i="4" s="1"/>
  <c r="AD128" i="4" s="1"/>
  <c r="AK111" i="4"/>
  <c r="AA66" i="4"/>
  <c r="AC66" i="4" s="1"/>
  <c r="AD66" i="4" s="1"/>
  <c r="AF77" i="4"/>
  <c r="AA77" i="4"/>
  <c r="AC77" i="4" s="1"/>
  <c r="AD77" i="4" s="1"/>
  <c r="AK77" i="4"/>
  <c r="AE324" i="5"/>
  <c r="AE84" i="5"/>
  <c r="AD372" i="5"/>
  <c r="AK122" i="4"/>
  <c r="AD454" i="5"/>
  <c r="AK75" i="4"/>
  <c r="AO123" i="4"/>
  <c r="AG123" i="4"/>
  <c r="AI123" i="4" s="1"/>
  <c r="AA108" i="4"/>
  <c r="AC108" i="4" s="1"/>
  <c r="AD108" i="4" s="1"/>
  <c r="AA8" i="4"/>
  <c r="AC8" i="4" s="1"/>
  <c r="AD8" i="4" s="1"/>
  <c r="AF8" i="4"/>
  <c r="AK8" i="4"/>
  <c r="AF7" i="4"/>
  <c r="AK7" i="4"/>
  <c r="AA7" i="4"/>
  <c r="AC7" i="4" s="1"/>
  <c r="AD7" i="4" s="1"/>
  <c r="AA134" i="4"/>
  <c r="AC134" i="4" s="1"/>
  <c r="AD134" i="4" s="1"/>
  <c r="AF134" i="4"/>
  <c r="AK134" i="4"/>
  <c r="AA93" i="4"/>
  <c r="AC93" i="4" s="1"/>
  <c r="AD93" i="4" s="1"/>
  <c r="AF93" i="4"/>
  <c r="AK93" i="4"/>
  <c r="AO111" i="4"/>
  <c r="AG111" i="4"/>
  <c r="AI111" i="4" s="1"/>
  <c r="AK52" i="4"/>
  <c r="AA80" i="4"/>
  <c r="AC80" i="4" s="1"/>
  <c r="AD80" i="4" s="1"/>
  <c r="AK47" i="4"/>
  <c r="AF47" i="4"/>
  <c r="AA47" i="4"/>
  <c r="AC47" i="4" s="1"/>
  <c r="AD47" i="4" s="1"/>
  <c r="AF127" i="4"/>
  <c r="AA127" i="4"/>
  <c r="AC127" i="4" s="1"/>
  <c r="AD127" i="4" s="1"/>
  <c r="AK127" i="4"/>
  <c r="AF135" i="4"/>
  <c r="AJ70" i="4"/>
  <c r="AA70" i="4"/>
  <c r="AC70" i="4" s="1"/>
  <c r="AD70" i="4" s="1"/>
  <c r="AF35" i="4"/>
  <c r="AA35" i="4"/>
  <c r="AC35" i="4" s="1"/>
  <c r="AD35" i="4" s="1"/>
  <c r="AK35" i="4"/>
  <c r="AF23" i="4"/>
  <c r="AA23" i="4"/>
  <c r="AC23" i="4" s="1"/>
  <c r="AD23" i="4" s="1"/>
  <c r="AK23" i="4"/>
  <c r="AD118" i="5"/>
  <c r="AS242" i="5"/>
  <c r="AU242" i="5" s="1"/>
  <c r="AE91" i="5"/>
  <c r="AE242" i="5"/>
  <c r="AE484" i="5"/>
  <c r="AS88" i="5"/>
  <c r="AU88" i="5" s="1"/>
  <c r="AD91" i="5"/>
  <c r="AS497" i="5"/>
  <c r="AU497" i="5" s="1"/>
  <c r="AD484" i="5"/>
  <c r="AD88" i="5"/>
  <c r="AD497" i="5"/>
  <c r="AD503" i="5"/>
  <c r="AE9" i="5"/>
  <c r="AS9" i="5"/>
  <c r="AD9" i="5"/>
  <c r="AO85" i="4"/>
  <c r="AK89" i="4"/>
  <c r="AK65" i="4"/>
  <c r="AO81" i="4"/>
  <c r="AA151" i="4"/>
  <c r="AC151" i="4" s="1"/>
  <c r="AD151" i="4" s="1"/>
  <c r="AR151" i="4" s="1"/>
  <c r="AT151" i="4" s="1"/>
  <c r="AG49" i="4"/>
  <c r="AI49" i="4" s="1"/>
  <c r="AR49" i="4" s="1"/>
  <c r="AT49" i="4" s="1"/>
  <c r="AA153" i="4"/>
  <c r="AC153" i="4" s="1"/>
  <c r="AD153" i="4" s="1"/>
  <c r="AK117" i="4"/>
  <c r="AK151" i="4"/>
  <c r="AG114" i="4"/>
  <c r="AI114" i="4" s="1"/>
  <c r="AK124" i="4"/>
  <c r="AK13" i="4"/>
  <c r="AG43" i="4"/>
  <c r="AI43" i="4" s="1"/>
  <c r="AA13" i="4"/>
  <c r="AC13" i="4" s="1"/>
  <c r="AD13" i="4" s="1"/>
  <c r="AO17" i="4"/>
  <c r="AK92" i="4"/>
  <c r="AA65" i="4"/>
  <c r="AC65" i="4" s="1"/>
  <c r="AD65" i="4" s="1"/>
  <c r="AG149" i="4"/>
  <c r="AI149" i="4" s="1"/>
  <c r="AK51" i="4"/>
  <c r="AA89" i="4"/>
  <c r="AC89" i="4" s="1"/>
  <c r="AD89" i="4" s="1"/>
  <c r="AR89" i="4" s="1"/>
  <c r="AT89" i="4" s="1"/>
  <c r="AA17" i="4"/>
  <c r="AC17" i="4" s="1"/>
  <c r="AD17" i="4" s="1"/>
  <c r="AK136" i="4"/>
  <c r="AG139" i="4"/>
  <c r="AI139" i="4" s="1"/>
  <c r="AR139" i="4" s="1"/>
  <c r="AT139" i="4" s="1"/>
  <c r="AA92" i="4"/>
  <c r="AC92" i="4" s="1"/>
  <c r="AD92" i="4" s="1"/>
  <c r="AK97" i="4"/>
  <c r="AK17" i="4"/>
  <c r="AA48" i="4"/>
  <c r="AC48" i="4" s="1"/>
  <c r="AD48" i="4" s="1"/>
  <c r="AA51" i="4"/>
  <c r="AC51" i="4" s="1"/>
  <c r="AD51" i="4" s="1"/>
  <c r="AK55" i="4"/>
  <c r="AA97" i="4"/>
  <c r="AC97" i="4" s="1"/>
  <c r="AD97" i="4" s="1"/>
  <c r="AA136" i="4"/>
  <c r="AC136" i="4" s="1"/>
  <c r="AD136" i="4" s="1"/>
  <c r="AR136" i="4" s="1"/>
  <c r="AT136" i="4" s="1"/>
  <c r="AA85" i="4"/>
  <c r="AC85" i="4" s="1"/>
  <c r="AD85" i="4" s="1"/>
  <c r="AA90" i="4"/>
  <c r="AC90" i="4" s="1"/>
  <c r="AD90" i="4" s="1"/>
  <c r="AK138" i="4"/>
  <c r="AJ25" i="4"/>
  <c r="AA25" i="4"/>
  <c r="AC25" i="4" s="1"/>
  <c r="AD25" i="4" s="1"/>
  <c r="AR25" i="4" s="1"/>
  <c r="AT25" i="4" s="1"/>
  <c r="AA113" i="4"/>
  <c r="AC113" i="4" s="1"/>
  <c r="AD113" i="4" s="1"/>
  <c r="AA114" i="4"/>
  <c r="AC114" i="4" s="1"/>
  <c r="AD114" i="4" s="1"/>
  <c r="AA138" i="4"/>
  <c r="AC138" i="4" s="1"/>
  <c r="AD138" i="4" s="1"/>
  <c r="AJ104" i="4"/>
  <c r="AA104" i="4"/>
  <c r="AC104" i="4" s="1"/>
  <c r="AD104" i="4" s="1"/>
  <c r="AK114" i="4"/>
  <c r="AK16" i="4"/>
  <c r="AJ41" i="4"/>
  <c r="AA41" i="4"/>
  <c r="AC41" i="4" s="1"/>
  <c r="AD41" i="4" s="1"/>
  <c r="AR41" i="4" s="1"/>
  <c r="AT41" i="4" s="1"/>
  <c r="AA55" i="4"/>
  <c r="AC55" i="4" s="1"/>
  <c r="AD55" i="4" s="1"/>
  <c r="AK113" i="4"/>
  <c r="AA131" i="4"/>
  <c r="AC131" i="4" s="1"/>
  <c r="AD131" i="4" s="1"/>
  <c r="AR87" i="4"/>
  <c r="AT87" i="4" s="1"/>
  <c r="AR98" i="4"/>
  <c r="AT98" i="4" s="1"/>
  <c r="AR36" i="4"/>
  <c r="AT36" i="4" s="1"/>
  <c r="AR106" i="4"/>
  <c r="AT106" i="4" s="1"/>
  <c r="AO48" i="4"/>
  <c r="AG48" i="4"/>
  <c r="AI48" i="4" s="1"/>
  <c r="AG131" i="4"/>
  <c r="AI131" i="4" s="1"/>
  <c r="AO131" i="4"/>
  <c r="AG90" i="4"/>
  <c r="AI90" i="4" s="1"/>
  <c r="AO90" i="4"/>
  <c r="AJ31" i="4"/>
  <c r="AK31" i="4"/>
  <c r="AG117" i="4"/>
  <c r="AI117" i="4" s="1"/>
  <c r="AO117" i="4"/>
  <c r="AT7" i="5"/>
  <c r="AU7" i="5"/>
  <c r="AT83" i="5"/>
  <c r="AU83" i="5"/>
  <c r="AT146" i="5"/>
  <c r="AU146" i="5"/>
  <c r="AO57" i="4"/>
  <c r="AG57" i="4"/>
  <c r="AI57" i="4" s="1"/>
  <c r="AU500" i="5"/>
  <c r="AT500" i="5"/>
  <c r="AU294" i="5"/>
  <c r="AT294" i="5"/>
  <c r="AF73" i="4"/>
  <c r="AK73" i="4"/>
  <c r="AJ28" i="4"/>
  <c r="AK28" i="4"/>
  <c r="AJ36" i="4"/>
  <c r="AK36" i="4"/>
  <c r="AT109" i="5"/>
  <c r="AU109" i="5"/>
  <c r="AT337" i="5"/>
  <c r="AU337" i="5"/>
  <c r="AG104" i="4"/>
  <c r="AI104" i="4" s="1"/>
  <c r="AO104" i="4"/>
  <c r="AT434" i="5"/>
  <c r="AU434" i="5"/>
  <c r="AU424" i="5"/>
  <c r="AT424" i="5"/>
  <c r="AU171" i="5"/>
  <c r="AT171" i="5"/>
  <c r="AJ154" i="4"/>
  <c r="AK154" i="4"/>
  <c r="AT208" i="5"/>
  <c r="AU208" i="5"/>
  <c r="AU523" i="5"/>
  <c r="AT523" i="5"/>
  <c r="AU118" i="5"/>
  <c r="AT118" i="5"/>
  <c r="AU522" i="5"/>
  <c r="AT522" i="5"/>
  <c r="AG138" i="4"/>
  <c r="AI138" i="4" s="1"/>
  <c r="AO138" i="4"/>
  <c r="AT317" i="5"/>
  <c r="AU317" i="5"/>
  <c r="AJ115" i="4"/>
  <c r="AK115" i="4"/>
  <c r="AT461" i="5"/>
  <c r="AU461" i="5"/>
  <c r="AU159" i="5"/>
  <c r="AT159" i="5"/>
  <c r="AU303" i="5"/>
  <c r="AT303" i="5"/>
  <c r="AT520" i="5"/>
  <c r="AU520" i="5"/>
  <c r="AT347" i="5"/>
  <c r="AU347" i="5"/>
  <c r="AO33" i="4"/>
  <c r="AG33" i="4"/>
  <c r="AI33" i="4" s="1"/>
  <c r="AT101" i="5"/>
  <c r="AU101" i="5"/>
  <c r="AU495" i="5"/>
  <c r="AT495" i="5"/>
  <c r="AJ119" i="4"/>
  <c r="AK119" i="4"/>
  <c r="AT544" i="5"/>
  <c r="AU544" i="5"/>
  <c r="AT33" i="5"/>
  <c r="AU33" i="5"/>
  <c r="AU413" i="5"/>
  <c r="AT413" i="5"/>
  <c r="AU279" i="5"/>
  <c r="AT279" i="5"/>
  <c r="AJ32" i="4"/>
  <c r="AK32" i="4"/>
  <c r="AA16" i="4"/>
  <c r="AC16" i="4" s="1"/>
  <c r="AD16" i="4" s="1"/>
  <c r="AG51" i="4"/>
  <c r="AI51" i="4" s="1"/>
  <c r="AO51" i="4"/>
  <c r="AU135" i="5"/>
  <c r="AT135" i="5"/>
  <c r="AU251" i="5"/>
  <c r="AT251" i="5"/>
  <c r="AT180" i="5"/>
  <c r="AU180" i="5"/>
  <c r="AE13" i="5"/>
  <c r="AD13" i="5"/>
  <c r="AS13" i="5"/>
  <c r="AJ131" i="4"/>
  <c r="AK131" i="4"/>
  <c r="AO147" i="4"/>
  <c r="AG147" i="4"/>
  <c r="AI147" i="4" s="1"/>
  <c r="AO60" i="4"/>
  <c r="AG60" i="4"/>
  <c r="AI60" i="4" s="1"/>
  <c r="AU173" i="5"/>
  <c r="AT173" i="5"/>
  <c r="AR31" i="4"/>
  <c r="AT31" i="4" s="1"/>
  <c r="AJ78" i="4"/>
  <c r="AK78" i="4"/>
  <c r="AU183" i="5"/>
  <c r="AT183" i="5"/>
  <c r="AX182" i="5" s="1"/>
  <c r="AY182" i="5" s="1"/>
  <c r="AT392" i="5"/>
  <c r="AU392" i="5"/>
  <c r="AT464" i="5"/>
  <c r="AU464" i="5"/>
  <c r="AJ60" i="4"/>
  <c r="AK60" i="4"/>
  <c r="AJ139" i="4"/>
  <c r="AK139" i="4"/>
  <c r="AG121" i="4"/>
  <c r="AI121" i="4" s="1"/>
  <c r="AO121" i="4"/>
  <c r="AU100" i="5"/>
  <c r="AT100" i="5"/>
  <c r="AT160" i="5"/>
  <c r="AU160" i="5"/>
  <c r="AU167" i="5"/>
  <c r="AT167" i="5"/>
  <c r="AT286" i="5"/>
  <c r="AU286" i="5"/>
  <c r="AU362" i="5"/>
  <c r="AT362" i="5"/>
  <c r="AO107" i="4"/>
  <c r="AG107" i="4"/>
  <c r="AI107" i="4" s="1"/>
  <c r="AJ121" i="4"/>
  <c r="AK121" i="4"/>
  <c r="AU264" i="5"/>
  <c r="AT264" i="5"/>
  <c r="AJ53" i="4"/>
  <c r="AK53" i="4"/>
  <c r="AT479" i="5"/>
  <c r="AU479" i="5"/>
  <c r="AG153" i="4"/>
  <c r="AI153" i="4" s="1"/>
  <c r="AO153" i="4"/>
  <c r="AR112" i="4"/>
  <c r="AT112" i="4" s="1"/>
  <c r="AT454" i="5"/>
  <c r="AU454" i="5"/>
  <c r="AT34" i="5"/>
  <c r="AU34" i="5"/>
  <c r="AO80" i="4"/>
  <c r="AG80" i="4"/>
  <c r="AI80" i="4" s="1"/>
  <c r="AT187" i="5"/>
  <c r="AU187" i="5"/>
  <c r="AT223" i="5"/>
  <c r="AU223" i="5"/>
  <c r="AU449" i="5"/>
  <c r="AT449" i="5"/>
  <c r="AT181" i="5"/>
  <c r="AU181" i="5"/>
  <c r="AT206" i="5"/>
  <c r="AU206" i="5"/>
  <c r="AU481" i="5"/>
  <c r="AT481" i="5"/>
  <c r="AU136" i="5"/>
  <c r="AT136" i="5"/>
  <c r="AG13" i="4"/>
  <c r="AI13" i="4" s="1"/>
  <c r="AO13" i="4"/>
  <c r="AU546" i="5"/>
  <c r="AT546" i="5"/>
  <c r="AU258" i="5"/>
  <c r="AT258" i="5"/>
  <c r="AX257" i="5" s="1"/>
  <c r="AY257" i="5" s="1"/>
  <c r="AT397" i="5"/>
  <c r="AU397" i="5"/>
  <c r="AU252" i="5"/>
  <c r="AT252" i="5"/>
  <c r="AJ147" i="4"/>
  <c r="AK147" i="4"/>
  <c r="AU254" i="5"/>
  <c r="AT254" i="5"/>
  <c r="AU365" i="5"/>
  <c r="AT365" i="5"/>
  <c r="AU85" i="5"/>
  <c r="AT85" i="5"/>
  <c r="AU165" i="5"/>
  <c r="AT165" i="5"/>
  <c r="AG113" i="4"/>
  <c r="AI113" i="4" s="1"/>
  <c r="AO113" i="4"/>
  <c r="AT448" i="5"/>
  <c r="AU448" i="5"/>
  <c r="AT161" i="5"/>
  <c r="AU161" i="5"/>
  <c r="AJ110" i="4"/>
  <c r="AK110" i="4"/>
  <c r="AT331" i="5"/>
  <c r="AU331" i="5"/>
  <c r="AU395" i="5"/>
  <c r="AT395" i="5"/>
  <c r="AT282" i="5"/>
  <c r="AU282" i="5"/>
  <c r="AT192" i="5"/>
  <c r="AU192" i="5"/>
  <c r="AU456" i="5"/>
  <c r="AT456" i="5"/>
  <c r="AU329" i="5"/>
  <c r="AT329" i="5"/>
  <c r="AU515" i="5"/>
  <c r="AT515" i="5"/>
  <c r="AT43" i="5"/>
  <c r="AU43" i="5"/>
  <c r="AU538" i="5"/>
  <c r="AT538" i="5"/>
  <c r="AT521" i="5"/>
  <c r="AU521" i="5"/>
  <c r="AU408" i="5"/>
  <c r="AT408" i="5"/>
  <c r="AU274" i="5"/>
  <c r="AT274" i="5"/>
  <c r="AG129" i="4"/>
  <c r="AI129" i="4" s="1"/>
  <c r="AO129" i="4"/>
  <c r="AF91" i="4"/>
  <c r="AK91" i="4"/>
  <c r="AO88" i="4"/>
  <c r="AG88" i="4"/>
  <c r="AI88" i="4" s="1"/>
  <c r="AU142" i="5"/>
  <c r="AT142" i="5"/>
  <c r="AU333" i="5"/>
  <c r="AT333" i="5"/>
  <c r="AT221" i="5"/>
  <c r="AU221" i="5"/>
  <c r="AT170" i="5"/>
  <c r="AU170" i="5"/>
  <c r="AU460" i="5"/>
  <c r="AT460" i="5"/>
  <c r="AU253" i="5"/>
  <c r="AT253" i="5"/>
  <c r="AJ88" i="4"/>
  <c r="AK88" i="4"/>
  <c r="AT298" i="5"/>
  <c r="AU298" i="5"/>
  <c r="AG99" i="4"/>
  <c r="AI99" i="4" s="1"/>
  <c r="AO99" i="4"/>
  <c r="AO124" i="4"/>
  <c r="AG124" i="4"/>
  <c r="AI124" i="4" s="1"/>
  <c r="AT554" i="5"/>
  <c r="AU554" i="5"/>
  <c r="AG145" i="4"/>
  <c r="AI145" i="4" s="1"/>
  <c r="AO145" i="4"/>
  <c r="AJ56" i="4"/>
  <c r="AK56" i="4"/>
  <c r="AT491" i="5"/>
  <c r="AU491" i="5"/>
  <c r="AJ149" i="4"/>
  <c r="AK149" i="4"/>
  <c r="AT537" i="5"/>
  <c r="AU537" i="5"/>
  <c r="AU348" i="5"/>
  <c r="AT348" i="5"/>
  <c r="AT485" i="5"/>
  <c r="AU485" i="5"/>
  <c r="AU87" i="5"/>
  <c r="AT87" i="5"/>
  <c r="AU432" i="5"/>
  <c r="AT432" i="5"/>
  <c r="AJ146" i="4"/>
  <c r="AK146" i="4"/>
  <c r="AG56" i="4"/>
  <c r="AI56" i="4" s="1"/>
  <c r="AO56" i="4"/>
  <c r="AU467" i="5"/>
  <c r="AT467" i="5"/>
  <c r="AT269" i="5"/>
  <c r="AU269" i="5"/>
  <c r="AR53" i="4"/>
  <c r="AT53" i="4" s="1"/>
  <c r="AJ156" i="4"/>
  <c r="AK156" i="4"/>
  <c r="AU121" i="5"/>
  <c r="AT121" i="5"/>
  <c r="AU288" i="5"/>
  <c r="AT288" i="5"/>
  <c r="AU203" i="5"/>
  <c r="AT203" i="5"/>
  <c r="AU488" i="5"/>
  <c r="AT488" i="5"/>
  <c r="AU429" i="5"/>
  <c r="AT429" i="5"/>
  <c r="AU260" i="5"/>
  <c r="AT260" i="5"/>
  <c r="AT426" i="5"/>
  <c r="AU426" i="5"/>
  <c r="AT290" i="5"/>
  <c r="AU290" i="5"/>
  <c r="AT37" i="5"/>
  <c r="AU37" i="5"/>
  <c r="AJ106" i="4"/>
  <c r="AK106" i="4"/>
  <c r="AU40" i="5"/>
  <c r="AT40" i="5"/>
  <c r="AU144" i="5"/>
  <c r="AT144" i="5"/>
  <c r="AA11" i="4"/>
  <c r="AC11" i="4" s="1"/>
  <c r="AD11" i="4" s="1"/>
  <c r="AT557" i="5"/>
  <c r="AU557" i="5"/>
  <c r="AU482" i="5"/>
  <c r="AT482" i="5"/>
  <c r="AT176" i="5"/>
  <c r="AX175" i="5" s="1"/>
  <c r="AY175" i="5" s="1"/>
  <c r="AU176" i="5"/>
  <c r="AU311" i="5"/>
  <c r="AT311" i="5"/>
  <c r="AT149" i="5"/>
  <c r="AU149" i="5"/>
  <c r="AJ33" i="4"/>
  <c r="AK33" i="4"/>
  <c r="AU471" i="5"/>
  <c r="AT471" i="5"/>
  <c r="AG146" i="4"/>
  <c r="AI146" i="4" s="1"/>
  <c r="AO146" i="4"/>
  <c r="AU341" i="5"/>
  <c r="AT341" i="5"/>
  <c r="AO42" i="4"/>
  <c r="AG42" i="4"/>
  <c r="AI42" i="4" s="1"/>
  <c r="AU338" i="5"/>
  <c r="AT338" i="5"/>
  <c r="AU379" i="5"/>
  <c r="AT379" i="5"/>
  <c r="AU498" i="5"/>
  <c r="AT498" i="5"/>
  <c r="AU417" i="5"/>
  <c r="AT417" i="5"/>
  <c r="AG28" i="4"/>
  <c r="AI28" i="4" s="1"/>
  <c r="AO28" i="4"/>
  <c r="AT525" i="5"/>
  <c r="AU525" i="5"/>
  <c r="AT275" i="5"/>
  <c r="AU275" i="5"/>
  <c r="AU422" i="5"/>
  <c r="AT422" i="5"/>
  <c r="AT343" i="5"/>
  <c r="AU343" i="5"/>
  <c r="AU280" i="5"/>
  <c r="AT280" i="5"/>
  <c r="AU319" i="5"/>
  <c r="AT319" i="5"/>
  <c r="AT74" i="5"/>
  <c r="AU74" i="5"/>
  <c r="AT465" i="5"/>
  <c r="AU465" i="5"/>
  <c r="AG29" i="4"/>
  <c r="AI29" i="4" s="1"/>
  <c r="AO29" i="4"/>
  <c r="AU427" i="5"/>
  <c r="AT427" i="5"/>
  <c r="AU268" i="5"/>
  <c r="AT268" i="5"/>
  <c r="AT304" i="5"/>
  <c r="AU304" i="5"/>
  <c r="AU386" i="5"/>
  <c r="AT386" i="5"/>
  <c r="AJ48" i="4"/>
  <c r="AK48" i="4"/>
  <c r="AT459" i="5"/>
  <c r="AU459" i="5"/>
  <c r="AG154" i="4"/>
  <c r="AI154" i="4" s="1"/>
  <c r="AO154" i="4"/>
  <c r="AT70" i="5"/>
  <c r="AU70" i="5"/>
  <c r="AT339" i="5"/>
  <c r="AU339" i="5"/>
  <c r="AU342" i="5"/>
  <c r="AT342" i="5"/>
  <c r="AU256" i="5"/>
  <c r="AT256" i="5"/>
  <c r="AG15" i="4"/>
  <c r="AI15" i="4" s="1"/>
  <c r="AO15" i="4"/>
  <c r="AK11" i="4"/>
  <c r="AT296" i="5"/>
  <c r="AU296" i="5"/>
  <c r="AU508" i="5"/>
  <c r="AT508" i="5"/>
  <c r="AU489" i="5"/>
  <c r="AT489" i="5"/>
  <c r="AU232" i="5"/>
  <c r="AT232" i="5"/>
  <c r="AU262" i="5"/>
  <c r="AT262" i="5"/>
  <c r="AU499" i="5"/>
  <c r="AT499" i="5"/>
  <c r="AJ90" i="4"/>
  <c r="AK90" i="4"/>
  <c r="AJ112" i="4"/>
  <c r="AK112" i="4"/>
  <c r="AU216" i="5"/>
  <c r="AT216" i="5"/>
  <c r="AU130" i="5"/>
  <c r="AT130" i="5"/>
  <c r="AO115" i="4"/>
  <c r="AG115" i="4"/>
  <c r="AI115" i="4" s="1"/>
  <c r="AT69" i="5"/>
  <c r="AU69" i="5"/>
  <c r="AU189" i="5"/>
  <c r="AT189" i="5"/>
  <c r="AJ43" i="4"/>
  <c r="AK43" i="4"/>
  <c r="AG92" i="4"/>
  <c r="AI92" i="4" s="1"/>
  <c r="AO92" i="4"/>
  <c r="AG119" i="4"/>
  <c r="AI119" i="4" s="1"/>
  <c r="AO119" i="4"/>
  <c r="AG65" i="4"/>
  <c r="AI65" i="4" s="1"/>
  <c r="AO65" i="4"/>
  <c r="AG110" i="4"/>
  <c r="AI110" i="4" s="1"/>
  <c r="AO110" i="4"/>
  <c r="AJ50" i="4"/>
  <c r="AK50" i="4"/>
  <c r="AJ87" i="4"/>
  <c r="AK87" i="4"/>
  <c r="AU433" i="5"/>
  <c r="AT433" i="5"/>
  <c r="AJ29" i="4"/>
  <c r="AK29" i="4"/>
  <c r="AT356" i="5"/>
  <c r="AU356" i="5"/>
  <c r="AU123" i="5"/>
  <c r="AT123" i="5"/>
  <c r="AT506" i="5"/>
  <c r="AU506" i="5"/>
  <c r="AO55" i="4"/>
  <c r="AG55" i="4"/>
  <c r="AI55" i="4" s="1"/>
  <c r="AU373" i="5"/>
  <c r="AT373" i="5"/>
  <c r="AJ42" i="4"/>
  <c r="AK42" i="4"/>
  <c r="AU215" i="5"/>
  <c r="AT215" i="5"/>
  <c r="AT484" i="5"/>
  <c r="AU484" i="5"/>
  <c r="AT332" i="5"/>
  <c r="AU332" i="5"/>
  <c r="AU151" i="5"/>
  <c r="AT151" i="5"/>
  <c r="AT436" i="5"/>
  <c r="AU436" i="5"/>
  <c r="AU371" i="5"/>
  <c r="AT371" i="5"/>
  <c r="AU399" i="5"/>
  <c r="AT399" i="5"/>
  <c r="AJ49" i="4"/>
  <c r="AK49" i="4"/>
  <c r="AT553" i="5"/>
  <c r="AU553" i="5"/>
  <c r="AT63" i="5"/>
  <c r="AU63" i="5"/>
  <c r="AT450" i="5"/>
  <c r="AU450" i="5"/>
  <c r="AU524" i="5"/>
  <c r="AT524" i="5"/>
  <c r="AR78" i="4"/>
  <c r="AT78" i="4" s="1"/>
  <c r="AG11" i="4"/>
  <c r="AI11" i="4" s="1"/>
  <c r="AO11" i="4"/>
  <c r="AT536" i="5"/>
  <c r="AU536" i="5"/>
  <c r="AU91" i="5"/>
  <c r="AT91" i="5"/>
  <c r="AU380" i="5"/>
  <c r="AT380" i="5"/>
  <c r="AU324" i="5"/>
  <c r="AT324" i="5"/>
  <c r="AT237" i="5"/>
  <c r="AU237" i="5"/>
  <c r="AU80" i="5"/>
  <c r="AT80" i="5"/>
  <c r="AQ13" i="5"/>
  <c r="AR13" i="5"/>
  <c r="AU59" i="5"/>
  <c r="AT59" i="5"/>
  <c r="AJ107" i="4"/>
  <c r="AK107" i="4"/>
  <c r="AT261" i="5"/>
  <c r="AU261" i="5"/>
  <c r="AU125" i="5"/>
  <c r="AT125" i="5"/>
  <c r="AU305" i="5"/>
  <c r="AT305" i="5"/>
  <c r="AG122" i="4"/>
  <c r="AI122" i="4" s="1"/>
  <c r="AO122" i="4"/>
  <c r="AT117" i="5"/>
  <c r="AU117" i="5"/>
  <c r="AT543" i="5"/>
  <c r="AU543" i="5"/>
  <c r="AU38" i="5"/>
  <c r="AT38" i="5"/>
  <c r="AG50" i="4"/>
  <c r="AI50" i="4" s="1"/>
  <c r="AO50" i="4"/>
  <c r="AU241" i="5"/>
  <c r="AT241" i="5"/>
  <c r="AU312" i="5"/>
  <c r="AT312" i="5"/>
  <c r="AT284" i="5"/>
  <c r="AU284" i="5"/>
  <c r="AU381" i="5"/>
  <c r="AT381" i="5"/>
  <c r="AU212" i="5"/>
  <c r="AT212" i="5"/>
  <c r="AT512" i="5"/>
  <c r="AU512" i="5"/>
  <c r="AT445" i="5"/>
  <c r="AU445" i="5"/>
  <c r="AT112" i="5"/>
  <c r="AU112" i="5"/>
  <c r="AU370" i="5"/>
  <c r="AT370" i="5"/>
  <c r="AU133" i="5"/>
  <c r="AT133" i="5"/>
  <c r="AG156" i="4"/>
  <c r="AI156" i="4" s="1"/>
  <c r="AO156" i="4"/>
  <c r="AT266" i="5"/>
  <c r="AU266" i="5"/>
  <c r="AO16" i="4"/>
  <c r="AG16" i="4"/>
  <c r="AI16" i="4" s="1"/>
  <c r="AU49" i="5" l="1"/>
  <c r="AU376" i="5"/>
  <c r="AU446" i="5"/>
  <c r="AT234" i="5"/>
  <c r="AX45" i="5"/>
  <c r="AY45" i="5" s="1"/>
  <c r="AK12" i="4"/>
  <c r="AU200" i="5"/>
  <c r="AU26" i="5"/>
  <c r="AA145" i="4"/>
  <c r="AC145" i="4" s="1"/>
  <c r="AD145" i="4" s="1"/>
  <c r="AR145" i="4" s="1"/>
  <c r="AT145" i="4" s="1"/>
  <c r="AU345" i="5"/>
  <c r="AT483" i="5"/>
  <c r="AX483" i="5" s="1"/>
  <c r="AY483" i="5" s="1"/>
  <c r="AK145" i="4"/>
  <c r="AX23" i="5"/>
  <c r="AY23" i="5" s="1"/>
  <c r="AU23" i="5"/>
  <c r="AK66" i="4"/>
  <c r="AF37" i="4"/>
  <c r="AU289" i="5"/>
  <c r="AX97" i="5"/>
  <c r="AY97" i="5" s="1"/>
  <c r="AK37" i="4"/>
  <c r="AT530" i="5"/>
  <c r="AX184" i="5"/>
  <c r="AY184" i="5" s="1"/>
  <c r="AU534" i="5"/>
  <c r="AT105" i="5"/>
  <c r="AX105" i="5" s="1"/>
  <c r="AY105" i="5" s="1"/>
  <c r="AT463" i="5"/>
  <c r="AX463" i="5" s="1"/>
  <c r="AY463" i="5" s="1"/>
  <c r="AU265" i="5"/>
  <c r="AU97" i="5"/>
  <c r="AT243" i="5"/>
  <c r="AU226" i="5"/>
  <c r="AT213" i="5"/>
  <c r="AX212" i="5" s="1"/>
  <c r="AY212" i="5" s="1"/>
  <c r="AU532" i="5"/>
  <c r="AT540" i="5"/>
  <c r="AX539" i="5" s="1"/>
  <c r="AY539" i="5" s="1"/>
  <c r="AT470" i="5"/>
  <c r="AX470" i="5" s="1"/>
  <c r="AY470" i="5" s="1"/>
  <c r="AT469" i="5"/>
  <c r="AU509" i="5"/>
  <c r="AU184" i="5"/>
  <c r="AA46" i="4"/>
  <c r="AC46" i="4" s="1"/>
  <c r="AD46" i="4" s="1"/>
  <c r="AR46" i="4" s="1"/>
  <c r="AT46" i="4" s="1"/>
  <c r="AJ46" i="4"/>
  <c r="AU359" i="5"/>
  <c r="AA20" i="4"/>
  <c r="AC20" i="4" s="1"/>
  <c r="AD20" i="4" s="1"/>
  <c r="AG66" i="4"/>
  <c r="AI66" i="4" s="1"/>
  <c r="AR66" i="4" s="1"/>
  <c r="AT66" i="4" s="1"/>
  <c r="AK20" i="4"/>
  <c r="AU327" i="5"/>
  <c r="AU297" i="5"/>
  <c r="AT466" i="5"/>
  <c r="AX466" i="5" s="1"/>
  <c r="AY466" i="5" s="1"/>
  <c r="AU188" i="5"/>
  <c r="AU166" i="5"/>
  <c r="AU477" i="5"/>
  <c r="AT518" i="5"/>
  <c r="AX517" i="5" s="1"/>
  <c r="AY517" i="5" s="1"/>
  <c r="AU514" i="5"/>
  <c r="AU22" i="5"/>
  <c r="AU511" i="5"/>
  <c r="AR43" i="4"/>
  <c r="AT43" i="4" s="1"/>
  <c r="AU62" i="5"/>
  <c r="AX49" i="5"/>
  <c r="AY49" i="5" s="1"/>
  <c r="AR18" i="4"/>
  <c r="AT18" i="4" s="1"/>
  <c r="AU349" i="5"/>
  <c r="AA14" i="4"/>
  <c r="AC14" i="4" s="1"/>
  <c r="AD14" i="4" s="1"/>
  <c r="AR149" i="4"/>
  <c r="AT149" i="4" s="1"/>
  <c r="AK14" i="4"/>
  <c r="AU148" i="5"/>
  <c r="AU137" i="5"/>
  <c r="AT201" i="5"/>
  <c r="AX201" i="5" s="1"/>
  <c r="AY201" i="5" s="1"/>
  <c r="AA61" i="4"/>
  <c r="AC61" i="4" s="1"/>
  <c r="AD61" i="4" s="1"/>
  <c r="AR61" i="4" s="1"/>
  <c r="AT61" i="4" s="1"/>
  <c r="AT42" i="5"/>
  <c r="AX42" i="5" s="1"/>
  <c r="AY42" i="5" s="1"/>
  <c r="AU351" i="5"/>
  <c r="AU21" i="5"/>
  <c r="AX21" i="5"/>
  <c r="AY21" i="5" s="1"/>
  <c r="AK61" i="4"/>
  <c r="AT214" i="5"/>
  <c r="AX214" i="5" s="1"/>
  <c r="AY214" i="5" s="1"/>
  <c r="AT267" i="5"/>
  <c r="AX267" i="5" s="1"/>
  <c r="AY267" i="5" s="1"/>
  <c r="AT186" i="5"/>
  <c r="AX186" i="5" s="1"/>
  <c r="AY186" i="5" s="1"/>
  <c r="AT301" i="5"/>
  <c r="AX300" i="5" s="1"/>
  <c r="AY300" i="5" s="1"/>
  <c r="AU300" i="5"/>
  <c r="AT313" i="5"/>
  <c r="AX313" i="5" s="1"/>
  <c r="AY313" i="5" s="1"/>
  <c r="AU382" i="5"/>
  <c r="AX148" i="5"/>
  <c r="AY148" i="5" s="1"/>
  <c r="AT451" i="5"/>
  <c r="AX450" i="5" s="1"/>
  <c r="AY450" i="5" s="1"/>
  <c r="AT486" i="5"/>
  <c r="AX485" i="5" s="1"/>
  <c r="AY485" i="5" s="1"/>
  <c r="AA57" i="4"/>
  <c r="AC57" i="4" s="1"/>
  <c r="AD57" i="4" s="1"/>
  <c r="AR57" i="4" s="1"/>
  <c r="AT57" i="4" s="1"/>
  <c r="AF22" i="4"/>
  <c r="AO22" i="4" s="1"/>
  <c r="AA142" i="4"/>
  <c r="AC142" i="4" s="1"/>
  <c r="AD142" i="4" s="1"/>
  <c r="AX147" i="5"/>
  <c r="AY147" i="5" s="1"/>
  <c r="AT248" i="5"/>
  <c r="AX247" i="5" s="1"/>
  <c r="AY247" i="5" s="1"/>
  <c r="AU205" i="5"/>
  <c r="AT478" i="5"/>
  <c r="AX477" i="5" s="1"/>
  <c r="AY477" i="5" s="1"/>
  <c r="AK15" i="4"/>
  <c r="AU31" i="5"/>
  <c r="AU283" i="5"/>
  <c r="AO142" i="4"/>
  <c r="AT390" i="5"/>
  <c r="AX389" i="5" s="1"/>
  <c r="AY389" i="5" s="1"/>
  <c r="AK57" i="4"/>
  <c r="AA15" i="4"/>
  <c r="AC15" i="4" s="1"/>
  <c r="AD15" i="4" s="1"/>
  <c r="AR15" i="4" s="1"/>
  <c r="AT15" i="4" s="1"/>
  <c r="AT316" i="5"/>
  <c r="AX316" i="5" s="1"/>
  <c r="AY316" i="5" s="1"/>
  <c r="AK142" i="4"/>
  <c r="AT444" i="5"/>
  <c r="AX444" i="5" s="1"/>
  <c r="AY444" i="5" s="1"/>
  <c r="AT58" i="5"/>
  <c r="AX58" i="5" s="1"/>
  <c r="AY58" i="5" s="1"/>
  <c r="AT374" i="5"/>
  <c r="AX373" i="5" s="1"/>
  <c r="AY373" i="5" s="1"/>
  <c r="AT455" i="5"/>
  <c r="AX454" i="5" s="1"/>
  <c r="AY454" i="5" s="1"/>
  <c r="AT360" i="5"/>
  <c r="AT308" i="5"/>
  <c r="AX308" i="5" s="1"/>
  <c r="AY308" i="5" s="1"/>
  <c r="AT361" i="5"/>
  <c r="AX361" i="5" s="1"/>
  <c r="AY361" i="5" s="1"/>
  <c r="AX278" i="5"/>
  <c r="AY278" i="5" s="1"/>
  <c r="AX62" i="5"/>
  <c r="AY62" i="5" s="1"/>
  <c r="AU400" i="5"/>
  <c r="AU32" i="5"/>
  <c r="AT48" i="5"/>
  <c r="AX48" i="5" s="1"/>
  <c r="AY48" i="5" s="1"/>
  <c r="AU363" i="5"/>
  <c r="AU138" i="5"/>
  <c r="AT306" i="5"/>
  <c r="AX306" i="5" s="1"/>
  <c r="AY306" i="5" s="1"/>
  <c r="AU245" i="5"/>
  <c r="AT145" i="5"/>
  <c r="AX144" i="5" s="1"/>
  <c r="AY144" i="5" s="1"/>
  <c r="AU421" i="5"/>
  <c r="AX20" i="5"/>
  <c r="AY20" i="5" s="1"/>
  <c r="AT113" i="5"/>
  <c r="AX113" i="5" s="1"/>
  <c r="AY113" i="5" s="1"/>
  <c r="AU552" i="5"/>
  <c r="AU55" i="5"/>
  <c r="AT222" i="5"/>
  <c r="AX222" i="5" s="1"/>
  <c r="AY222" i="5" s="1"/>
  <c r="AT366" i="5"/>
  <c r="AX365" i="5" s="1"/>
  <c r="AY365" i="5" s="1"/>
  <c r="AT36" i="5"/>
  <c r="AX35" i="5" s="1"/>
  <c r="AY35" i="5" s="1"/>
  <c r="AX116" i="5"/>
  <c r="AY116" i="5" s="1"/>
  <c r="AU309" i="5"/>
  <c r="AU336" i="5"/>
  <c r="AU416" i="5"/>
  <c r="AT140" i="5"/>
  <c r="AX139" i="5" s="1"/>
  <c r="AY139" i="5" s="1"/>
  <c r="AT295" i="5"/>
  <c r="AX294" i="5" s="1"/>
  <c r="AY294" i="5" s="1"/>
  <c r="AT302" i="5"/>
  <c r="AX302" i="5" s="1"/>
  <c r="AY302" i="5" s="1"/>
  <c r="AT90" i="5"/>
  <c r="AX90" i="5" s="1"/>
  <c r="AY90" i="5" s="1"/>
  <c r="AU353" i="5"/>
  <c r="AT178" i="5"/>
  <c r="AX177" i="5" s="1"/>
  <c r="AY177" i="5" s="1"/>
  <c r="AT378" i="5"/>
  <c r="AX378" i="5" s="1"/>
  <c r="AY378" i="5" s="1"/>
  <c r="AT475" i="5"/>
  <c r="AX475" i="5" s="1"/>
  <c r="AY475" i="5" s="1"/>
  <c r="AT462" i="5"/>
  <c r="AU517" i="5"/>
  <c r="AT344" i="5"/>
  <c r="AX343" i="5" s="1"/>
  <c r="AY343" i="5" s="1"/>
  <c r="AT94" i="5"/>
  <c r="AX94" i="5" s="1"/>
  <c r="AY94" i="5" s="1"/>
  <c r="AA135" i="4"/>
  <c r="AC135" i="4" s="1"/>
  <c r="AD135" i="4" s="1"/>
  <c r="AA125" i="4"/>
  <c r="AC125" i="4" s="1"/>
  <c r="AD125" i="4" s="1"/>
  <c r="AT158" i="5"/>
  <c r="AX158" i="5" s="1"/>
  <c r="AY158" i="5" s="1"/>
  <c r="AK125" i="4"/>
  <c r="AT259" i="5"/>
  <c r="AX258" i="5" s="1"/>
  <c r="AY258" i="5" s="1"/>
  <c r="AU438" i="5"/>
  <c r="AT119" i="5"/>
  <c r="AX118" i="5" s="1"/>
  <c r="AY118" i="5" s="1"/>
  <c r="AU394" i="5"/>
  <c r="AT155" i="5"/>
  <c r="AU504" i="5"/>
  <c r="AU193" i="5"/>
  <c r="AU270" i="5"/>
  <c r="AX46" i="5"/>
  <c r="AY46" i="5" s="1"/>
  <c r="AU385" i="5"/>
  <c r="AT194" i="5"/>
  <c r="AX193" i="5" s="1"/>
  <c r="AY193" i="5" s="1"/>
  <c r="AA39" i="4"/>
  <c r="AC39" i="4" s="1"/>
  <c r="AD39" i="4" s="1"/>
  <c r="AT428" i="5"/>
  <c r="AX427" i="5" s="1"/>
  <c r="AY427" i="5" s="1"/>
  <c r="AT556" i="5"/>
  <c r="AX556" i="5" s="1"/>
  <c r="AY556" i="5" s="1"/>
  <c r="AT494" i="5"/>
  <c r="AX494" i="5" s="1"/>
  <c r="AY494" i="5" s="1"/>
  <c r="AT76" i="5"/>
  <c r="AX76" i="5" s="1"/>
  <c r="AY76" i="5" s="1"/>
  <c r="AK39" i="4"/>
  <c r="AU502" i="5"/>
  <c r="AT404" i="5"/>
  <c r="AU541" i="5"/>
  <c r="AU46" i="5"/>
  <c r="AT244" i="5"/>
  <c r="AT383" i="5"/>
  <c r="AX382" i="5" s="1"/>
  <c r="AY382" i="5" s="1"/>
  <c r="AU440" i="5"/>
  <c r="AX53" i="5"/>
  <c r="AY53" i="5" s="1"/>
  <c r="AX54" i="5"/>
  <c r="AY54" i="5" s="1"/>
  <c r="AU425" i="5"/>
  <c r="AU126" i="5"/>
  <c r="AU106" i="5"/>
  <c r="AT174" i="5"/>
  <c r="AX173" i="5" s="1"/>
  <c r="AY173" i="5" s="1"/>
  <c r="AT335" i="5"/>
  <c r="AX335" i="5" s="1"/>
  <c r="AY335" i="5" s="1"/>
  <c r="AT111" i="5"/>
  <c r="AX111" i="5" s="1"/>
  <c r="AY111" i="5" s="1"/>
  <c r="AT277" i="5"/>
  <c r="AX277" i="5" s="1"/>
  <c r="AY277" i="5" s="1"/>
  <c r="AT325" i="5"/>
  <c r="AX324" i="5" s="1"/>
  <c r="AY324" i="5" s="1"/>
  <c r="AT67" i="5"/>
  <c r="AX67" i="5" s="1"/>
  <c r="AY67" i="5" s="1"/>
  <c r="AT210" i="5"/>
  <c r="AX209" i="5" s="1"/>
  <c r="AY209" i="5" s="1"/>
  <c r="AT310" i="5"/>
  <c r="AX309" i="5" s="1"/>
  <c r="AY309" i="5" s="1"/>
  <c r="AT555" i="5"/>
  <c r="AX122" i="5"/>
  <c r="AY122" i="5" s="1"/>
  <c r="AU50" i="5"/>
  <c r="AT402" i="5"/>
  <c r="AT551" i="5"/>
  <c r="AX551" i="5" s="1"/>
  <c r="AY551" i="5" s="1"/>
  <c r="AX80" i="5"/>
  <c r="AY80" i="5" s="1"/>
  <c r="AT318" i="5"/>
  <c r="AX318" i="5" s="1"/>
  <c r="AY318" i="5" s="1"/>
  <c r="AT12" i="5"/>
  <c r="AU476" i="5"/>
  <c r="AU122" i="5"/>
  <c r="AT354" i="5"/>
  <c r="AX353" i="5" s="1"/>
  <c r="AY353" i="5" s="1"/>
  <c r="AT60" i="5"/>
  <c r="AX59" i="5" s="1"/>
  <c r="AY59" i="5" s="1"/>
  <c r="AT452" i="5"/>
  <c r="AT120" i="5"/>
  <c r="AX120" i="5" s="1"/>
  <c r="AY120" i="5" s="1"/>
  <c r="AU116" i="5"/>
  <c r="AT104" i="5"/>
  <c r="AX103" i="5" s="1"/>
  <c r="AY103" i="5" s="1"/>
  <c r="AT150" i="5"/>
  <c r="AX150" i="5" s="1"/>
  <c r="AY150" i="5" s="1"/>
  <c r="AU533" i="5"/>
  <c r="AU369" i="5"/>
  <c r="AT403" i="5"/>
  <c r="AU163" i="5"/>
  <c r="AK22" i="4"/>
  <c r="AT217" i="5"/>
  <c r="AX216" i="5" s="1"/>
  <c r="AY216" i="5" s="1"/>
  <c r="AX240" i="5"/>
  <c r="AY240" i="5" s="1"/>
  <c r="AU25" i="5"/>
  <c r="AU453" i="5"/>
  <c r="AU198" i="5"/>
  <c r="AU384" i="5"/>
  <c r="AT231" i="5"/>
  <c r="AX231" i="5" s="1"/>
  <c r="AY231" i="5" s="1"/>
  <c r="AU505" i="5"/>
  <c r="AU77" i="5"/>
  <c r="AU350" i="5"/>
  <c r="AT263" i="5"/>
  <c r="AX262" i="5" s="1"/>
  <c r="AY262" i="5" s="1"/>
  <c r="AT239" i="5"/>
  <c r="AX239" i="5" s="1"/>
  <c r="AY239" i="5" s="1"/>
  <c r="AO125" i="4"/>
  <c r="AT411" i="5"/>
  <c r="AX411" i="5" s="1"/>
  <c r="AY411" i="5" s="1"/>
  <c r="AU398" i="5"/>
  <c r="AK135" i="4"/>
  <c r="AT110" i="5"/>
  <c r="AX109" i="5" s="1"/>
  <c r="AY109" i="5" s="1"/>
  <c r="AX73" i="5"/>
  <c r="AY73" i="5" s="1"/>
  <c r="AU420" i="5"/>
  <c r="AU285" i="5"/>
  <c r="AT501" i="5"/>
  <c r="AX500" i="5" s="1"/>
  <c r="AY500" i="5" s="1"/>
  <c r="AU114" i="5"/>
  <c r="AU44" i="5"/>
  <c r="AU73" i="5"/>
  <c r="AT220" i="5"/>
  <c r="AX219" i="5" s="1"/>
  <c r="AY219" i="5" s="1"/>
  <c r="AT82" i="5"/>
  <c r="AX81" i="5" s="1"/>
  <c r="AY81" i="5" s="1"/>
  <c r="AU406" i="5"/>
  <c r="AU24" i="5"/>
  <c r="AU548" i="5"/>
  <c r="AT236" i="5"/>
  <c r="AX236" i="5" s="1"/>
  <c r="AY236" i="5" s="1"/>
  <c r="AU128" i="5"/>
  <c r="AU468" i="5"/>
  <c r="AU387" i="5"/>
  <c r="AX143" i="5"/>
  <c r="AY143" i="5" s="1"/>
  <c r="AU115" i="5"/>
  <c r="AX202" i="5"/>
  <c r="AY202" i="5" s="1"/>
  <c r="AU437" i="5"/>
  <c r="AT513" i="5"/>
  <c r="AX512" i="5" s="1"/>
  <c r="AY512" i="5" s="1"/>
  <c r="AT377" i="5"/>
  <c r="AX376" i="5" s="1"/>
  <c r="AY376" i="5" s="1"/>
  <c r="AX127" i="5"/>
  <c r="AY127" i="5" s="1"/>
  <c r="AT441" i="5"/>
  <c r="AX440" i="5" s="1"/>
  <c r="AY440" i="5" s="1"/>
  <c r="AT492" i="5"/>
  <c r="AX491" i="5" s="1"/>
  <c r="AY491" i="5" s="1"/>
  <c r="AT168" i="5"/>
  <c r="AX168" i="5" s="1"/>
  <c r="AY168" i="5" s="1"/>
  <c r="AU19" i="5"/>
  <c r="AT410" i="5"/>
  <c r="AU375" i="5"/>
  <c r="AT558" i="5"/>
  <c r="AX557" i="5" s="1"/>
  <c r="AY557" i="5" s="1"/>
  <c r="AU204" i="5"/>
  <c r="AU314" i="5"/>
  <c r="AU240" i="5"/>
  <c r="AT228" i="5"/>
  <c r="AT229" i="5"/>
  <c r="AX229" i="5" s="1"/>
  <c r="AY229" i="5" s="1"/>
  <c r="AU320" i="5"/>
  <c r="AU560" i="5"/>
  <c r="AU153" i="5"/>
  <c r="AT99" i="5"/>
  <c r="AX99" i="5" s="1"/>
  <c r="AY99" i="5" s="1"/>
  <c r="AT157" i="5"/>
  <c r="AT238" i="5"/>
  <c r="AT405" i="5"/>
  <c r="AU108" i="5"/>
  <c r="AU143" i="5"/>
  <c r="AT134" i="5"/>
  <c r="AX134" i="5" s="1"/>
  <c r="AY134" i="5" s="1"/>
  <c r="AR68" i="4"/>
  <c r="AT68" i="4" s="1"/>
  <c r="AU218" i="5"/>
  <c r="AT496" i="5"/>
  <c r="AX495" i="5" s="1"/>
  <c r="AY495" i="5" s="1"/>
  <c r="AT27" i="5"/>
  <c r="AX26" i="5" s="1"/>
  <c r="AY26" i="5" s="1"/>
  <c r="AX72" i="5"/>
  <c r="AY72" i="5" s="1"/>
  <c r="AU293" i="5"/>
  <c r="AU472" i="5"/>
  <c r="AX19" i="5"/>
  <c r="AY19" i="5" s="1"/>
  <c r="AT132" i="5"/>
  <c r="AX132" i="5" s="1"/>
  <c r="AY132" i="5" s="1"/>
  <c r="F69" i="1"/>
  <c r="AT473" i="5"/>
  <c r="AX472" i="5" s="1"/>
  <c r="AY472" i="5" s="1"/>
  <c r="AU68" i="5"/>
  <c r="AT197" i="5"/>
  <c r="AX197" i="5" s="1"/>
  <c r="AY197" i="5" s="1"/>
  <c r="AT179" i="5"/>
  <c r="AX179" i="5" s="1"/>
  <c r="AY179" i="5" s="1"/>
  <c r="AX198" i="5"/>
  <c r="AY198" i="5" s="1"/>
  <c r="AX218" i="5"/>
  <c r="AY218" i="5" s="1"/>
  <c r="AT388" i="5"/>
  <c r="AX388" i="5" s="1"/>
  <c r="AY388" i="5" s="1"/>
  <c r="AT75" i="5"/>
  <c r="AX68" i="5"/>
  <c r="AY68" i="5" s="1"/>
  <c r="AU209" i="5"/>
  <c r="AT66" i="5"/>
  <c r="AX254" i="5"/>
  <c r="AY254" i="5" s="1"/>
  <c r="AX255" i="5"/>
  <c r="AY255" i="5" s="1"/>
  <c r="AT141" i="5"/>
  <c r="AX141" i="5" s="1"/>
  <c r="AY141" i="5" s="1"/>
  <c r="AU447" i="5"/>
  <c r="AU29" i="5"/>
  <c r="AU95" i="5"/>
  <c r="AA12" i="4"/>
  <c r="AC12" i="4" s="1"/>
  <c r="AD12" i="4" s="1"/>
  <c r="AU255" i="5"/>
  <c r="AT401" i="5"/>
  <c r="AU93" i="5"/>
  <c r="AT65" i="5"/>
  <c r="AT529" i="5"/>
  <c r="AU53" i="5"/>
  <c r="AT528" i="5"/>
  <c r="AU35" i="5"/>
  <c r="AU45" i="5"/>
  <c r="AU199" i="5"/>
  <c r="AU414" i="5"/>
  <c r="AU103" i="5"/>
  <c r="AX128" i="5"/>
  <c r="AY128" i="5" s="1"/>
  <c r="AX102" i="5"/>
  <c r="AY102" i="5" s="1"/>
  <c r="AT291" i="5"/>
  <c r="AX290" i="5" s="1"/>
  <c r="AY290" i="5" s="1"/>
  <c r="AX71" i="5"/>
  <c r="AY71" i="5" s="1"/>
  <c r="AX101" i="5"/>
  <c r="AY101" i="5" s="1"/>
  <c r="AT321" i="5"/>
  <c r="AX321" i="5" s="1"/>
  <c r="AY321" i="5" s="1"/>
  <c r="AU480" i="5"/>
  <c r="AU20" i="5"/>
  <c r="AU102" i="5"/>
  <c r="AX208" i="5"/>
  <c r="AY208" i="5" s="1"/>
  <c r="AT559" i="5"/>
  <c r="AX559" i="5" s="1"/>
  <c r="AY559" i="5" s="1"/>
  <c r="AX129" i="5"/>
  <c r="AY129" i="5" s="1"/>
  <c r="AU219" i="5"/>
  <c r="AU247" i="5"/>
  <c r="AU129" i="5"/>
  <c r="AT323" i="5"/>
  <c r="AX323" i="5" s="1"/>
  <c r="AY323" i="5" s="1"/>
  <c r="AT272" i="5"/>
  <c r="AX272" i="5" s="1"/>
  <c r="AY272" i="5" s="1"/>
  <c r="AF26" i="4"/>
  <c r="AK26" i="4"/>
  <c r="AA26" i="4"/>
  <c r="AC26" i="4" s="1"/>
  <c r="AD26" i="4" s="1"/>
  <c r="AT409" i="5"/>
  <c r="AX408" i="5" s="1"/>
  <c r="AY408" i="5" s="1"/>
  <c r="AA129" i="4"/>
  <c r="AC129" i="4" s="1"/>
  <c r="AD129" i="4" s="1"/>
  <c r="AR129" i="4" s="1"/>
  <c r="AT129" i="4" s="1"/>
  <c r="AO12" i="4"/>
  <c r="AA72" i="4"/>
  <c r="AC72" i="4" s="1"/>
  <c r="AD72" i="4" s="1"/>
  <c r="AR72" i="4" s="1"/>
  <c r="AT72" i="4" s="1"/>
  <c r="AK129" i="4"/>
  <c r="AT11" i="5"/>
  <c r="AU393" i="5"/>
  <c r="AU407" i="5"/>
  <c r="AU185" i="5"/>
  <c r="AA109" i="4"/>
  <c r="AC109" i="4" s="1"/>
  <c r="AD109" i="4" s="1"/>
  <c r="AK109" i="4"/>
  <c r="AA148" i="4"/>
  <c r="AC148" i="4" s="1"/>
  <c r="AD148" i="4" s="1"/>
  <c r="AU64" i="5"/>
  <c r="AU307" i="5"/>
  <c r="AK148" i="4"/>
  <c r="AK72" i="4"/>
  <c r="AU287" i="5"/>
  <c r="AO152" i="4"/>
  <c r="AR152" i="4" s="1"/>
  <c r="AT152" i="4" s="1"/>
  <c r="AK67" i="4"/>
  <c r="AJ67" i="4"/>
  <c r="AA133" i="4"/>
  <c r="AC133" i="4" s="1"/>
  <c r="AD133" i="4" s="1"/>
  <c r="AT340" i="5"/>
  <c r="AX339" i="5" s="1"/>
  <c r="AY339" i="5" s="1"/>
  <c r="AA79" i="4"/>
  <c r="AC79" i="4" s="1"/>
  <c r="AD79" i="4" s="1"/>
  <c r="AJ152" i="4"/>
  <c r="AR108" i="4"/>
  <c r="AT108" i="4" s="1"/>
  <c r="AT10" i="5"/>
  <c r="AT249" i="5"/>
  <c r="AO67" i="4"/>
  <c r="AR67" i="4" s="1"/>
  <c r="AT67" i="4" s="1"/>
  <c r="AK79" i="4"/>
  <c r="AK133" i="4"/>
  <c r="AF133" i="4"/>
  <c r="AG133" i="4" s="1"/>
  <c r="AI133" i="4" s="1"/>
  <c r="AK152" i="4"/>
  <c r="AU230" i="5"/>
  <c r="AU346" i="5"/>
  <c r="AT299" i="5"/>
  <c r="AX299" i="5" s="1"/>
  <c r="AY299" i="5" s="1"/>
  <c r="AA132" i="4"/>
  <c r="AC132" i="4" s="1"/>
  <c r="AD132" i="4" s="1"/>
  <c r="AJ132" i="4"/>
  <c r="AK132" i="4"/>
  <c r="AO105" i="4"/>
  <c r="AG105" i="4"/>
  <c r="AI105" i="4" s="1"/>
  <c r="AF101" i="4"/>
  <c r="AA101" i="4"/>
  <c r="AC101" i="4" s="1"/>
  <c r="AD101" i="4" s="1"/>
  <c r="AK101" i="4"/>
  <c r="AF21" i="4"/>
  <c r="AA21" i="4"/>
  <c r="AC21" i="4" s="1"/>
  <c r="AD21" i="4" s="1"/>
  <c r="AK21" i="4"/>
  <c r="AF24" i="4"/>
  <c r="AK24" i="4"/>
  <c r="AR81" i="4"/>
  <c r="AT81" i="4" s="1"/>
  <c r="AF10" i="4"/>
  <c r="AA10" i="4"/>
  <c r="AC10" i="4" s="1"/>
  <c r="AD10" i="4" s="1"/>
  <c r="AK10" i="4"/>
  <c r="AG140" i="4"/>
  <c r="AI140" i="4" s="1"/>
  <c r="AO140" i="4"/>
  <c r="AO132" i="4"/>
  <c r="AG132" i="4"/>
  <c r="AI132" i="4" s="1"/>
  <c r="AA62" i="4"/>
  <c r="AC62" i="4" s="1"/>
  <c r="AD62" i="4" s="1"/>
  <c r="AF62" i="4"/>
  <c r="AK62" i="4"/>
  <c r="AJ144" i="4"/>
  <c r="Z155" i="4"/>
  <c r="AF155" i="4" s="1"/>
  <c r="Z144" i="4"/>
  <c r="AF144" i="4" s="1"/>
  <c r="AJ155" i="4"/>
  <c r="AF59" i="4"/>
  <c r="AK59" i="4"/>
  <c r="AA59" i="4"/>
  <c r="AC59" i="4" s="1"/>
  <c r="AD59" i="4" s="1"/>
  <c r="AG79" i="4"/>
  <c r="AI79" i="4" s="1"/>
  <c r="AO79" i="4"/>
  <c r="AA94" i="4"/>
  <c r="AC94" i="4" s="1"/>
  <c r="AD94" i="4" s="1"/>
  <c r="AJ94" i="4"/>
  <c r="AF83" i="4"/>
  <c r="AA83" i="4"/>
  <c r="AC83" i="4" s="1"/>
  <c r="AD83" i="4" s="1"/>
  <c r="AK83" i="4"/>
  <c r="AU8" i="5"/>
  <c r="AJ130" i="4"/>
  <c r="Z141" i="4"/>
  <c r="AA141" i="4" s="1"/>
  <c r="AC141" i="4" s="1"/>
  <c r="AD141" i="4" s="1"/>
  <c r="AF94" i="4"/>
  <c r="AK94" i="4"/>
  <c r="AA24" i="4"/>
  <c r="AC24" i="4" s="1"/>
  <c r="AD24" i="4" s="1"/>
  <c r="AJ24" i="4"/>
  <c r="AF58" i="4"/>
  <c r="AA58" i="4"/>
  <c r="AC58" i="4" s="1"/>
  <c r="AD58" i="4" s="1"/>
  <c r="AK58" i="4"/>
  <c r="Z130" i="4"/>
  <c r="AF130" i="4" s="1"/>
  <c r="AF34" i="4"/>
  <c r="AK34" i="4"/>
  <c r="AA34" i="4"/>
  <c r="AC34" i="4" s="1"/>
  <c r="AD34" i="4" s="1"/>
  <c r="AR75" i="4"/>
  <c r="AT75" i="4" s="1"/>
  <c r="AT292" i="5"/>
  <c r="AU391" i="5"/>
  <c r="AT235" i="5"/>
  <c r="AX234" i="5" s="1"/>
  <c r="AY234" i="5" s="1"/>
  <c r="AG76" i="4"/>
  <c r="AI76" i="4" s="1"/>
  <c r="AO76" i="4"/>
  <c r="AU162" i="5"/>
  <c r="AG84" i="4"/>
  <c r="AI84" i="4" s="1"/>
  <c r="AO84" i="4"/>
  <c r="AU169" i="5"/>
  <c r="AR143" i="4"/>
  <c r="AT143" i="4" s="1"/>
  <c r="AR103" i="4"/>
  <c r="AT103" i="4" s="1"/>
  <c r="AT487" i="5"/>
  <c r="AX487" i="5" s="1"/>
  <c r="AY487" i="5" s="1"/>
  <c r="AR85" i="4"/>
  <c r="AT85" i="4" s="1"/>
  <c r="AU412" i="5"/>
  <c r="AT458" i="5"/>
  <c r="AX458" i="5" s="1"/>
  <c r="AY458" i="5" s="1"/>
  <c r="AT550" i="5"/>
  <c r="AT233" i="5"/>
  <c r="AX232" i="5" s="1"/>
  <c r="AY232" i="5" s="1"/>
  <c r="AU364" i="5"/>
  <c r="AG120" i="4"/>
  <c r="AI120" i="4" s="1"/>
  <c r="AR120" i="4" s="1"/>
  <c r="AT120" i="4" s="1"/>
  <c r="AT549" i="5"/>
  <c r="AX548" i="5" s="1"/>
  <c r="AY548" i="5" s="1"/>
  <c r="AU328" i="5"/>
  <c r="AU396" i="5"/>
  <c r="AU457" i="5"/>
  <c r="AT547" i="5"/>
  <c r="AX547" i="5" s="1"/>
  <c r="AY547" i="5" s="1"/>
  <c r="AT326" i="5"/>
  <c r="AX326" i="5" s="1"/>
  <c r="AY326" i="5" s="1"/>
  <c r="AT52" i="5"/>
  <c r="AX52" i="5" s="1"/>
  <c r="AY52" i="5" s="1"/>
  <c r="AT196" i="5"/>
  <c r="AT207" i="5"/>
  <c r="AX206" i="5" s="1"/>
  <c r="AY206" i="5" s="1"/>
  <c r="AT545" i="5"/>
  <c r="AX544" i="5" s="1"/>
  <c r="AY544" i="5" s="1"/>
  <c r="AT430" i="5"/>
  <c r="AX429" i="5" s="1"/>
  <c r="AY429" i="5" s="1"/>
  <c r="AU315" i="5"/>
  <c r="AU47" i="5"/>
  <c r="AU92" i="5"/>
  <c r="AT423" i="5"/>
  <c r="AX423" i="5" s="1"/>
  <c r="AY423" i="5" s="1"/>
  <c r="AT527" i="5"/>
  <c r="AT443" i="5"/>
  <c r="AU271" i="5"/>
  <c r="AT510" i="5"/>
  <c r="AX509" i="5" s="1"/>
  <c r="AY509" i="5" s="1"/>
  <c r="AU225" i="5"/>
  <c r="AT352" i="5"/>
  <c r="AX351" i="5" s="1"/>
  <c r="AY351" i="5" s="1"/>
  <c r="AU79" i="5"/>
  <c r="AU418" i="5"/>
  <c r="AU139" i="5"/>
  <c r="AU539" i="5"/>
  <c r="AT535" i="5"/>
  <c r="AX535" i="5" s="1"/>
  <c r="AY535" i="5" s="1"/>
  <c r="AT191" i="5"/>
  <c r="AX191" i="5" s="1"/>
  <c r="AY191" i="5" s="1"/>
  <c r="AT56" i="5"/>
  <c r="AX56" i="5" s="1"/>
  <c r="AY56" i="5" s="1"/>
  <c r="AT497" i="5"/>
  <c r="AU57" i="5"/>
  <c r="AU490" i="5"/>
  <c r="AT419" i="5"/>
  <c r="AX418" i="5" s="1"/>
  <c r="AY418" i="5" s="1"/>
  <c r="AU98" i="5"/>
  <c r="AT96" i="5"/>
  <c r="AX96" i="5" s="1"/>
  <c r="AY96" i="5" s="1"/>
  <c r="AX347" i="5"/>
  <c r="AY347" i="5" s="1"/>
  <c r="AT542" i="5"/>
  <c r="AX542" i="5" s="1"/>
  <c r="AY542" i="5" s="1"/>
  <c r="AT154" i="5"/>
  <c r="AX153" i="5" s="1"/>
  <c r="AY153" i="5" s="1"/>
  <c r="AU84" i="5"/>
  <c r="AT172" i="5"/>
  <c r="AX172" i="5" s="1"/>
  <c r="AY172" i="5" s="1"/>
  <c r="AT358" i="5"/>
  <c r="AX358" i="5" s="1"/>
  <c r="AY358" i="5" s="1"/>
  <c r="AT124" i="5"/>
  <c r="AX123" i="5" s="1"/>
  <c r="AY123" i="5" s="1"/>
  <c r="AX384" i="5"/>
  <c r="AY384" i="5" s="1"/>
  <c r="AT164" i="5"/>
  <c r="AX163" i="5" s="1"/>
  <c r="AY163" i="5" s="1"/>
  <c r="AX425" i="5"/>
  <c r="AY425" i="5" s="1"/>
  <c r="AU503" i="5"/>
  <c r="AU330" i="5"/>
  <c r="AU211" i="5"/>
  <c r="AU322" i="5"/>
  <c r="AU281" i="5"/>
  <c r="AT61" i="5"/>
  <c r="AU435" i="5"/>
  <c r="AT227" i="5"/>
  <c r="AX226" i="5" s="1"/>
  <c r="AY226" i="5" s="1"/>
  <c r="AT526" i="5"/>
  <c r="AX525" i="5" s="1"/>
  <c r="AY525" i="5" s="1"/>
  <c r="AU224" i="5"/>
  <c r="AU39" i="5"/>
  <c r="AT28" i="5"/>
  <c r="AX28" i="5" s="1"/>
  <c r="AY28" i="5" s="1"/>
  <c r="AT519" i="5"/>
  <c r="AT357" i="5"/>
  <c r="AX356" i="5" s="1"/>
  <c r="AY356" i="5" s="1"/>
  <c r="AT107" i="5"/>
  <c r="AX107" i="5" s="1"/>
  <c r="AY107" i="5" s="1"/>
  <c r="AX135" i="5"/>
  <c r="AY135" i="5" s="1"/>
  <c r="AU493" i="5"/>
  <c r="AU177" i="5"/>
  <c r="AU131" i="5"/>
  <c r="AT51" i="5"/>
  <c r="AT246" i="5"/>
  <c r="AX245" i="5" s="1"/>
  <c r="AY245" i="5" s="1"/>
  <c r="AT442" i="5"/>
  <c r="AX479" i="5"/>
  <c r="AY479" i="5" s="1"/>
  <c r="AX552" i="5"/>
  <c r="AY552" i="5" s="1"/>
  <c r="AX456" i="5"/>
  <c r="AY456" i="5" s="1"/>
  <c r="AX159" i="5"/>
  <c r="AY159" i="5" s="1"/>
  <c r="AT89" i="5"/>
  <c r="AX286" i="5"/>
  <c r="AY286" i="5" s="1"/>
  <c r="AT516" i="5"/>
  <c r="AX515" i="5" s="1"/>
  <c r="AY515" i="5" s="1"/>
  <c r="AT41" i="5"/>
  <c r="AU71" i="5"/>
  <c r="AT367" i="5"/>
  <c r="AX367" i="5" s="1"/>
  <c r="AY367" i="5" s="1"/>
  <c r="AU86" i="5"/>
  <c r="AT190" i="5"/>
  <c r="AT152" i="5"/>
  <c r="AX151" i="5" s="1"/>
  <c r="AY151" i="5" s="1"/>
  <c r="AU273" i="5"/>
  <c r="AU439" i="5"/>
  <c r="AX311" i="5"/>
  <c r="AY311" i="5" s="1"/>
  <c r="AT88" i="5"/>
  <c r="AX87" i="5" s="1"/>
  <c r="AY87" i="5" s="1"/>
  <c r="AX407" i="5"/>
  <c r="AY407" i="5" s="1"/>
  <c r="AX328" i="5"/>
  <c r="AY328" i="5" s="1"/>
  <c r="AT156" i="5"/>
  <c r="AU195" i="5"/>
  <c r="AX349" i="5"/>
  <c r="AY349" i="5" s="1"/>
  <c r="AU368" i="5"/>
  <c r="B123" i="2"/>
  <c r="H29" i="1" s="1"/>
  <c r="AU355" i="5"/>
  <c r="AT334" i="5"/>
  <c r="AX333" i="5" s="1"/>
  <c r="AY333" i="5" s="1"/>
  <c r="AU276" i="5"/>
  <c r="AT30" i="5"/>
  <c r="AX30" i="5" s="1"/>
  <c r="AY30" i="5" s="1"/>
  <c r="AX523" i="5"/>
  <c r="AY523" i="5" s="1"/>
  <c r="AX169" i="5"/>
  <c r="AY169" i="5" s="1"/>
  <c r="AT415" i="5"/>
  <c r="AX415" i="5" s="1"/>
  <c r="AY415" i="5" s="1"/>
  <c r="AT531" i="5"/>
  <c r="AX531" i="5" s="1"/>
  <c r="AY531" i="5" s="1"/>
  <c r="AX503" i="5"/>
  <c r="AY503" i="5" s="1"/>
  <c r="AT431" i="5"/>
  <c r="AX431" i="5" s="1"/>
  <c r="AY431" i="5" s="1"/>
  <c r="AU372" i="5"/>
  <c r="AT242" i="5"/>
  <c r="AX241" i="5" s="1"/>
  <c r="AY241" i="5" s="1"/>
  <c r="AU389" i="5"/>
  <c r="AR97" i="4"/>
  <c r="AT97" i="4" s="1"/>
  <c r="AR45" i="4"/>
  <c r="AT45" i="4" s="1"/>
  <c r="AX488" i="5"/>
  <c r="AY488" i="5" s="1"/>
  <c r="AU250" i="5"/>
  <c r="AX520" i="5"/>
  <c r="AY520" i="5" s="1"/>
  <c r="AX251" i="5"/>
  <c r="AY251" i="5" s="1"/>
  <c r="AX368" i="5"/>
  <c r="AY368" i="5" s="1"/>
  <c r="AU507" i="5"/>
  <c r="AU474" i="5"/>
  <c r="AX449" i="5"/>
  <c r="AY449" i="5" s="1"/>
  <c r="AO32" i="4"/>
  <c r="AR32" i="4" s="1"/>
  <c r="AT32" i="4" s="1"/>
  <c r="AR17" i="4"/>
  <c r="AT17" i="4" s="1"/>
  <c r="AX350" i="5"/>
  <c r="AY350" i="5" s="1"/>
  <c r="AX392" i="5"/>
  <c r="AY392" i="5" s="1"/>
  <c r="AX34" i="5"/>
  <c r="AY34" i="5" s="1"/>
  <c r="AR123" i="4"/>
  <c r="AT123" i="4" s="1"/>
  <c r="AR111" i="4"/>
  <c r="AT111" i="4" s="1"/>
  <c r="AX180" i="5"/>
  <c r="AY180" i="5" s="1"/>
  <c r="AX287" i="5"/>
  <c r="AY287" i="5" s="1"/>
  <c r="AX505" i="5"/>
  <c r="AY505" i="5" s="1"/>
  <c r="AX434" i="5"/>
  <c r="AY434" i="5" s="1"/>
  <c r="AO95" i="4"/>
  <c r="AG95" i="4"/>
  <c r="AI95" i="4" s="1"/>
  <c r="AO116" i="4"/>
  <c r="AG116" i="4"/>
  <c r="AI116" i="4" s="1"/>
  <c r="AG35" i="4"/>
  <c r="AI35" i="4" s="1"/>
  <c r="AO35" i="4"/>
  <c r="AG134" i="4"/>
  <c r="AI134" i="4" s="1"/>
  <c r="AO134" i="4"/>
  <c r="AG69" i="4"/>
  <c r="AI69" i="4" s="1"/>
  <c r="AO69" i="4"/>
  <c r="AG20" i="4"/>
  <c r="AI20" i="4" s="1"/>
  <c r="AO20" i="4"/>
  <c r="AG38" i="4"/>
  <c r="AI38" i="4" s="1"/>
  <c r="AO38" i="4"/>
  <c r="AO54" i="4"/>
  <c r="AG54" i="4"/>
  <c r="AI54" i="4" s="1"/>
  <c r="AO126" i="4"/>
  <c r="AG126" i="4"/>
  <c r="AI126" i="4" s="1"/>
  <c r="AR70" i="4"/>
  <c r="AT70" i="4" s="1"/>
  <c r="AG23" i="4"/>
  <c r="AI23" i="4" s="1"/>
  <c r="AO23" i="4"/>
  <c r="AG127" i="4"/>
  <c r="AI127" i="4" s="1"/>
  <c r="AO127" i="4"/>
  <c r="AG109" i="4"/>
  <c r="AI109" i="4" s="1"/>
  <c r="AO109" i="4"/>
  <c r="AO100" i="4"/>
  <c r="AG100" i="4"/>
  <c r="AI100" i="4" s="1"/>
  <c r="AO64" i="4"/>
  <c r="AG64" i="4"/>
  <c r="AI64" i="4" s="1"/>
  <c r="AR44" i="4"/>
  <c r="AT44" i="4" s="1"/>
  <c r="AG8" i="4"/>
  <c r="AI8" i="4" s="1"/>
  <c r="AO8" i="4"/>
  <c r="AO128" i="4"/>
  <c r="AG128" i="4"/>
  <c r="AI128" i="4" s="1"/>
  <c r="AG150" i="4"/>
  <c r="AI150" i="4" s="1"/>
  <c r="AO150" i="4"/>
  <c r="AG86" i="4"/>
  <c r="AI86" i="4" s="1"/>
  <c r="AO86" i="4"/>
  <c r="AG77" i="4"/>
  <c r="AI77" i="4" s="1"/>
  <c r="AO77" i="4"/>
  <c r="AO47" i="4"/>
  <c r="AG47" i="4"/>
  <c r="AI47" i="4" s="1"/>
  <c r="AG93" i="4"/>
  <c r="AI93" i="4" s="1"/>
  <c r="AO93" i="4"/>
  <c r="AO7" i="4"/>
  <c r="AG7" i="4"/>
  <c r="AI7" i="4" s="1"/>
  <c r="AG148" i="4"/>
  <c r="AI148" i="4" s="1"/>
  <c r="AO148" i="4"/>
  <c r="AX338" i="5"/>
  <c r="AY338" i="5" s="1"/>
  <c r="AG37" i="4"/>
  <c r="AI37" i="4" s="1"/>
  <c r="AO37" i="4"/>
  <c r="AO135" i="4"/>
  <c r="AG135" i="4"/>
  <c r="AI135" i="4" s="1"/>
  <c r="AO14" i="4"/>
  <c r="AG14" i="4"/>
  <c r="AI14" i="4" s="1"/>
  <c r="AO157" i="4"/>
  <c r="AG157" i="4"/>
  <c r="AI157" i="4" s="1"/>
  <c r="AO137" i="4"/>
  <c r="AG137" i="4"/>
  <c r="AI137" i="4" s="1"/>
  <c r="AO63" i="4"/>
  <c r="AG63" i="4"/>
  <c r="AI63" i="4" s="1"/>
  <c r="AO39" i="4"/>
  <c r="AG39" i="4"/>
  <c r="AI39" i="4" s="1"/>
  <c r="AO52" i="4"/>
  <c r="AG52" i="4"/>
  <c r="AI52" i="4" s="1"/>
  <c r="AT9" i="5"/>
  <c r="AU9" i="5"/>
  <c r="AX341" i="5"/>
  <c r="AY341" i="5" s="1"/>
  <c r="AX86" i="5"/>
  <c r="AY86" i="5" s="1"/>
  <c r="AX498" i="5"/>
  <c r="AY498" i="5" s="1"/>
  <c r="AX314" i="5"/>
  <c r="AY314" i="5" s="1"/>
  <c r="AX264" i="5"/>
  <c r="AY264" i="5" s="1"/>
  <c r="AX224" i="5"/>
  <c r="AY224" i="5" s="1"/>
  <c r="AX183" i="5"/>
  <c r="AY183" i="5" s="1"/>
  <c r="AX464" i="5"/>
  <c r="AY464" i="5" s="1"/>
  <c r="AX84" i="5"/>
  <c r="AY84" i="5" s="1"/>
  <c r="AX39" i="5"/>
  <c r="AY39" i="5" s="1"/>
  <c r="AX447" i="5"/>
  <c r="AY447" i="5" s="1"/>
  <c r="AX33" i="5"/>
  <c r="AY33" i="5" s="1"/>
  <c r="AX362" i="5"/>
  <c r="AY362" i="5" s="1"/>
  <c r="AR114" i="4"/>
  <c r="AT114" i="4" s="1"/>
  <c r="AX355" i="5"/>
  <c r="AY355" i="5" s="1"/>
  <c r="AX279" i="5"/>
  <c r="AY279" i="5" s="1"/>
  <c r="AX160" i="5"/>
  <c r="AY160" i="5" s="1"/>
  <c r="AX260" i="5"/>
  <c r="AY260" i="5" s="1"/>
  <c r="AX435" i="5"/>
  <c r="AY435" i="5" s="1"/>
  <c r="AX369" i="5"/>
  <c r="AY369" i="5" s="1"/>
  <c r="AX188" i="5"/>
  <c r="AY188" i="5" s="1"/>
  <c r="AX252" i="5"/>
  <c r="AY252" i="5" s="1"/>
  <c r="AX199" i="5"/>
  <c r="AY199" i="5" s="1"/>
  <c r="AX329" i="5"/>
  <c r="AY329" i="5" s="1"/>
  <c r="AX274" i="5"/>
  <c r="AY274" i="5" s="1"/>
  <c r="AX165" i="5"/>
  <c r="AY165" i="5" s="1"/>
  <c r="AX283" i="5"/>
  <c r="AY283" i="5" s="1"/>
  <c r="AX481" i="5"/>
  <c r="AY481" i="5" s="1"/>
  <c r="AX395" i="5"/>
  <c r="AY395" i="5" s="1"/>
  <c r="AX364" i="5"/>
  <c r="AY364" i="5" s="1"/>
  <c r="AX137" i="5"/>
  <c r="AY137" i="5" s="1"/>
  <c r="AX424" i="5"/>
  <c r="AY424" i="5" s="1"/>
  <c r="AX79" i="5"/>
  <c r="AY79" i="5" s="1"/>
  <c r="AX379" i="5"/>
  <c r="AY379" i="5" s="1"/>
  <c r="AX432" i="5"/>
  <c r="AY432" i="5" s="1"/>
  <c r="AX269" i="5"/>
  <c r="AY269" i="5" s="1"/>
  <c r="AX211" i="5"/>
  <c r="AY211" i="5" s="1"/>
  <c r="AX489" i="5"/>
  <c r="AY489" i="5" s="1"/>
  <c r="AX85" i="5"/>
  <c r="AY85" i="5" s="1"/>
  <c r="AX25" i="5"/>
  <c r="AY25" i="5" s="1"/>
  <c r="AX288" i="5"/>
  <c r="AY288" i="5" s="1"/>
  <c r="AX265" i="5"/>
  <c r="AY265" i="5" s="1"/>
  <c r="AX372" i="5"/>
  <c r="AY372" i="5" s="1"/>
  <c r="AX507" i="5"/>
  <c r="AY507" i="5" s="1"/>
  <c r="AX303" i="5"/>
  <c r="AY303" i="5" s="1"/>
  <c r="AX342" i="5"/>
  <c r="AY342" i="5" s="1"/>
  <c r="AX43" i="5"/>
  <c r="AY43" i="5" s="1"/>
  <c r="AX146" i="5"/>
  <c r="AY146" i="5" s="1"/>
  <c r="AX270" i="5"/>
  <c r="AY270" i="5" s="1"/>
  <c r="AX176" i="5"/>
  <c r="AY176" i="5" s="1"/>
  <c r="AX187" i="5"/>
  <c r="AY187" i="5" s="1"/>
  <c r="AX398" i="5"/>
  <c r="AY398" i="5" s="1"/>
  <c r="AX421" i="5"/>
  <c r="AY421" i="5" s="1"/>
  <c r="AX337" i="5"/>
  <c r="AY337" i="5" s="1"/>
  <c r="AX345" i="5"/>
  <c r="AY345" i="5" s="1"/>
  <c r="AX223" i="5"/>
  <c r="AY223" i="5" s="1"/>
  <c r="AX413" i="5"/>
  <c r="AY413" i="5" s="1"/>
  <c r="AX380" i="5"/>
  <c r="AY380" i="5" s="1"/>
  <c r="AX386" i="5"/>
  <c r="AY386" i="5" s="1"/>
  <c r="AX130" i="5"/>
  <c r="AY130" i="5" s="1"/>
  <c r="AX63" i="5"/>
  <c r="AY63" i="5" s="1"/>
  <c r="AX331" i="5"/>
  <c r="AY331" i="5" s="1"/>
  <c r="AX261" i="5"/>
  <c r="AY261" i="5" s="1"/>
  <c r="AX205" i="5"/>
  <c r="AY205" i="5" s="1"/>
  <c r="AX426" i="5"/>
  <c r="AY426" i="5" s="1"/>
  <c r="AX511" i="5"/>
  <c r="AY511" i="5" s="1"/>
  <c r="AX161" i="5"/>
  <c r="AY161" i="5" s="1"/>
  <c r="AX282" i="5"/>
  <c r="AY282" i="5" s="1"/>
  <c r="AX438" i="5"/>
  <c r="AY438" i="5" s="1"/>
  <c r="AX37" i="5"/>
  <c r="AY37" i="5" s="1"/>
  <c r="AX273" i="5"/>
  <c r="AY273" i="5" s="1"/>
  <c r="AX537" i="5"/>
  <c r="AY537" i="5" s="1"/>
  <c r="AX482" i="5"/>
  <c r="AY482" i="5" s="1"/>
  <c r="AX83" i="5"/>
  <c r="AY83" i="5" s="1"/>
  <c r="AR92" i="4"/>
  <c r="AT92" i="4" s="1"/>
  <c r="AR121" i="4"/>
  <c r="AT121" i="4" s="1"/>
  <c r="AR154" i="4"/>
  <c r="AT154" i="4" s="1"/>
  <c r="AR156" i="4"/>
  <c r="AT156" i="4" s="1"/>
  <c r="AR50" i="4"/>
  <c r="AT50" i="4" s="1"/>
  <c r="AR29" i="4"/>
  <c r="AT29" i="4" s="1"/>
  <c r="AR138" i="4"/>
  <c r="AT138" i="4" s="1"/>
  <c r="AR104" i="4"/>
  <c r="AT104" i="4" s="1"/>
  <c r="AR113" i="4"/>
  <c r="AT113" i="4" s="1"/>
  <c r="AR147" i="4"/>
  <c r="AT147" i="4" s="1"/>
  <c r="AR51" i="4"/>
  <c r="AT51" i="4" s="1"/>
  <c r="AR122" i="4"/>
  <c r="AT122" i="4" s="1"/>
  <c r="AR65" i="4"/>
  <c r="AT65" i="4" s="1"/>
  <c r="AR124" i="4"/>
  <c r="AT124" i="4" s="1"/>
  <c r="AR88" i="4"/>
  <c r="AT88" i="4" s="1"/>
  <c r="AR90" i="4"/>
  <c r="AT90" i="4" s="1"/>
  <c r="AR11" i="4"/>
  <c r="AT11" i="4" s="1"/>
  <c r="AR146" i="4"/>
  <c r="AT146" i="4" s="1"/>
  <c r="AR33" i="4"/>
  <c r="AT33" i="4" s="1"/>
  <c r="AR131" i="4"/>
  <c r="AT131" i="4" s="1"/>
  <c r="AX394" i="5"/>
  <c r="AY394" i="5" s="1"/>
  <c r="AX166" i="5"/>
  <c r="AY166" i="5" s="1"/>
  <c r="AT13" i="5"/>
  <c r="AU13" i="5"/>
  <c r="AX436" i="5"/>
  <c r="AY436" i="5" s="1"/>
  <c r="AX44" i="5"/>
  <c r="AY44" i="5" s="1"/>
  <c r="AX92" i="5"/>
  <c r="AY92" i="5" s="1"/>
  <c r="AX381" i="5"/>
  <c r="AY381" i="5" s="1"/>
  <c r="AX215" i="5"/>
  <c r="AY215" i="5" s="1"/>
  <c r="AR28" i="4"/>
  <c r="AT28" i="4" s="1"/>
  <c r="AX280" i="5"/>
  <c r="AY280" i="5" s="1"/>
  <c r="AX125" i="5"/>
  <c r="AY125" i="5" s="1"/>
  <c r="AX476" i="5"/>
  <c r="AY476" i="5" s="1"/>
  <c r="AX445" i="5"/>
  <c r="AY445" i="5" s="1"/>
  <c r="AO91" i="4"/>
  <c r="AG91" i="4"/>
  <c r="AI91" i="4" s="1"/>
  <c r="AX225" i="5"/>
  <c r="AY225" i="5" s="1"/>
  <c r="AX24" i="5"/>
  <c r="AY24" i="5" s="1"/>
  <c r="AX448" i="5"/>
  <c r="AY448" i="5" s="1"/>
  <c r="AR80" i="4"/>
  <c r="AT80" i="4" s="1"/>
  <c r="AX256" i="5"/>
  <c r="AY256" i="5" s="1"/>
  <c r="AX275" i="5"/>
  <c r="AY275" i="5" s="1"/>
  <c r="AX32" i="5"/>
  <c r="AY32" i="5" s="1"/>
  <c r="AX504" i="5"/>
  <c r="AY504" i="5" s="1"/>
  <c r="AX319" i="5"/>
  <c r="AY319" i="5" s="1"/>
  <c r="AX393" i="5"/>
  <c r="AY393" i="5" s="1"/>
  <c r="AX467" i="5"/>
  <c r="AY467" i="5" s="1"/>
  <c r="F70" i="1"/>
  <c r="B231" i="2"/>
  <c r="F71" i="1" s="1"/>
  <c r="AX385" i="5"/>
  <c r="AY385" i="5" s="1"/>
  <c r="AX506" i="5"/>
  <c r="AY506" i="5" s="1"/>
  <c r="AX417" i="5"/>
  <c r="AY417" i="5" s="1"/>
  <c r="AX70" i="5"/>
  <c r="AY70" i="5" s="1"/>
  <c r="AR99" i="4"/>
  <c r="AT99" i="4" s="1"/>
  <c r="AX538" i="5"/>
  <c r="AY538" i="5" s="1"/>
  <c r="AX22" i="5"/>
  <c r="AY22" i="5" s="1"/>
  <c r="AX396" i="5"/>
  <c r="AY396" i="5" s="1"/>
  <c r="AX446" i="5"/>
  <c r="AY446" i="5" s="1"/>
  <c r="AX508" i="5"/>
  <c r="AY508" i="5" s="1"/>
  <c r="AX348" i="5"/>
  <c r="AY348" i="5" s="1"/>
  <c r="AX420" i="5"/>
  <c r="AY420" i="5" s="1"/>
  <c r="AX117" i="5"/>
  <c r="AY117" i="5" s="1"/>
  <c r="AX433" i="5"/>
  <c r="AY433" i="5" s="1"/>
  <c r="AX371" i="5"/>
  <c r="AY371" i="5" s="1"/>
  <c r="AX484" i="5"/>
  <c r="AY484" i="5" s="1"/>
  <c r="AX553" i="5"/>
  <c r="AY553" i="5" s="1"/>
  <c r="AX471" i="5"/>
  <c r="AY471" i="5" s="1"/>
  <c r="AX203" i="5"/>
  <c r="AY203" i="5" s="1"/>
  <c r="AX204" i="5"/>
  <c r="AY204" i="5" s="1"/>
  <c r="AX480" i="5"/>
  <c r="AY480" i="5" s="1"/>
  <c r="AX453" i="5"/>
  <c r="AY453" i="5" s="1"/>
  <c r="AR107" i="4"/>
  <c r="AT107" i="4" s="1"/>
  <c r="AX138" i="5"/>
  <c r="AY138" i="5" s="1"/>
  <c r="AX439" i="5"/>
  <c r="AY439" i="5" s="1"/>
  <c r="AX108" i="5"/>
  <c r="AY108" i="5" s="1"/>
  <c r="AR16" i="4"/>
  <c r="AT16" i="4" s="1"/>
  <c r="AX304" i="5"/>
  <c r="AY304" i="5" s="1"/>
  <c r="AX532" i="5"/>
  <c r="AY532" i="5" s="1"/>
  <c r="AX370" i="5"/>
  <c r="AY370" i="5" s="1"/>
  <c r="AR55" i="4"/>
  <c r="AT55" i="4" s="1"/>
  <c r="AR115" i="4"/>
  <c r="AT115" i="4" s="1"/>
  <c r="AR42" i="4"/>
  <c r="AT42" i="4" s="1"/>
  <c r="AX121" i="5"/>
  <c r="AY121" i="5" s="1"/>
  <c r="AX289" i="5"/>
  <c r="AY289" i="5" s="1"/>
  <c r="AX490" i="5"/>
  <c r="AY490" i="5" s="1"/>
  <c r="AX297" i="5"/>
  <c r="AY297" i="5" s="1"/>
  <c r="AX459" i="5"/>
  <c r="AY459" i="5" s="1"/>
  <c r="AX514" i="5"/>
  <c r="AY514" i="5" s="1"/>
  <c r="AX136" i="5"/>
  <c r="AY136" i="5" s="1"/>
  <c r="AR60" i="4"/>
  <c r="AT60" i="4" s="1"/>
  <c r="AX397" i="5"/>
  <c r="AY397" i="5" s="1"/>
  <c r="AX543" i="5"/>
  <c r="AY543" i="5" s="1"/>
  <c r="AX100" i="5"/>
  <c r="AY100" i="5" s="1"/>
  <c r="AX346" i="5"/>
  <c r="AY346" i="5" s="1"/>
  <c r="AX460" i="5"/>
  <c r="AY460" i="5" s="1"/>
  <c r="AX521" i="5"/>
  <c r="AY521" i="5" s="1"/>
  <c r="AX522" i="5"/>
  <c r="AY522" i="5" s="1"/>
  <c r="AO73" i="4"/>
  <c r="AG73" i="4"/>
  <c r="AI73" i="4" s="1"/>
  <c r="AX69" i="5"/>
  <c r="AY69" i="5" s="1"/>
  <c r="AX416" i="5"/>
  <c r="AY416" i="5" s="1"/>
  <c r="AX268" i="5"/>
  <c r="AY268" i="5" s="1"/>
  <c r="AX399" i="5"/>
  <c r="AY399" i="5" s="1"/>
  <c r="AX281" i="5"/>
  <c r="AY281" i="5" s="1"/>
  <c r="AX330" i="5"/>
  <c r="AY330" i="5" s="1"/>
  <c r="AX375" i="5"/>
  <c r="AY375" i="5" s="1"/>
  <c r="AX192" i="5"/>
  <c r="AY192" i="5" s="1"/>
  <c r="AX126" i="5"/>
  <c r="AY126" i="5" s="1"/>
  <c r="AX162" i="5"/>
  <c r="AY162" i="5" s="1"/>
  <c r="AX170" i="5"/>
  <c r="AY170" i="5" s="1"/>
  <c r="AX336" i="5"/>
  <c r="AY336" i="5" s="1"/>
  <c r="AX293" i="5"/>
  <c r="AY293" i="5" s="1"/>
  <c r="AR117" i="4"/>
  <c r="AT117" i="4" s="1"/>
  <c r="AX91" i="5"/>
  <c r="AY91" i="5" s="1"/>
  <c r="AR119" i="4"/>
  <c r="AT119" i="4" s="1"/>
  <c r="AX524" i="5"/>
  <c r="AY524" i="5" s="1"/>
  <c r="AX437" i="5"/>
  <c r="AY437" i="5" s="1"/>
  <c r="AR56" i="4"/>
  <c r="AT56" i="4" s="1"/>
  <c r="AX536" i="5"/>
  <c r="AY536" i="5" s="1"/>
  <c r="AX296" i="5"/>
  <c r="AY296" i="5" s="1"/>
  <c r="AX253" i="5"/>
  <c r="AY253" i="5" s="1"/>
  <c r="AX502" i="5"/>
  <c r="AY502" i="5" s="1"/>
  <c r="AX391" i="5"/>
  <c r="AY391" i="5" s="1"/>
  <c r="AX250" i="5"/>
  <c r="AY250" i="5" s="1"/>
  <c r="AX412" i="5"/>
  <c r="AY412" i="5" s="1"/>
  <c r="AX114" i="5"/>
  <c r="AY114" i="5" s="1"/>
  <c r="AR110" i="4"/>
  <c r="AT110" i="4" s="1"/>
  <c r="AX284" i="5"/>
  <c r="AY284" i="5" s="1"/>
  <c r="AX533" i="5"/>
  <c r="AY533" i="5" s="1"/>
  <c r="AX332" i="5"/>
  <c r="AY332" i="5" s="1"/>
  <c r="AX327" i="5"/>
  <c r="AY327" i="5" s="1"/>
  <c r="AR13" i="4"/>
  <c r="AT13" i="4" s="1"/>
  <c r="AX31" i="5"/>
  <c r="AY31" i="5" s="1"/>
  <c r="AR153" i="4"/>
  <c r="AT153" i="4" s="1"/>
  <c r="AX285" i="5"/>
  <c r="AY285" i="5" s="1"/>
  <c r="AX181" i="5"/>
  <c r="AY181" i="5" s="1"/>
  <c r="AX406" i="5"/>
  <c r="AY406" i="5" s="1"/>
  <c r="AX363" i="5"/>
  <c r="AY363" i="5" s="1"/>
  <c r="AX142" i="5"/>
  <c r="AY142" i="5" s="1"/>
  <c r="AX38" i="5"/>
  <c r="AY38" i="5" s="1"/>
  <c r="AX499" i="5"/>
  <c r="AY499" i="5" s="1"/>
  <c r="AR48" i="4"/>
  <c r="AT48" i="4" s="1"/>
  <c r="AX451" i="5" l="1"/>
  <c r="AY451" i="5" s="1"/>
  <c r="AX402" i="5"/>
  <c r="AY402" i="5" s="1"/>
  <c r="AX469" i="5"/>
  <c r="AY469" i="5" s="1"/>
  <c r="AX529" i="5"/>
  <c r="AY529" i="5" s="1"/>
  <c r="AX462" i="5"/>
  <c r="AY462" i="5" s="1"/>
  <c r="AX465" i="5"/>
  <c r="AY465" i="5" s="1"/>
  <c r="AX243" i="5"/>
  <c r="AY243" i="5" s="1"/>
  <c r="AX540" i="5"/>
  <c r="AY540" i="5" s="1"/>
  <c r="AR142" i="4"/>
  <c r="AT142" i="4" s="1"/>
  <c r="AX468" i="5"/>
  <c r="AY468" i="5" s="1"/>
  <c r="AX307" i="5"/>
  <c r="AY307" i="5" s="1"/>
  <c r="AX518" i="5"/>
  <c r="AY518" i="5" s="1"/>
  <c r="AX555" i="5"/>
  <c r="AY555" i="5" s="1"/>
  <c r="AX312" i="5"/>
  <c r="AY312" i="5" s="1"/>
  <c r="AX390" i="5"/>
  <c r="AY390" i="5" s="1"/>
  <c r="AX455" i="5"/>
  <c r="AY455" i="5" s="1"/>
  <c r="AX478" i="5"/>
  <c r="AY478" i="5" s="1"/>
  <c r="AX474" i="5"/>
  <c r="AY474" i="5" s="1"/>
  <c r="AX266" i="5"/>
  <c r="AY266" i="5" s="1"/>
  <c r="AX200" i="5"/>
  <c r="AY200" i="5" s="1"/>
  <c r="AX57" i="5"/>
  <c r="AY57" i="5" s="1"/>
  <c r="AX374" i="5"/>
  <c r="AY374" i="5" s="1"/>
  <c r="AX410" i="5"/>
  <c r="AY410" i="5" s="1"/>
  <c r="AR125" i="4"/>
  <c r="AT125" i="4" s="1"/>
  <c r="AX41" i="5"/>
  <c r="AY41" i="5" s="1"/>
  <c r="AG22" i="4"/>
  <c r="AI22" i="4" s="1"/>
  <c r="AR22" i="4" s="1"/>
  <c r="AT22" i="4" s="1"/>
  <c r="AX513" i="5"/>
  <c r="AY513" i="5" s="1"/>
  <c r="AX305" i="5"/>
  <c r="AY305" i="5" s="1"/>
  <c r="AX315" i="5"/>
  <c r="AY315" i="5" s="1"/>
  <c r="AX295" i="5"/>
  <c r="AY295" i="5" s="1"/>
  <c r="AX213" i="5"/>
  <c r="AY213" i="5" s="1"/>
  <c r="AX221" i="5"/>
  <c r="AY221" i="5" s="1"/>
  <c r="AX145" i="5"/>
  <c r="AY145" i="5" s="1"/>
  <c r="AX185" i="5"/>
  <c r="AY185" i="5" s="1"/>
  <c r="AX443" i="5"/>
  <c r="AY443" i="5" s="1"/>
  <c r="AX36" i="5"/>
  <c r="AY36" i="5" s="1"/>
  <c r="AX360" i="5"/>
  <c r="AY360" i="5" s="1"/>
  <c r="AX354" i="5"/>
  <c r="AY354" i="5" s="1"/>
  <c r="AX359" i="5"/>
  <c r="AY359" i="5" s="1"/>
  <c r="AX248" i="5"/>
  <c r="AY248" i="5" s="1"/>
  <c r="AX301" i="5"/>
  <c r="AY301" i="5" s="1"/>
  <c r="AX174" i="5"/>
  <c r="AY174" i="5" s="1"/>
  <c r="AX112" i="5"/>
  <c r="AY112" i="5" s="1"/>
  <c r="AX428" i="5"/>
  <c r="AY428" i="5" s="1"/>
  <c r="AX310" i="5"/>
  <c r="AY310" i="5" s="1"/>
  <c r="AX47" i="5"/>
  <c r="AY47" i="5" s="1"/>
  <c r="AX157" i="5"/>
  <c r="AY157" i="5" s="1"/>
  <c r="AX493" i="5"/>
  <c r="AY493" i="5" s="1"/>
  <c r="AX119" i="5"/>
  <c r="AY119" i="5" s="1"/>
  <c r="AX344" i="5"/>
  <c r="AY344" i="5" s="1"/>
  <c r="AX60" i="5"/>
  <c r="AY60" i="5" s="1"/>
  <c r="AX461" i="5"/>
  <c r="AY461" i="5" s="1"/>
  <c r="AX259" i="5"/>
  <c r="AY259" i="5" s="1"/>
  <c r="AX238" i="5"/>
  <c r="AY238" i="5" s="1"/>
  <c r="AX403" i="5"/>
  <c r="AY403" i="5" s="1"/>
  <c r="AX194" i="5"/>
  <c r="AY194" i="5" s="1"/>
  <c r="AX66" i="5"/>
  <c r="AY66" i="5" s="1"/>
  <c r="AX93" i="5"/>
  <c r="AY93" i="5" s="1"/>
  <c r="AX178" i="5"/>
  <c r="AY178" i="5" s="1"/>
  <c r="AX263" i="5"/>
  <c r="AY263" i="5" s="1"/>
  <c r="AX89" i="5"/>
  <c r="AY89" i="5" s="1"/>
  <c r="AX244" i="5"/>
  <c r="AY244" i="5" s="1"/>
  <c r="AX140" i="5"/>
  <c r="AY140" i="5" s="1"/>
  <c r="AX276" i="5"/>
  <c r="AY276" i="5" s="1"/>
  <c r="AX220" i="5"/>
  <c r="AY220" i="5" s="1"/>
  <c r="AX210" i="5"/>
  <c r="AY210" i="5" s="1"/>
  <c r="AX550" i="5"/>
  <c r="AY550" i="5" s="1"/>
  <c r="AX452" i="5"/>
  <c r="AY452" i="5" s="1"/>
  <c r="AX75" i="5"/>
  <c r="AY75" i="5" s="1"/>
  <c r="AX383" i="5"/>
  <c r="AY383" i="5" s="1"/>
  <c r="AX404" i="5"/>
  <c r="AY404" i="5" s="1"/>
  <c r="AX401" i="5"/>
  <c r="AY401" i="5" s="1"/>
  <c r="AX230" i="5"/>
  <c r="AY230" i="5" s="1"/>
  <c r="AX317" i="5"/>
  <c r="AY317" i="5" s="1"/>
  <c r="AX554" i="5"/>
  <c r="AY554" i="5" s="1"/>
  <c r="AX149" i="5"/>
  <c r="AY149" i="5" s="1"/>
  <c r="AX104" i="5"/>
  <c r="AY104" i="5" s="1"/>
  <c r="AX237" i="5"/>
  <c r="AY237" i="5" s="1"/>
  <c r="AX82" i="5"/>
  <c r="AY82" i="5" s="1"/>
  <c r="AX133" i="5"/>
  <c r="AY133" i="5" s="1"/>
  <c r="AX110" i="5"/>
  <c r="AY110" i="5" s="1"/>
  <c r="AX377" i="5"/>
  <c r="AY377" i="5" s="1"/>
  <c r="AX217" i="5"/>
  <c r="AY217" i="5" s="1"/>
  <c r="AX228" i="5"/>
  <c r="AY228" i="5" s="1"/>
  <c r="AX98" i="5"/>
  <c r="AY98" i="5" s="1"/>
  <c r="AX492" i="5"/>
  <c r="AY492" i="5" s="1"/>
  <c r="AX501" i="5"/>
  <c r="AY501" i="5" s="1"/>
  <c r="AX496" i="5"/>
  <c r="AY496" i="5" s="1"/>
  <c r="AX74" i="5"/>
  <c r="AY74" i="5" s="1"/>
  <c r="AX167" i="5"/>
  <c r="AY167" i="5" s="1"/>
  <c r="AX405" i="5"/>
  <c r="AY405" i="5" s="1"/>
  <c r="AX131" i="5"/>
  <c r="AY131" i="5" s="1"/>
  <c r="AX387" i="5"/>
  <c r="AY387" i="5" s="1"/>
  <c r="AX65" i="5"/>
  <c r="AY65" i="5" s="1"/>
  <c r="AX400" i="5"/>
  <c r="AY400" i="5" s="1"/>
  <c r="AX156" i="5"/>
  <c r="AY156" i="5" s="1"/>
  <c r="AX64" i="5"/>
  <c r="AY64" i="5" s="1"/>
  <c r="AX409" i="5"/>
  <c r="AY409" i="5" s="1"/>
  <c r="AX196" i="5"/>
  <c r="AY196" i="5" s="1"/>
  <c r="AX473" i="5"/>
  <c r="AY473" i="5" s="1"/>
  <c r="AX528" i="5"/>
  <c r="AY528" i="5" s="1"/>
  <c r="AO133" i="4"/>
  <c r="AR133" i="4" s="1"/>
  <c r="AT133" i="4" s="1"/>
  <c r="AX291" i="5"/>
  <c r="AY291" i="5" s="1"/>
  <c r="AX527" i="5"/>
  <c r="AY527" i="5" s="1"/>
  <c r="AR12" i="4"/>
  <c r="AT12" i="4" s="1"/>
  <c r="AX320" i="5"/>
  <c r="AY320" i="5" s="1"/>
  <c r="AX271" i="5"/>
  <c r="AY271" i="5" s="1"/>
  <c r="AX558" i="5"/>
  <c r="AY558" i="5" s="1"/>
  <c r="AX249" i="5"/>
  <c r="AY249" i="5" s="1"/>
  <c r="AX510" i="5"/>
  <c r="AY510" i="5" s="1"/>
  <c r="AX322" i="5"/>
  <c r="AY322" i="5" s="1"/>
  <c r="AG26" i="4"/>
  <c r="AI26" i="4" s="1"/>
  <c r="AO26" i="4"/>
  <c r="AX340" i="5"/>
  <c r="AY340" i="5" s="1"/>
  <c r="AX298" i="5"/>
  <c r="AY298" i="5" s="1"/>
  <c r="AK155" i="4"/>
  <c r="AA130" i="4"/>
  <c r="AC130" i="4" s="1"/>
  <c r="AD130" i="4" s="1"/>
  <c r="AA144" i="4"/>
  <c r="AC144" i="4" s="1"/>
  <c r="AD144" i="4" s="1"/>
  <c r="AA155" i="4"/>
  <c r="AC155" i="4" s="1"/>
  <c r="AD155" i="4" s="1"/>
  <c r="AX235" i="5"/>
  <c r="AY235" i="5" s="1"/>
  <c r="AX292" i="5"/>
  <c r="AY292" i="5" s="1"/>
  <c r="AX486" i="5"/>
  <c r="AY486" i="5" s="1"/>
  <c r="AX497" i="5"/>
  <c r="AY497" i="5" s="1"/>
  <c r="AX457" i="5"/>
  <c r="AY457" i="5" s="1"/>
  <c r="AR84" i="4"/>
  <c r="AT84" i="4" s="1"/>
  <c r="AR79" i="4"/>
  <c r="AT79" i="4" s="1"/>
  <c r="AK144" i="4"/>
  <c r="AX325" i="5"/>
  <c r="AY325" i="5" s="1"/>
  <c r="AG130" i="4"/>
  <c r="AI130" i="4" s="1"/>
  <c r="AO130" i="4"/>
  <c r="AO62" i="4"/>
  <c r="AG62" i="4"/>
  <c r="AI62" i="4" s="1"/>
  <c r="AG10" i="4"/>
  <c r="AI10" i="4" s="1"/>
  <c r="AO10" i="4"/>
  <c r="AK141" i="4"/>
  <c r="AF141" i="4"/>
  <c r="AO101" i="4"/>
  <c r="AG101" i="4"/>
  <c r="AI101" i="4" s="1"/>
  <c r="AG144" i="4"/>
  <c r="AI144" i="4" s="1"/>
  <c r="AO144" i="4"/>
  <c r="AG94" i="4"/>
  <c r="AI94" i="4" s="1"/>
  <c r="AO94" i="4"/>
  <c r="AO58" i="4"/>
  <c r="AG58" i="4"/>
  <c r="AI58" i="4" s="1"/>
  <c r="AK130" i="4"/>
  <c r="AR132" i="4"/>
  <c r="AT132" i="4" s="1"/>
  <c r="AG24" i="4"/>
  <c r="AI24" i="4" s="1"/>
  <c r="AO24" i="4"/>
  <c r="AR105" i="4"/>
  <c r="AT105" i="4" s="1"/>
  <c r="AO155" i="4"/>
  <c r="AG155" i="4"/>
  <c r="AI155" i="4" s="1"/>
  <c r="AR140" i="4"/>
  <c r="AT140" i="4" s="1"/>
  <c r="AG83" i="4"/>
  <c r="AI83" i="4" s="1"/>
  <c r="AO83" i="4"/>
  <c r="AG34" i="4"/>
  <c r="AI34" i="4" s="1"/>
  <c r="AO34" i="4"/>
  <c r="AG59" i="4"/>
  <c r="AI59" i="4" s="1"/>
  <c r="AO59" i="4"/>
  <c r="AG21" i="4"/>
  <c r="AI21" i="4" s="1"/>
  <c r="AO21" i="4"/>
  <c r="AX207" i="5"/>
  <c r="AY207" i="5" s="1"/>
  <c r="AX233" i="5"/>
  <c r="AY233" i="5" s="1"/>
  <c r="AR76" i="4"/>
  <c r="AT76" i="4" s="1"/>
  <c r="AX549" i="5"/>
  <c r="AY549" i="5" s="1"/>
  <c r="AX195" i="5"/>
  <c r="AY195" i="5" s="1"/>
  <c r="AX546" i="5"/>
  <c r="AY546" i="5" s="1"/>
  <c r="AX442" i="5"/>
  <c r="AY442" i="5" s="1"/>
  <c r="AR86" i="4"/>
  <c r="AT86" i="4" s="1"/>
  <c r="AR8" i="4"/>
  <c r="AT8" i="4" s="1"/>
  <c r="AR54" i="4"/>
  <c r="AT54" i="4" s="1"/>
  <c r="AX352" i="5"/>
  <c r="AY352" i="5" s="1"/>
  <c r="AX422" i="5"/>
  <c r="AY422" i="5" s="1"/>
  <c r="AX51" i="5"/>
  <c r="AY51" i="5" s="1"/>
  <c r="AX545" i="5"/>
  <c r="AY545" i="5" s="1"/>
  <c r="AX534" i="5"/>
  <c r="AY534" i="5" s="1"/>
  <c r="AX419" i="5"/>
  <c r="AY419" i="5" s="1"/>
  <c r="AX190" i="5"/>
  <c r="AY190" i="5" s="1"/>
  <c r="AX55" i="5"/>
  <c r="AY55" i="5" s="1"/>
  <c r="AX541" i="5"/>
  <c r="AY541" i="5" s="1"/>
  <c r="AX526" i="5"/>
  <c r="AY526" i="5" s="1"/>
  <c r="AX246" i="5"/>
  <c r="AY246" i="5" s="1"/>
  <c r="AX357" i="5"/>
  <c r="AY357" i="5" s="1"/>
  <c r="AX95" i="5"/>
  <c r="AY95" i="5" s="1"/>
  <c r="AX124" i="5"/>
  <c r="AY124" i="5" s="1"/>
  <c r="AX106" i="5"/>
  <c r="AY106" i="5" s="1"/>
  <c r="AX164" i="5"/>
  <c r="AY164" i="5" s="1"/>
  <c r="AX61" i="5"/>
  <c r="AY61" i="5" s="1"/>
  <c r="AX171" i="5"/>
  <c r="AY171" i="5" s="1"/>
  <c r="AX154" i="5"/>
  <c r="AY154" i="5" s="1"/>
  <c r="AX152" i="5"/>
  <c r="AY152" i="5" s="1"/>
  <c r="AX27" i="5"/>
  <c r="AY27" i="5" s="1"/>
  <c r="AX516" i="5"/>
  <c r="AY516" i="5" s="1"/>
  <c r="AX227" i="5"/>
  <c r="AY227" i="5" s="1"/>
  <c r="AX88" i="5"/>
  <c r="AY88" i="5" s="1"/>
  <c r="AX519" i="5"/>
  <c r="AY519" i="5" s="1"/>
  <c r="AX366" i="5"/>
  <c r="AY366" i="5" s="1"/>
  <c r="AX242" i="5"/>
  <c r="AY242" i="5" s="1"/>
  <c r="AX189" i="5"/>
  <c r="AY189" i="5" s="1"/>
  <c r="AX441" i="5"/>
  <c r="AY441" i="5" s="1"/>
  <c r="B128" i="2"/>
  <c r="B134" i="2" s="1"/>
  <c r="AX50" i="5"/>
  <c r="AY50" i="5" s="1"/>
  <c r="AX40" i="5"/>
  <c r="AY40" i="5" s="1"/>
  <c r="AX29" i="5"/>
  <c r="AY29" i="5" s="1"/>
  <c r="AX414" i="5"/>
  <c r="AY414" i="5" s="1"/>
  <c r="AX155" i="5"/>
  <c r="AY155" i="5" s="1"/>
  <c r="AX334" i="5"/>
  <c r="AY334" i="5" s="1"/>
  <c r="AX430" i="5"/>
  <c r="AY430" i="5" s="1"/>
  <c r="K142" i="2"/>
  <c r="B131" i="2"/>
  <c r="B132" i="2" s="1"/>
  <c r="AR20" i="4"/>
  <c r="AT20" i="4" s="1"/>
  <c r="AX530" i="5"/>
  <c r="AY530" i="5" s="1"/>
  <c r="AR23" i="4"/>
  <c r="AT23" i="4" s="1"/>
  <c r="AR135" i="4"/>
  <c r="AT135" i="4" s="1"/>
  <c r="AR109" i="4"/>
  <c r="AT109" i="4" s="1"/>
  <c r="AR127" i="4"/>
  <c r="AT127" i="4" s="1"/>
  <c r="AR38" i="4"/>
  <c r="AT38" i="4" s="1"/>
  <c r="AR35" i="4"/>
  <c r="AT35" i="4" s="1"/>
  <c r="AR39" i="4"/>
  <c r="AT39" i="4" s="1"/>
  <c r="AR100" i="4"/>
  <c r="AT100" i="4" s="1"/>
  <c r="AR95" i="4"/>
  <c r="AT95" i="4" s="1"/>
  <c r="AR52" i="4"/>
  <c r="AT52" i="4" s="1"/>
  <c r="AR157" i="4"/>
  <c r="AT157" i="4" s="1"/>
  <c r="AR47" i="4"/>
  <c r="AT47" i="4" s="1"/>
  <c r="AR64" i="4"/>
  <c r="AT64" i="4" s="1"/>
  <c r="AR116" i="4"/>
  <c r="AT116" i="4" s="1"/>
  <c r="AR128" i="4"/>
  <c r="AT128" i="4" s="1"/>
  <c r="AR14" i="4"/>
  <c r="AT14" i="4" s="1"/>
  <c r="AR148" i="4"/>
  <c r="AT148" i="4" s="1"/>
  <c r="AR63" i="4"/>
  <c r="AT63" i="4" s="1"/>
  <c r="AR7" i="4"/>
  <c r="AT7" i="4" s="1"/>
  <c r="AR77" i="4"/>
  <c r="AT77" i="4" s="1"/>
  <c r="AR126" i="4"/>
  <c r="AT126" i="4" s="1"/>
  <c r="AR69" i="4"/>
  <c r="AT69" i="4" s="1"/>
  <c r="AR150" i="4"/>
  <c r="AT150" i="4" s="1"/>
  <c r="AR137" i="4"/>
  <c r="AT137" i="4" s="1"/>
  <c r="AR37" i="4"/>
  <c r="AT37" i="4" s="1"/>
  <c r="AR93" i="4"/>
  <c r="AT93" i="4" s="1"/>
  <c r="AR134" i="4"/>
  <c r="AT134" i="4" s="1"/>
  <c r="AR73" i="4"/>
  <c r="AT73" i="4" s="1"/>
  <c r="AR91" i="4"/>
  <c r="AT91" i="4" s="1"/>
  <c r="AR26" i="4" l="1"/>
  <c r="AT26" i="4" s="1"/>
  <c r="AR59" i="4"/>
  <c r="AT59" i="4" s="1"/>
  <c r="AR94" i="4"/>
  <c r="AT94" i="4" s="1"/>
  <c r="AR10" i="4"/>
  <c r="AT10" i="4" s="1"/>
  <c r="AR34" i="4"/>
  <c r="AT34" i="4" s="1"/>
  <c r="AR24" i="4"/>
  <c r="AT24" i="4" s="1"/>
  <c r="AR144" i="4"/>
  <c r="AT144" i="4" s="1"/>
  <c r="AR155" i="4"/>
  <c r="AT155" i="4" s="1"/>
  <c r="AR130" i="4"/>
  <c r="AT130" i="4" s="1"/>
  <c r="AR21" i="4"/>
  <c r="AT21" i="4" s="1"/>
  <c r="AG141" i="4"/>
  <c r="AI141" i="4" s="1"/>
  <c r="AO141" i="4"/>
  <c r="AR58" i="4"/>
  <c r="AT58" i="4" s="1"/>
  <c r="AR62" i="4"/>
  <c r="AT62" i="4" s="1"/>
  <c r="AR83" i="4"/>
  <c r="AT83" i="4" s="1"/>
  <c r="AR101" i="4"/>
  <c r="AT101" i="4" s="1"/>
  <c r="AY14" i="5"/>
  <c r="D69" i="5" s="1"/>
  <c r="B69" i="5" s="1"/>
  <c r="A69" i="5" s="1"/>
  <c r="L68" i="1" s="1"/>
  <c r="K136" i="2"/>
  <c r="B136" i="2" s="1"/>
  <c r="H31" i="1" s="1"/>
  <c r="AY12" i="5"/>
  <c r="D68" i="5" s="1"/>
  <c r="B68" i="5" s="1"/>
  <c r="A68" i="5" s="1"/>
  <c r="L67" i="1" s="1"/>
  <c r="B135" i="2"/>
  <c r="H30" i="1" s="1"/>
  <c r="AR141" i="4" l="1"/>
  <c r="AT141"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Schauer, Stefan</author>
  </authors>
  <commentList>
    <comment ref="A3" authorId="0" shapeId="0" xr:uid="{00000000-0006-0000-0000-000001000000}">
      <text>
        <r>
          <rPr>
            <b/>
            <sz val="11"/>
            <color indexed="10"/>
            <rFont val="Tahoma"/>
            <family val="2"/>
          </rPr>
          <t>Welcome to the LM5155 Design Tool</t>
        </r>
        <r>
          <rPr>
            <sz val="9"/>
            <color indexed="81"/>
            <rFont val="Tahoma"/>
            <family val="2"/>
          </rPr>
          <t xml:space="preserve">
This stand-alone tool facilitates and assists the power supply engineer with design of a DC-DC boost converter based on the LM5155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Note: When not using an english Excel version and a #name error is displayed after change a value try pressing Shift+ALT+CTRL+F9 and change the value again.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G7" authorId="0" shapeId="0" xr:uid="{00000000-0006-0000-0000-000003000000}">
      <text>
        <r>
          <rPr>
            <b/>
            <sz val="9"/>
            <color indexed="81"/>
            <rFont val="Tahoma"/>
            <family val="2"/>
          </rPr>
          <t xml:space="preserve">Minimum Input Voltage:
</t>
        </r>
        <r>
          <rPr>
            <sz val="9"/>
            <color indexed="81"/>
            <rFont val="Tahoma"/>
            <family val="2"/>
          </rPr>
          <t>Enter the minimum operating input voltage.
The LM5155 BIAS pin voltage operating range is 3.5V to 45V.
The LM5156 BIAS pin voltage operating range is 3.5V to 60V.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52"/>
            <rFont val="Tahoma"/>
            <family val="2"/>
          </rPr>
          <t>The text in the cell is flagged orange if:</t>
        </r>
        <r>
          <rPr>
            <b/>
            <sz val="9"/>
            <color indexed="81"/>
            <rFont val="Tahoma"/>
            <family val="2"/>
          </rPr>
          <t xml:space="preserve">
</t>
        </r>
        <r>
          <rPr>
            <sz val="9"/>
            <color indexed="81"/>
            <rFont val="Tahoma"/>
            <family val="2"/>
          </rPr>
          <t>-The input voltage is above 45V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60V
-The input voltage is below 1.5V</t>
        </r>
      </text>
    </comment>
    <comment ref="G8" authorId="0" shapeId="0" xr:uid="{00000000-0006-0000-0000-000004000000}">
      <text>
        <r>
          <rPr>
            <b/>
            <sz val="9"/>
            <color indexed="81"/>
            <rFont val="Tahoma"/>
            <family val="2"/>
          </rPr>
          <t xml:space="preserve">Nominal Input Voltage:
</t>
        </r>
        <r>
          <rPr>
            <sz val="9"/>
            <color indexed="81"/>
            <rFont val="Tahoma"/>
            <family val="2"/>
          </rPr>
          <t>Enter the nominal operating input voltage.
The LM5155 input voltage operating range is 1.5V to 45V.</t>
        </r>
        <r>
          <rPr>
            <b/>
            <sz val="9"/>
            <color indexed="81"/>
            <rFont val="Tahoma"/>
            <family val="2"/>
          </rPr>
          <t xml:space="preserve">
</t>
        </r>
        <r>
          <rPr>
            <sz val="9"/>
            <color indexed="81"/>
            <rFont val="Tahoma"/>
            <family val="2"/>
          </rPr>
          <t xml:space="preserve">The LM5156 input voltage operating range is 1.5V to 60V.
</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shapeId="0" xr:uid="{00000000-0006-0000-0000-000005000000}">
      <text>
        <r>
          <rPr>
            <b/>
            <sz val="9"/>
            <color indexed="81"/>
            <rFont val="Tahoma"/>
            <family val="2"/>
          </rPr>
          <t>Maximum Input Voltage:</t>
        </r>
        <r>
          <rPr>
            <sz val="9"/>
            <color indexed="81"/>
            <rFont val="Tahoma"/>
            <family val="2"/>
          </rPr>
          <t xml:space="preserve">
Enter the maximum operating input voltage.
The LM5155 input voltage operating range is 1.5V to 45V.
The LM5156 input voltage operating range is 1.5V to 60V.
</t>
        </r>
        <r>
          <rPr>
            <b/>
            <sz val="9"/>
            <color indexed="10"/>
            <rFont val="Tahoma"/>
            <family val="2"/>
          </rPr>
          <t xml:space="preserve">
</t>
        </r>
        <r>
          <rPr>
            <b/>
            <sz val="9"/>
            <color indexed="52"/>
            <rFont val="Tahoma"/>
            <family val="2"/>
          </rPr>
          <t>The text in the cell is flagged orange if:</t>
        </r>
        <r>
          <rPr>
            <b/>
            <sz val="9"/>
            <color indexed="10"/>
            <rFont val="Tahoma"/>
            <family val="2"/>
          </rPr>
          <t xml:space="preserve">
</t>
        </r>
        <r>
          <rPr>
            <sz val="9"/>
            <color indexed="81"/>
            <rFont val="Tahoma"/>
            <family val="2"/>
          </rPr>
          <t>-The input voltage is above 45V</t>
        </r>
        <r>
          <rPr>
            <b/>
            <sz val="9"/>
            <color indexed="10"/>
            <rFont val="Tahoma"/>
            <family val="2"/>
          </rPr>
          <t xml:space="preserve">
The text in the cell is flagged red if:</t>
        </r>
        <r>
          <rPr>
            <sz val="9"/>
            <color indexed="81"/>
            <rFont val="Tahoma"/>
            <family val="2"/>
          </rPr>
          <t xml:space="preserve">
-The input voltage is above 60V
-The input voltage is below 1.5V
</t>
        </r>
      </text>
    </comment>
    <comment ref="G10" authorId="0" shapeId="0" xr:uid="{00000000-0006-0000-0000-000006000000}">
      <text>
        <r>
          <rPr>
            <b/>
            <sz val="9"/>
            <color indexed="81"/>
            <rFont val="Tahoma"/>
            <family val="2"/>
          </rPr>
          <t>Output Voltage:</t>
        </r>
        <r>
          <rPr>
            <sz val="9"/>
            <color indexed="81"/>
            <rFont val="Tahoma"/>
            <family val="2"/>
          </rPr>
          <t xml:space="preserve">
Enter the desired output voltage.
</t>
        </r>
      </text>
    </comment>
    <comment ref="G12" authorId="0" shapeId="0" xr:uid="{00000000-0006-0000-0000-000007000000}">
      <text>
        <r>
          <rPr>
            <b/>
            <sz val="9"/>
            <color rgb="FF000000"/>
            <rFont val="Tahoma"/>
            <family val="2"/>
          </rPr>
          <t>Operating Frequency (set by RT):</t>
        </r>
        <r>
          <rPr>
            <sz val="9"/>
            <color rgb="FF000000"/>
            <rFont val="Tahoma"/>
            <family val="2"/>
          </rPr>
          <t xml:space="preserve">
</t>
        </r>
        <r>
          <rPr>
            <sz val="9"/>
            <color rgb="FF000000"/>
            <rFont val="Tahoma"/>
            <family val="2"/>
          </rPr>
          <t xml:space="preserve">This cell defines the free-running switching frequency set by the RT resistor. 
</t>
        </r>
        <r>
          <rPr>
            <sz val="9"/>
            <color rgb="FF000000"/>
            <rFont val="Tahoma"/>
            <family val="2"/>
          </rPr>
          <t xml:space="preserve">
</t>
        </r>
        <r>
          <rPr>
            <sz val="11"/>
            <color rgb="FFFF0000"/>
            <rFont val="Calibri"/>
            <family val="2"/>
          </rPr>
          <t>The text in the cell is flagged red if:</t>
        </r>
        <r>
          <rPr>
            <sz val="9"/>
            <color rgb="FF000000"/>
            <rFont val="Tahoma"/>
            <family val="2"/>
          </rPr>
          <t xml:space="preserve">
</t>
        </r>
        <r>
          <rPr>
            <sz val="9"/>
            <color rgb="FF000000"/>
            <rFont val="Tahoma"/>
            <family val="2"/>
          </rPr>
          <t xml:space="preserve">-The frequency is below 100 kHz
</t>
        </r>
        <r>
          <rPr>
            <sz val="9"/>
            <color rgb="FF000000"/>
            <rFont val="Tahoma"/>
            <family val="2"/>
          </rPr>
          <t>-The frequency is above 2.2 MHz</t>
        </r>
      </text>
    </comment>
    <comment ref="G14" authorId="0" shapeId="0" xr:uid="{00000000-0006-0000-0000-000008000000}">
      <text>
        <r>
          <rPr>
            <b/>
            <sz val="9"/>
            <color rgb="FF000000"/>
            <rFont val="Tahoma"/>
            <family val="2"/>
          </rPr>
          <t xml:space="preserve">Estimated Efficiency
</t>
        </r>
        <r>
          <rPr>
            <sz val="9"/>
            <color rgb="FF000000"/>
            <rFont val="Tahoma"/>
            <family val="2"/>
          </rPr>
          <t>A good estimate at full load current and Vsupply(min) is around the 90% to 93% range</t>
        </r>
      </text>
    </comment>
    <comment ref="G16" authorId="0" shapeId="0" xr:uid="{00000000-0006-0000-0000-000009000000}">
      <text>
        <r>
          <rPr>
            <b/>
            <sz val="9"/>
            <color rgb="FF000000"/>
            <rFont val="Tahoma"/>
            <family val="2"/>
          </rPr>
          <t xml:space="preserve">Maximum duty cycle
</t>
        </r>
        <r>
          <rPr>
            <sz val="9"/>
            <color rgb="FF000000"/>
            <rFont val="Tahoma"/>
            <family val="2"/>
          </rPr>
          <t xml:space="preserve">Limit of the LM5155. See the datasheet for more detail on how the maximum duty cycle changes with switching frequency
</t>
        </r>
      </text>
    </comment>
    <comment ref="G17" authorId="1" shapeId="0" xr:uid="{08B8E066-477C-411E-B516-1DCAD11E8DA9}">
      <text>
        <r>
          <rPr>
            <b/>
            <sz val="9"/>
            <color indexed="81"/>
            <rFont val="Tahoma"/>
            <family val="2"/>
          </rPr>
          <t xml:space="preserve">Ideal Duty Cycle at Vsupply(MIN):
</t>
        </r>
        <r>
          <rPr>
            <sz val="9"/>
            <color indexed="81"/>
            <rFont val="Tahoma"/>
            <family val="2"/>
          </rPr>
          <t xml:space="preserve">
Calculated with  1- (VIN_min/VOUT). 
</t>
        </r>
        <r>
          <rPr>
            <b/>
            <sz val="9"/>
            <color indexed="10"/>
            <rFont val="Tahoma"/>
            <family val="2"/>
          </rPr>
          <t xml:space="preserve">The text in the cell is flagged red if:
</t>
        </r>
        <r>
          <rPr>
            <sz val="9"/>
            <color indexed="81"/>
            <rFont val="Tahoma"/>
            <family val="2"/>
          </rPr>
          <t xml:space="preserve">- The duty cycle is above the Limit value (in the cell above)
  Based on the limits given in the datasheet
</t>
        </r>
      </text>
    </comment>
    <comment ref="G18" authorId="1" shapeId="0" xr:uid="{74A21C24-1F16-4017-9418-3CDE4814AE31}">
      <text>
        <r>
          <rPr>
            <b/>
            <sz val="9"/>
            <color indexed="81"/>
            <rFont val="Tahoma"/>
            <family val="2"/>
          </rPr>
          <t xml:space="preserve">Select the Operation mode:
</t>
        </r>
        <r>
          <rPr>
            <sz val="9"/>
            <color indexed="81"/>
            <rFont val="Tahoma"/>
            <family val="2"/>
          </rPr>
          <t xml:space="preserve">Select the operation mode at maximum load:
CCM: Continious Contuction Mode
DCM: Discontinious Contuction Mode
</t>
        </r>
      </text>
    </comment>
    <comment ref="G21" authorId="0" shapeId="0" xr:uid="{00000000-0006-0000-0000-00000A00000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t>
        </r>
      </text>
    </comment>
    <comment ref="G23" authorId="0" shapeId="0" xr:uid="{00000000-0006-0000-0000-00000B000000}">
      <text>
        <r>
          <rPr>
            <b/>
            <sz val="9"/>
            <color indexed="81"/>
            <rFont val="Tahoma"/>
            <family val="2"/>
          </rPr>
          <t xml:space="preserve">Filter Inductance:
</t>
        </r>
        <r>
          <rPr>
            <sz val="9"/>
            <color indexed="81"/>
            <rFont val="Tahoma"/>
            <family val="2"/>
          </rPr>
          <t xml:space="preserve">Enter the filter inductance here.
</t>
        </r>
        <r>
          <rPr>
            <b/>
            <sz val="9"/>
            <color indexed="10"/>
            <rFont val="Tahoma"/>
            <family val="2"/>
          </rPr>
          <t xml:space="preserve">The text in the cell is flagged red if:
</t>
        </r>
        <r>
          <rPr>
            <sz val="9"/>
            <color indexed="81"/>
            <rFont val="Tahoma"/>
            <family val="2"/>
          </rPr>
          <t xml:space="preserve">The selected inductance will not be supported the above set operation mode at maximum load.
(Checked only at the 3 given Supply Voltages (Min/Nom/Max).
</t>
        </r>
      </text>
    </comment>
    <comment ref="G24" authorId="0" shapeId="0" xr:uid="{00000000-0006-0000-0000-00000C000000}">
      <text>
        <r>
          <rPr>
            <b/>
            <sz val="9"/>
            <color rgb="FF000000"/>
            <rFont val="Tahoma"/>
            <family val="2"/>
          </rPr>
          <t xml:space="preserve">Inductor DCR:
</t>
        </r>
        <r>
          <rPr>
            <sz val="9"/>
            <color rgb="FF000000"/>
            <rFont val="Tahoma"/>
            <family val="2"/>
          </rPr>
          <t>Enter the inductor DC resistance here. This is typically specified in the inductor datasheet at 25</t>
        </r>
        <r>
          <rPr>
            <sz val="9"/>
            <color rgb="FF000000"/>
            <rFont val="Tahoma"/>
            <family val="2"/>
          </rPr>
          <t>°</t>
        </r>
        <r>
          <rPr>
            <sz val="9"/>
            <color rgb="FF000000"/>
            <rFont val="Tahoma"/>
            <family val="2"/>
          </rPr>
          <t xml:space="preserve">C copper temperature.
</t>
        </r>
      </text>
    </comment>
    <comment ref="G25" authorId="0" shapeId="0" xr:uid="{00000000-0006-0000-0000-00000D000000}">
      <text>
        <r>
          <rPr>
            <b/>
            <sz val="9"/>
            <color rgb="FF000000"/>
            <rFont val="Tahoma"/>
            <family val="2"/>
          </rPr>
          <t>Peak Inductor Current</t>
        </r>
        <r>
          <rPr>
            <sz val="9"/>
            <color rgb="FF000000"/>
            <rFont val="Tahoma"/>
            <family val="2"/>
          </rPr>
          <t xml:space="preserve">
</t>
        </r>
        <r>
          <rPr>
            <sz val="9"/>
            <color rgb="FF000000"/>
            <rFont val="Tahoma"/>
            <family val="2"/>
          </rPr>
          <t>Maximum peak inductor current during normal operation.  The peak current limit calculations are based on this value</t>
        </r>
      </text>
    </comment>
    <comment ref="G28" authorId="0" shapeId="0" xr:uid="{00000000-0006-0000-0000-00000E000000}">
      <text>
        <r>
          <rPr>
            <b/>
            <sz val="9"/>
            <color indexed="81"/>
            <rFont val="Tahoma"/>
            <family val="2"/>
          </rPr>
          <t>Peak Current Limit Margin</t>
        </r>
        <r>
          <rPr>
            <sz val="9"/>
            <color indexed="81"/>
            <rFont val="Tahoma"/>
            <family val="2"/>
          </rPr>
          <t xml:space="preserve">
Margin above the calculated peak inductor current. Margin must be given to allow for load transients and component tolerances.
Value should be higher then 15% to avoid false triggers.
The recommended value from the Datasheet is 20%.</t>
        </r>
      </text>
    </comment>
    <comment ref="G29" authorId="0" shapeId="0" xr:uid="{00000000-0006-0000-0000-00000F000000}">
      <text>
        <r>
          <rPr>
            <b/>
            <sz val="9"/>
            <color rgb="FF000000"/>
            <rFont val="Tahoma"/>
            <family val="2"/>
          </rPr>
          <t xml:space="preserve">Selected Peak Inductor Current Limt
</t>
        </r>
        <r>
          <rPr>
            <sz val="9"/>
            <color rgb="FF000000"/>
            <rFont val="Tahoma"/>
            <family val="2"/>
          </rPr>
          <t xml:space="preserve">
</t>
        </r>
        <r>
          <rPr>
            <sz val="9"/>
            <color rgb="FF000000"/>
            <rFont val="Tahoma"/>
            <family val="2"/>
          </rPr>
          <t>Peak inductor current limit based on the margin and the steady state peak inductor current at V</t>
        </r>
        <r>
          <rPr>
            <vertAlign val="subscript"/>
            <sz val="9"/>
            <color rgb="FF000000"/>
            <rFont val="Tahoma"/>
            <family val="2"/>
          </rPr>
          <t>IN_MIN</t>
        </r>
        <r>
          <rPr>
            <sz val="9"/>
            <color rgb="FF000000"/>
            <rFont val="Tahoma"/>
            <family val="2"/>
          </rPr>
          <t xml:space="preserve"> and maximum output current</t>
        </r>
      </text>
    </comment>
    <comment ref="G30" authorId="0" shapeId="0" xr:uid="{00000000-0006-0000-0000-000010000000}">
      <text>
        <r>
          <rPr>
            <b/>
            <sz val="9"/>
            <color indexed="81"/>
            <rFont val="Tahoma"/>
            <family val="2"/>
          </rPr>
          <t>Current Sense Resistor Calculation</t>
        </r>
        <r>
          <rPr>
            <sz val="9"/>
            <color indexed="81"/>
            <rFont val="Tahoma"/>
            <family val="2"/>
          </rPr>
          <t xml:space="preserve">
Calculated current sense resistor based on the desired maximum peak current limit. 
</t>
        </r>
      </text>
    </comment>
    <comment ref="G31" authorId="0" shapeId="0" xr:uid="{00000000-0006-0000-0000-000011000000}">
      <text>
        <r>
          <rPr>
            <b/>
            <sz val="9"/>
            <color indexed="81"/>
            <rFont val="Tahoma"/>
            <family val="2"/>
          </rPr>
          <t>Calculated External Slope Compensation Resistor</t>
        </r>
        <r>
          <rPr>
            <sz val="9"/>
            <color indexed="81"/>
            <rFont val="Tahoma"/>
            <family val="2"/>
          </rPr>
          <t xml:space="preserve">
Calculated external slope compensation resistor based on the desired maximum peak current limit. 
</t>
        </r>
      </text>
    </comment>
    <comment ref="G35" authorId="0" shapeId="0" xr:uid="{00000000-0006-0000-0000-000013000000}">
      <text>
        <r>
          <rPr>
            <b/>
            <sz val="9"/>
            <color indexed="81"/>
            <rFont val="Tahoma"/>
            <family val="2"/>
          </rPr>
          <t>The saturation current of the inductor must be higher than the peak inductor current limint. 
Recommended Margin is ~15%</t>
        </r>
      </text>
    </comment>
    <comment ref="G38" authorId="1" shapeId="0" xr:uid="{34A1C02D-A92A-4231-935A-D27CE25D0CCD}">
      <text>
        <r>
          <rPr>
            <b/>
            <sz val="9"/>
            <color indexed="81"/>
            <rFont val="Tahoma"/>
            <family val="2"/>
          </rPr>
          <t xml:space="preserve">Peak to Peak Voltage Ripple
</t>
        </r>
        <r>
          <rPr>
            <sz val="9"/>
            <color indexed="81"/>
            <rFont val="Tahoma"/>
            <family val="2"/>
          </rPr>
          <t>Desired output voltage transient for 50% load to 100% load step.</t>
        </r>
      </text>
    </comment>
    <comment ref="G45" authorId="1" shapeId="0" xr:uid="{27BE2E58-6B05-4EB2-ACEC-FABDB0D92520}">
      <text>
        <r>
          <rPr>
            <b/>
            <sz val="9"/>
            <color indexed="81"/>
            <rFont val="Tahoma"/>
            <family val="2"/>
          </rPr>
          <t xml:space="preserve">Suggested min. Softstart Capacitor
</t>
        </r>
        <r>
          <rPr>
            <sz val="9"/>
            <color indexed="81"/>
            <rFont val="Tahoma"/>
            <family val="2"/>
          </rPr>
          <t xml:space="preserve">
The suggested min. Softstart Capacitor is set to avoid overshoot of the output voltage.
It is based on the Load Current and Output Capacitor.
</t>
        </r>
      </text>
    </comment>
    <comment ref="G57" authorId="0" shapeId="0" xr:uid="{00000000-0006-0000-0000-000014000000}">
      <text>
        <r>
          <rPr>
            <b/>
            <sz val="9"/>
            <color indexed="81"/>
            <rFont val="Tahoma"/>
            <family val="2"/>
          </rPr>
          <t xml:space="preserve">Changes the input voltage value. Allow for evaluation of the control loop and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 ref="G62" authorId="1" shapeId="0" xr:uid="{CAA0D2B2-1619-4A36-A8E5-8EF89AE0C27B}">
      <text>
        <r>
          <rPr>
            <b/>
            <sz val="9"/>
            <color indexed="81"/>
            <rFont val="Tahoma"/>
            <family val="2"/>
          </rPr>
          <t>Select Bottomresistor R</t>
        </r>
        <r>
          <rPr>
            <b/>
            <sz val="8"/>
            <color indexed="81"/>
            <rFont val="Tahoma"/>
            <family val="2"/>
          </rPr>
          <t>FBB</t>
        </r>
        <r>
          <rPr>
            <b/>
            <sz val="9"/>
            <color indexed="81"/>
            <rFont val="Tahoma"/>
            <family val="2"/>
          </rPr>
          <t xml:space="preserve">
</t>
        </r>
        <r>
          <rPr>
            <sz val="9"/>
            <color indexed="81"/>
            <rFont val="Tahoma"/>
            <family val="2"/>
          </rPr>
          <t xml:space="preserve">
Select the closes value to the calculated bottom feedback resistor based on the used standard resistor series (e.g. E48).</t>
        </r>
      </text>
    </comment>
    <comment ref="F69" authorId="1" shapeId="0" xr:uid="{CA3EAB78-A137-4F5E-A063-15FB6763AD4F}">
      <text>
        <r>
          <rPr>
            <b/>
            <sz val="9"/>
            <color indexed="81"/>
            <rFont val="Tahoma"/>
            <family val="2"/>
          </rPr>
          <t xml:space="preserve">Calculated Loop Comenstation Values:
</t>
        </r>
        <r>
          <rPr>
            <sz val="9"/>
            <color indexed="81"/>
            <rFont val="Tahoma"/>
            <family val="2"/>
          </rPr>
          <t xml:space="preserve">The calculation of this loop compensation values are based on the selected bandwidth (Fco) and the minimum input Voltage Vin.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21" authorId="0" shapeId="0" xr:uid="{00000000-0006-0000-0100-000001000000}">
      <text>
        <r>
          <rPr>
            <b/>
            <sz val="9"/>
            <color indexed="81"/>
            <rFont val="Tahoma"/>
            <family val="2"/>
          </rPr>
          <t>Forced off time limit? 
[2 True, 1 False]</t>
        </r>
        <r>
          <rPr>
            <sz val="9"/>
            <color indexed="81"/>
            <rFont val="Tahoma"/>
            <family val="2"/>
          </rPr>
          <t xml:space="preserve">
</t>
        </r>
      </text>
    </comment>
    <comment ref="K141" authorId="0" shapeId="0" xr:uid="{00000000-0006-0000-0100-000002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142" authorId="0" shapeId="0" xr:uid="{00000000-0006-0000-0100-000003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<sst xmlns="http://schemas.openxmlformats.org/spreadsheetml/2006/main" count="987" uniqueCount="582">
  <si>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</si>
  <si>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</si>
  <si>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</si>
  <si>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</si>
  <si>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</si>
  <si>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</si>
  <si>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</si>
  <si>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</si>
  <si>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</si>
  <si>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Estimated Efficiency</t>
  </si>
  <si>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</si>
  <si>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</si>
  <si>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</si>
  <si>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</si>
  <si>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</si>
  <si>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</si>
  <si>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</si>
  <si>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</si>
  <si>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</si>
  <si>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</si>
  <si>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</si>
  <si>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</si>
  <si>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</si>
  <si>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</si>
  <si>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</si>
  <si>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</si>
  <si>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</si>
  <si>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</si>
  <si>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</si>
  <si>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</si>
  <si>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</si>
  <si>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</si>
  <si>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</si>
  <si>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</si>
  <si>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</si>
  <si>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</si>
  <si>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</si>
  <si>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</si>
  <si>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</si>
  <si>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</si>
  <si>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Estimated efficiency</t>
  </si>
  <si>
    <t>Total output power</t>
  </si>
  <si>
    <t>Minimum load resistance</t>
  </si>
  <si>
    <t>Dc_max_ideal</t>
  </si>
  <si>
    <t>Maximum duty cycle at the minimum input voltage</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</si>
  <si>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</si>
  <si>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</si>
  <si>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</si>
  <si>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</si>
  <si>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</si>
  <si>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</si>
  <si>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</si>
  <si>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</si>
  <si>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</si>
  <si>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</si>
  <si>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</si>
  <si>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</si>
  <si>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</si>
  <si>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</si>
  <si>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</si>
  <si>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</si>
  <si>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</si>
  <si>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</si>
  <si>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</si>
  <si>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</si>
  <si>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</si>
  <si>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</si>
  <si>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</si>
  <si>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</si>
  <si>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</si>
  <si>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</si>
  <si>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</si>
  <si>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Forced off time limit? [2 True, 1 False]</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</si>
  <si>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</si>
  <si>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</si>
  <si>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</si>
  <si>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</si>
  <si>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</si>
  <si>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</si>
  <si>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</si>
  <si>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</si>
  <si>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</si>
  <si>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</si>
  <si>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</si>
  <si>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</si>
  <si>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Duty cycle at the mimum input voltage (CCM)</t>
  </si>
  <si>
    <t>Duty cycle at the nominal input voltage (CCM)</t>
  </si>
  <si>
    <t>Duty cycle at the maximum input voltage (CCM)</t>
  </si>
  <si>
    <t>ton_min</t>
  </si>
  <si>
    <t>Typical Ton minimum value</t>
  </si>
  <si>
    <t>Lcalc_VIN_min</t>
  </si>
  <si>
    <t>Inductor at Minimum input voltage</t>
  </si>
  <si>
    <t>IL_avg_VIN_min</t>
  </si>
  <si>
    <t>IL_avg_VIN_nom</t>
  </si>
  <si>
    <t>IL_avg_VIN_max</t>
  </si>
  <si>
    <t>Average input current at minimum input voltage. 100% Eff assumed</t>
  </si>
  <si>
    <t>Average input current at nominal input voltage. 100% Eff assumed</t>
  </si>
  <si>
    <t>Average input current at maximum input voltage. 100% Eff assumed</t>
  </si>
  <si>
    <t>H</t>
  </si>
  <si>
    <t>ILrip</t>
  </si>
  <si>
    <t>Lopt</t>
  </si>
  <si>
    <t>Optimal inductor. Based off the average</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</si>
  <si>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</si>
  <si>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</si>
  <si>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</si>
  <si>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</si>
  <si>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</si>
  <si>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Strategy 1</t>
  </si>
  <si>
    <t>Strategy 2</t>
  </si>
  <si>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</si>
  <si>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</si>
  <si>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</si>
  <si>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</si>
  <si>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</si>
  <si>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</si>
  <si>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</si>
  <si>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</si>
  <si>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</si>
  <si>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</si>
  <si>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</si>
  <si>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</si>
  <si>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</si>
  <si>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</si>
  <si>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</si>
  <si>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</si>
  <si>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</si>
  <si>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</si>
  <si>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</si>
  <si>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</si>
  <si>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</si>
  <si>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</si>
  <si>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</si>
  <si>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</si>
  <si>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</si>
  <si>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This value used to make the selection</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</si>
  <si>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</si>
  <si>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</si>
  <si>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</si>
  <si>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</si>
  <si>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</si>
  <si>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</si>
  <si>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</si>
  <si>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</si>
  <si>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</si>
  <si>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</si>
  <si>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Internal slope compensation ramp</t>
  </si>
  <si>
    <t>Rsl_int</t>
  </si>
  <si>
    <t>Internal Slope compensation resistor</t>
  </si>
  <si>
    <t>Rcs_wo_sl</t>
  </si>
  <si>
    <t>Current sense resistor without slope compensation</t>
  </si>
  <si>
    <t>Vcl</t>
  </si>
  <si>
    <t>Current Limit Value. See datsheet for Parameters</t>
  </si>
  <si>
    <t>Flag_ext_sl</t>
  </si>
  <si>
    <t>External Compensation? (0-no, 1-yes)</t>
  </si>
  <si>
    <t>Rcs_w_sl</t>
  </si>
  <si>
    <t>Rcs_ext_sl_ratio</t>
  </si>
  <si>
    <t>External Slope compensation ratio. Constant</t>
  </si>
  <si>
    <t>R_sl_ext</t>
  </si>
  <si>
    <t>R_cs_calc</t>
  </si>
  <si>
    <t>R_sl_calc</t>
  </si>
  <si>
    <t>R_cs</t>
  </si>
  <si>
    <t>R_sl</t>
  </si>
  <si>
    <t>Current Sense Resistor calculated</t>
  </si>
  <si>
    <t>External slope compensation resistor</t>
  </si>
  <si>
    <t>Calculated external slope compensation resistor</t>
  </si>
  <si>
    <t>Calculated current sense resistor with slope compensation included</t>
  </si>
  <si>
    <r>
      <t>Recommended external slope compensation Resistor (R</t>
    </r>
    <r>
      <rPr>
        <vertAlign val="subscript"/>
        <sz val="11"/>
        <color theme="1"/>
        <rFont val="Calibri"/>
        <family val="2"/>
        <scheme val="minor"/>
      </rPr>
      <t>SL</t>
    </r>
    <r>
      <rPr>
        <sz val="11"/>
        <color theme="1"/>
        <rFont val="Calibri"/>
        <family val="2"/>
        <scheme val="minor"/>
      </rPr>
      <t>)</t>
    </r>
  </si>
  <si>
    <t>Selected current sense Resistor</t>
  </si>
  <si>
    <t>Selected external slope compensation</t>
  </si>
  <si>
    <r>
      <t>Selected external slope compensation Resistor (R</t>
    </r>
    <r>
      <rPr>
        <vertAlign val="subscript"/>
        <sz val="11"/>
        <color theme="1"/>
        <rFont val="Calibri"/>
        <family val="2"/>
        <scheme val="minor"/>
      </rPr>
      <t>SL</t>
    </r>
    <r>
      <rPr>
        <sz val="11"/>
        <color theme="1"/>
        <rFont val="Calibri"/>
        <family val="2"/>
        <scheme val="minor"/>
      </rPr>
      <t>)</t>
    </r>
  </si>
  <si>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</si>
  <si>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</si>
  <si>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</si>
  <si>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</si>
  <si>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</si>
  <si>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</si>
  <si>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</si>
  <si>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</si>
  <si>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</si>
  <si>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</si>
  <si>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</si>
  <si>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</si>
  <si>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</si>
  <si>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</si>
  <si>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Will add this later. Can be left off for APL</t>
  </si>
  <si>
    <t>Step 4: Output Capacitor Selection</t>
  </si>
  <si>
    <t>mV</t>
  </si>
  <si>
    <t xml:space="preserve">Minimum output capacitance </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</si>
  <si>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</si>
  <si>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</si>
  <si>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</si>
  <si>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Recommend Minimum Inductor Saturation Current Rating</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</si>
  <si>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</si>
  <si>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</si>
  <si>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</si>
  <si>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</si>
  <si>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</si>
  <si>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t>RMS current of the output capacitor at VIN min IOUT max. RMS current rating should be larger than this.</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</si>
  <si>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</si>
  <si>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</si>
  <si>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</si>
  <si>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</si>
  <si>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</si>
  <si>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</si>
  <si>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</si>
  <si>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</si>
  <si>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</si>
  <si>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</si>
  <si>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</si>
  <si>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</si>
  <si>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</si>
  <si>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External Slope Compensation Resistor</t>
  </si>
  <si>
    <t>Interanl Slope Compesnation Resistor</t>
  </si>
  <si>
    <t>Interanl Slope Compesnation current</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</si>
  <si>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</si>
  <si>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</si>
  <si>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</si>
  <si>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</si>
  <si>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</si>
  <si>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</si>
  <si>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</si>
  <si>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</si>
  <si>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</si>
  <si>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</si>
  <si>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</si>
  <si>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</si>
  <si>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</si>
  <si>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</si>
  <si>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</si>
  <si>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</si>
  <si>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</si>
  <si>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</si>
  <si>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</si>
  <si>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</si>
  <si>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</si>
  <si>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</si>
  <si>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</si>
  <si>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</si>
  <si>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</si>
  <si>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</si>
  <si>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</si>
  <si>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</si>
  <si>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</si>
  <si>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</si>
  <si>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</si>
  <si>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</si>
  <si>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</si>
  <si>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</si>
  <si>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</si>
  <si>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</si>
  <si>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</si>
  <si>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</si>
  <si>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</si>
  <si>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</si>
  <si>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</si>
  <si>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</si>
  <si>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</si>
  <si>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</si>
  <si>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</si>
  <si>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</si>
  <si>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</si>
  <si>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</si>
  <si>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Plant Parameters</t>
  </si>
  <si>
    <t>wz_ea</t>
  </si>
  <si>
    <t>Adc_ea</t>
  </si>
  <si>
    <t>gm_ea</t>
  </si>
  <si>
    <t>Error Amplifier Gain</t>
  </si>
  <si>
    <t>A/V</t>
  </si>
  <si>
    <t>wp0_ea</t>
  </si>
  <si>
    <t>wp1_ea</t>
  </si>
  <si>
    <t>ADC_ea</t>
  </si>
  <si>
    <t xml:space="preserve">Gain </t>
  </si>
  <si>
    <t>Open Loop Response</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</si>
  <si>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</si>
  <si>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</si>
  <si>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</si>
  <si>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</si>
  <si>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</si>
  <si>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</si>
  <si>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</si>
  <si>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</si>
  <si>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</si>
  <si>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</si>
  <si>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</si>
  <si>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</si>
  <si>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</si>
  <si>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</si>
  <si>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</si>
  <si>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</si>
  <si>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</si>
  <si>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</si>
  <si>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</si>
  <si>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</si>
  <si>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Fcross_est</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</si>
  <si>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</si>
  <si>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</si>
  <si>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</si>
  <si>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</si>
  <si>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Conservative. Set Fcross to be 1/5th the RHP zero frequency or 1/10th SW: whichever is lower</t>
  </si>
  <si>
    <t>Select the lower crossover frequency</t>
  </si>
  <si>
    <t>Gplant_fc</t>
  </si>
  <si>
    <t>Gain of the plant at the desired crossover frequency</t>
  </si>
  <si>
    <t>Fcross</t>
  </si>
  <si>
    <t>wz_RHP</t>
  </si>
  <si>
    <t>Gplant_fc_dB</t>
  </si>
  <si>
    <t>Plant gain at crossover frequency (dB)</t>
  </si>
  <si>
    <t>Gea_mid_calc</t>
  </si>
  <si>
    <t>Error Amplifier Mid-band gain to set cross over frequency correctly</t>
  </si>
  <si>
    <t>Rcomp_Calc</t>
  </si>
  <si>
    <t>Calculate on based on the desired Mid-band gain needed to set the crossover frequency</t>
  </si>
  <si>
    <t>fz_ea_est</t>
  </si>
  <si>
    <t>Set the fz_ea 1/10th the cross over frequency (Common approach)</t>
  </si>
  <si>
    <t>Set the fz_ea geometerically inbetween crossover and the wp_lf</t>
  </si>
  <si>
    <t>Fz_ea_1</t>
  </si>
  <si>
    <t>Fz_ea_2</t>
  </si>
  <si>
    <t>CCOMP_calc</t>
  </si>
  <si>
    <t>CHF_Calc</t>
  </si>
  <si>
    <t>fp_ea_est</t>
  </si>
  <si>
    <r>
      <t>Select a top feedback resistor(R</t>
    </r>
    <r>
      <rPr>
        <vertAlign val="subscript"/>
        <sz val="11"/>
        <color theme="1"/>
        <rFont val="Calibri"/>
        <family val="2"/>
        <scheme val="minor"/>
      </rPr>
      <t>FBT</t>
    </r>
    <r>
      <rPr>
        <sz val="11"/>
        <color theme="1"/>
        <rFont val="Calibri"/>
        <family val="2"/>
        <scheme val="minor"/>
      </rPr>
      <t>)</t>
    </r>
  </si>
  <si>
    <t>Step 5: Soft-Start Capacitor Selection</t>
  </si>
  <si>
    <t>Step 6: UVLO Resistor Divider Selection</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</si>
  <si>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</si>
  <si>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</si>
  <si>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</si>
  <si>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</si>
  <si>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</si>
  <si>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</si>
  <si>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</si>
  <si>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</si>
  <si>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</si>
  <si>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</si>
  <si>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</si>
  <si>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</si>
  <si>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</si>
  <si>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</si>
  <si>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</si>
  <si>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</si>
  <si>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</si>
  <si>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</si>
  <si>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</si>
  <si>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</si>
  <si>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</si>
  <si>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</si>
  <si>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</si>
  <si>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</si>
  <si>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</si>
  <si>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</si>
  <si>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</si>
  <si>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</si>
  <si>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</si>
  <si>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</si>
  <si>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</si>
  <si>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</si>
  <si>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</si>
  <si>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</si>
  <si>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</si>
  <si>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</si>
  <si>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</si>
  <si>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</si>
  <si>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</si>
  <si>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</si>
  <si>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</si>
  <si>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</si>
  <si>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</si>
  <si>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</si>
  <si>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</si>
  <si>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</si>
  <si>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</si>
  <si>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</si>
  <si>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</si>
  <si>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</si>
  <si>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</si>
  <si>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</si>
  <si>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</si>
  <si>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</si>
  <si>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</si>
  <si>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</si>
  <si>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</si>
  <si>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</si>
  <si>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</si>
  <si>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</si>
  <si>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</si>
  <si>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</si>
  <si>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</si>
  <si>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</si>
  <si>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</si>
  <si>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</si>
  <si>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</si>
  <si>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</si>
  <si>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</si>
  <si>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</si>
  <si>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</si>
  <si>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</si>
  <si>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</si>
  <si>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</si>
  <si>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</si>
  <si>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</si>
  <si>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</si>
  <si>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</si>
  <si>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MOSFET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</si>
  <si>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</si>
  <si>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</si>
  <si>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</si>
  <si>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</si>
  <si>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</si>
  <si>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</si>
  <si>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</si>
  <si>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</si>
  <si>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</si>
  <si>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</si>
  <si>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</si>
  <si>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</si>
  <si>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</si>
  <si>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</si>
  <si>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</si>
  <si>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</si>
  <si>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</si>
  <si>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</si>
  <si>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</si>
  <si>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</si>
  <si>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</si>
  <si>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</si>
  <si>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</si>
  <si>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</si>
  <si>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</si>
  <si>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</si>
  <si>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</si>
  <si>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</si>
  <si>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</si>
  <si>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</si>
  <si>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</si>
  <si>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</si>
  <si>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</si>
  <si>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</si>
  <si>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</si>
  <si>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</si>
  <si>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</si>
  <si>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</si>
  <si>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</si>
  <si>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</si>
  <si>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</si>
  <si>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</si>
  <si>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</si>
  <si>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</si>
  <si>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</si>
  <si>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</si>
  <si>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Inductor</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</si>
  <si>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</si>
  <si>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</si>
  <si>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</si>
  <si>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</si>
  <si>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Variable output current (Need to add this in</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</si>
  <si>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</si>
  <si>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</si>
  <si>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</si>
  <si>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</si>
  <si>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</si>
  <si>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</si>
  <si>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</si>
  <si>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</si>
  <si>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</si>
  <si>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</si>
  <si>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</si>
  <si>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</si>
  <si>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</si>
  <si>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</si>
  <si>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</si>
  <si>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</si>
  <si>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</si>
  <si>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</si>
  <si>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</si>
  <si>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</si>
  <si>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</si>
  <si>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</si>
  <si>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</si>
  <si>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</si>
  <si>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</si>
  <si>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</si>
  <si>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</si>
  <si>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</si>
  <si>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</si>
  <si>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</si>
  <si>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</si>
  <si>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</si>
  <si>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</si>
  <si>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</si>
  <si>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Boost Converter Duty Cycle Limit by LM5155 at V</t>
    </r>
    <r>
      <rPr>
        <vertAlign val="subscript"/>
        <sz val="10"/>
        <color theme="1"/>
        <rFont val="Calibri"/>
        <family val="2"/>
        <scheme val="minor"/>
      </rPr>
      <t>SUPPLY(MIN)</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</si>
  <si>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</si>
  <si>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</si>
  <si>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</si>
  <si>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</si>
  <si>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</si>
  <si>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r>
      <t>Recommended minimum average current rating (I</t>
    </r>
    <r>
      <rPr>
        <vertAlign val="subscript"/>
        <sz val="11"/>
        <color theme="1"/>
        <rFont val="Calibri"/>
        <family val="2"/>
        <scheme val="minor"/>
      </rPr>
      <t>D_AVG</t>
    </r>
    <r>
      <rPr>
        <sz val="11"/>
        <color theme="1"/>
        <rFont val="Calibri"/>
        <family val="2"/>
        <scheme val="minor"/>
      </rPr>
      <t>)</t>
    </r>
  </si>
  <si>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</si>
  <si>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</si>
  <si>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CCM</t>
  </si>
  <si>
    <t>DCM</t>
  </si>
  <si>
    <t>Dc_DCM_max_ideal</t>
  </si>
  <si>
    <t>Duty cycle at the mimum input voltage (DCM)</t>
  </si>
  <si>
    <t>Duty cycle at the nominal input voltage (DCM)</t>
  </si>
  <si>
    <t>Duty cycle at the maximum input voltage (DCM)</t>
  </si>
  <si>
    <t>Dc_DCM_VIN_min</t>
  </si>
  <si>
    <t>IL_avg_DCM_VIN_min</t>
  </si>
  <si>
    <t>Dc_DCM_VIN_nom</t>
  </si>
  <si>
    <t>IL_avg_DCM_VIN_nom</t>
  </si>
  <si>
    <t>Dc_DCM_VIN_max</t>
  </si>
  <si>
    <t xml:space="preserve">Duty cycle at the mimum input voltage </t>
  </si>
  <si>
    <t>Duty cycle at the nominal input voltage</t>
  </si>
  <si>
    <t>Duty cycle at the maximum input voltage</t>
  </si>
  <si>
    <t>Dc_CCM_max_ideal</t>
  </si>
  <si>
    <t>Dc_CCM_VIN_min</t>
  </si>
  <si>
    <t>IL_avg_CCM_VIN_min</t>
  </si>
  <si>
    <t>Dc_CCM_VIN_nom</t>
  </si>
  <si>
    <t>IL_avg_CCM_VIN_nom</t>
  </si>
  <si>
    <t>Dc_CCM_VIN_max</t>
  </si>
  <si>
    <t>IL_avg_CCM_VIN_max</t>
  </si>
  <si>
    <t>Selected Mode for Calculation</t>
  </si>
  <si>
    <t>Possible Mode due to Load and L Selection</t>
  </si>
  <si>
    <t xml:space="preserve">Ideal Duty Cycle at VSUPPLY(MIN) </t>
  </si>
  <si>
    <t>CCM/DCM selected</t>
  </si>
  <si>
    <t>Rsl_max</t>
  </si>
  <si>
    <t>Maximum Value of Rsl (DS page 21)</t>
  </si>
  <si>
    <t>Operation Mode</t>
  </si>
  <si>
    <t>Version Number</t>
  </si>
  <si>
    <t>1.0.0</t>
  </si>
  <si>
    <t>Version History</t>
  </si>
  <si>
    <t>Version</t>
  </si>
  <si>
    <t>Change List Description</t>
  </si>
  <si>
    <t>Initial Release</t>
  </si>
  <si>
    <r>
      <t>Desired soft-start time at minimum input voltage (T</t>
    </r>
    <r>
      <rPr>
        <vertAlign val="subscript"/>
        <sz val="11"/>
        <color theme="1"/>
        <rFont val="Calibri"/>
        <family val="2"/>
        <scheme val="minor"/>
      </rPr>
      <t>SS</t>
    </r>
    <r>
      <rPr>
        <sz val="11"/>
        <color theme="1"/>
        <rFont val="Calibri"/>
        <family val="2"/>
        <scheme val="minor"/>
      </rPr>
      <t>)</t>
    </r>
  </si>
  <si>
    <r>
      <t>Select a bottom resistor based on calculated value(R</t>
    </r>
    <r>
      <rPr>
        <vertAlign val="subscript"/>
        <sz val="11"/>
        <color theme="1"/>
        <rFont val="Calibri"/>
        <family val="2"/>
        <scheme val="minor"/>
      </rPr>
      <t>FBB</t>
    </r>
    <r>
      <rPr>
        <sz val="11"/>
        <color theme="1"/>
        <rFont val="Calibri"/>
        <family val="2"/>
        <scheme val="minor"/>
      </rPr>
      <t>)</t>
    </r>
  </si>
  <si>
    <t>1.1.0</t>
  </si>
  <si>
    <t>Added DCM mode</t>
  </si>
  <si>
    <t>Sel_Cond_Mode</t>
  </si>
  <si>
    <t>ConductionMode</t>
  </si>
  <si>
    <t>Gain Cross</t>
  </si>
  <si>
    <t>Phase Cross</t>
  </si>
  <si>
    <t>XOVER SEARCH</t>
  </si>
  <si>
    <t>xover</t>
  </si>
  <si>
    <t>phase margin</t>
  </si>
  <si>
    <r>
      <t>Target Output Voltage, V</t>
    </r>
    <r>
      <rPr>
        <vertAlign val="subscript"/>
        <sz val="10"/>
        <color theme="1"/>
        <rFont val="Calibri"/>
        <family val="2"/>
        <scheme val="minor"/>
      </rPr>
      <t>LOAD</t>
    </r>
    <r>
      <rPr>
        <sz val="10"/>
        <color theme="1"/>
        <rFont val="Calibri"/>
        <family val="2"/>
        <scheme val="minor"/>
      </rPr>
      <t xml:space="preserve"> </t>
    </r>
  </si>
  <si>
    <r>
      <t>Desired Output ripple voltage (</t>
    </r>
    <r>
      <rPr>
        <sz val="11"/>
        <color theme="1"/>
        <rFont val="Calibri"/>
        <family val="2"/>
      </rPr>
      <t>Δv</t>
    </r>
    <r>
      <rPr>
        <vertAlign val="subscript"/>
        <sz val="11"/>
        <color theme="1"/>
        <rFont val="Calibri"/>
        <family val="2"/>
      </rPr>
      <t>OUT</t>
    </r>
    <r>
      <rPr>
        <sz val="11"/>
        <color theme="1"/>
        <rFont val="Calibri"/>
        <family val="2"/>
      </rPr>
      <t>)</t>
    </r>
  </si>
  <si>
    <r>
      <rPr>
        <sz val="11"/>
        <color theme="1"/>
        <rFont val="Calibri"/>
        <family val="2"/>
      </rPr>
      <t>μ</t>
    </r>
    <r>
      <rPr>
        <sz val="11"/>
        <color theme="1"/>
        <rFont val="Calibri"/>
        <family val="2"/>
        <scheme val="minor"/>
      </rPr>
      <t>H</t>
    </r>
  </si>
  <si>
    <r>
      <rPr>
        <sz val="11"/>
        <color theme="1"/>
        <rFont val="Calibri"/>
        <family val="2"/>
      </rPr>
      <t>μ</t>
    </r>
    <r>
      <rPr>
        <sz val="11"/>
        <color theme="1"/>
        <rFont val="Calibri"/>
        <family val="2"/>
        <scheme val="minor"/>
      </rPr>
      <t>F</t>
    </r>
  </si>
  <si>
    <t>wp_hf</t>
  </si>
  <si>
    <t>HF pole used for DCM</t>
  </si>
  <si>
    <t>Fn</t>
  </si>
  <si>
    <t>M</t>
  </si>
  <si>
    <t>Hd</t>
  </si>
  <si>
    <t>tauL</t>
  </si>
  <si>
    <t>Suggested maximum bandwidth</t>
  </si>
  <si>
    <r>
      <t>Selected bandwidth (F</t>
    </r>
    <r>
      <rPr>
        <vertAlign val="subscript"/>
        <sz val="11"/>
        <color theme="1"/>
        <rFont val="Calibri"/>
        <family val="2"/>
        <scheme val="minor"/>
      </rPr>
      <t>CO</t>
    </r>
    <r>
      <rPr>
        <sz val="11"/>
        <color theme="1"/>
        <rFont val="Calibri"/>
        <family val="2"/>
        <scheme val="minor"/>
      </rPr>
      <t>)</t>
    </r>
  </si>
  <si>
    <t>Mode</t>
  </si>
  <si>
    <t>Valid Lm</t>
  </si>
  <si>
    <t>L dcm/ccm</t>
  </si>
  <si>
    <t>min</t>
  </si>
  <si>
    <t>max</t>
  </si>
  <si>
    <t>min10%</t>
  </si>
  <si>
    <t>max10%</t>
  </si>
  <si>
    <t>V in min</t>
  </si>
  <si>
    <t>V in nom</t>
  </si>
  <si>
    <t>DC CCM &lt; DCM</t>
  </si>
  <si>
    <t>CCM/DCM</t>
  </si>
  <si>
    <t>Dc_Mode_Loop_Loop</t>
  </si>
  <si>
    <t>Duty Cycle mode for Loop Comenstation</t>
  </si>
  <si>
    <t>CCM only</t>
  </si>
  <si>
    <t>DCM only</t>
  </si>
  <si>
    <t>ModeCheck</t>
  </si>
  <si>
    <t>Lcalc_VIN_max</t>
  </si>
  <si>
    <t>Lcalc_VIN_nom</t>
  </si>
  <si>
    <t>Inductor at Nominal input voltage</t>
  </si>
  <si>
    <t>Inductor at Maximum input voltage</t>
  </si>
  <si>
    <t>V in max</t>
  </si>
  <si>
    <t>Strategy DCM</t>
  </si>
  <si>
    <t>L_DCM</t>
  </si>
  <si>
    <t>1.1.1</t>
  </si>
  <si>
    <t>Fixed reporting of wrong phase Margin</t>
  </si>
  <si>
    <t>Rev 1.1.1</t>
  </si>
  <si>
    <t>August-2021</t>
  </si>
  <si>
    <t>LM5155/56 DC/DC BOOST Controller Design Tool</t>
  </si>
  <si>
    <t>VIN_op_max_56</t>
  </si>
  <si>
    <t>Maximum BIAS pin operating voltage LM5156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</si>
</sst>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00E+00"/>
    <numFmt numFmtId="166" formatCode="0.0000"/>
    <numFmt numFmtId="167" formatCode="0.0000E+00"/>
    <numFmt numFmtId="168" formatCode="0.0"/>
    <numFmt numFmtId="169" formatCode="0.0E+00"/>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rgb="FFFF0000"/>
      <name val="Calibri"/>
      <family val="2"/>
      <scheme val="minor"/>
    </font>
    <font>
      <u/>
      <sz val="11"/>
      <color theme="10"/>
      <name val="Calibri"/>
      <family val="2"/>
      <scheme val="minor"/>
    </font>
    <font>
      <sz val="11"/>
      <color theme="1"/>
      <name val="Arial"/>
      <family val="2"/>
    </font>
    <font>
      <b/>
      <sz val="10"/>
      <color theme="1"/>
      <name val="Arial"/>
      <family val="2"/>
    </font>
    <font>
      <sz val="10"/>
      <color theme="1"/>
      <name val="Arial"/>
      <family val="2"/>
    </font>
    <font>
      <b/>
      <u/>
      <sz val="10"/>
      <color theme="10"/>
      <name val="Arial"/>
      <family val="2"/>
    </font>
    <font>
      <b/>
      <sz val="10"/>
      <color theme="0"/>
      <name val="Arial"/>
      <family val="2"/>
    </font>
    <font>
      <b/>
      <u/>
      <sz val="11"/>
      <color theme="10"/>
      <name val="Arial"/>
      <family val="2"/>
    </font>
    <font>
      <b/>
      <sz val="8"/>
      <color indexed="81"/>
      <name val="Tahoma"/>
      <family val="2"/>
    </font>
    <font>
      <b/>
      <sz val="9"/>
      <color indexed="52"/>
      <name val="Tahoma"/>
      <family val="2"/>
    </font>
    <font>
      <b/>
      <sz val="9"/>
      <color rgb="FF000000"/>
      <name val="Tahoma"/>
      <family val="2"/>
    </font>
    <font>
      <sz val="9"/>
      <color rgb="FF000000"/>
      <name val="Tahoma"/>
      <family val="2"/>
    </font>
    <font>
      <vertAlign val="subscript"/>
      <sz val="9"/>
      <color rgb="FF000000"/>
      <name val="Tahoma"/>
      <family val="2"/>
    </font>
    <font>
      <sz val="11"/>
      <color rgb="FFFF0000"/>
      <name val="Calibri"/>
      <family val="2"/>
    </font>
  </fonts>
  <fills count="20">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
      <patternFill patternType="solid">
        <fgColor rgb="FFDE0000"/>
        <bgColor indexed="64"/>
      </patternFill>
    </fill>
    <fill>
      <patternFill patternType="solid">
        <fgColor indexed="44"/>
        <bgColor indexed="64"/>
      </patternFill>
    </fill>
  </fills>
  <borders count="29">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xf numFmtId="0" fontId="34" fillId="0" borderId="0" applyNumberFormat="0" applyFill="0" applyBorder="0" applyAlignment="0" applyProtection="0"/>
  </cellStyleXfs>
  <cellXfs count="251">
    <xf numFmtId="0" fontId="0" fillId="0" borderId="0" xfId="0"/>
    <xf numFmtId="0" fontId="0" fillId="9" borderId="0" xfId="0" applyFill="1"/>
    <xf numFmtId="0" fontId="16"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5" fontId="0" fillId="9" borderId="0" xfId="0" applyNumberFormat="1" applyFill="1"/>
    <xf numFmtId="0" fontId="5" fillId="0" borderId="0" xfId="3" applyFont="1" applyAlignment="1">
      <alignment horizontal="right"/>
    </xf>
    <xf numFmtId="0" fontId="4" fillId="0" borderId="0" xfId="3" applyAlignment="1">
      <alignment horizontal="center"/>
    </xf>
    <xf numFmtId="164" fontId="0" fillId="9" borderId="0" xfId="0" applyNumberFormat="1" applyFill="1"/>
    <xf numFmtId="2" fontId="0" fillId="9" borderId="0" xfId="0" applyNumberFormat="1" applyFill="1"/>
    <xf numFmtId="1" fontId="0" fillId="9" borderId="0" xfId="0" applyNumberFormat="1" applyFill="1"/>
    <xf numFmtId="0" fontId="15" fillId="0" borderId="0" xfId="0" applyFont="1"/>
    <xf numFmtId="164" fontId="0" fillId="0" borderId="0" xfId="0" applyNumberFormat="1"/>
    <xf numFmtId="11" fontId="14" fillId="10" borderId="0" xfId="0" applyNumberFormat="1" applyFont="1" applyFill="1"/>
    <xf numFmtId="0" fontId="17" fillId="0" borderId="0" xfId="0" applyFont="1"/>
    <xf numFmtId="2" fontId="0" fillId="0" borderId="0" xfId="0" applyNumberFormat="1"/>
    <xf numFmtId="167" fontId="0" fillId="9" borderId="0" xfId="0" applyNumberFormat="1" applyFill="1"/>
    <xf numFmtId="11" fontId="0" fillId="9" borderId="0" xfId="0" applyNumberFormat="1" applyFill="1"/>
    <xf numFmtId="0" fontId="5" fillId="0" borderId="0" xfId="3" applyFont="1" applyAlignment="1">
      <alignment horizontal="left"/>
    </xf>
    <xf numFmtId="166" fontId="0" fillId="9" borderId="0" xfId="0" applyNumberFormat="1" applyFill="1"/>
    <xf numFmtId="0" fontId="14" fillId="10" borderId="0" xfId="0" applyFont="1" applyFill="1"/>
    <xf numFmtId="0" fontId="19" fillId="0" borderId="0" xfId="0" applyFont="1"/>
    <xf numFmtId="0" fontId="21" fillId="0" borderId="0" xfId="0" applyFont="1"/>
    <xf numFmtId="0" fontId="0" fillId="12" borderId="0" xfId="0" applyFill="1"/>
    <xf numFmtId="1" fontId="0" fillId="0" borderId="0" xfId="0" applyNumberFormat="1"/>
    <xf numFmtId="0" fontId="22" fillId="0" borderId="0" xfId="0" applyFont="1"/>
    <xf numFmtId="0" fontId="23" fillId="0" borderId="0" xfId="0" applyFont="1"/>
    <xf numFmtId="168" fontId="0" fillId="0" borderId="0" xfId="0" applyNumberFormat="1"/>
    <xf numFmtId="169" fontId="0" fillId="0" borderId="0" xfId="0" applyNumberFormat="1"/>
    <xf numFmtId="0" fontId="0" fillId="0" borderId="13" xfId="0" applyBorder="1"/>
    <xf numFmtId="0" fontId="0" fillId="14"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4" borderId="13" xfId="0" applyFill="1" applyBorder="1"/>
    <xf numFmtId="0" fontId="0" fillId="0" borderId="19" xfId="0" applyBorder="1"/>
    <xf numFmtId="0" fontId="0" fillId="14"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4"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4" fillId="8" borderId="0" xfId="0" applyFont="1" applyFill="1" applyProtection="1">
      <protection hidden="1"/>
    </xf>
    <xf numFmtId="0" fontId="0" fillId="15"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4"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15"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2"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2" fillId="16" borderId="0" xfId="3" applyFont="1" applyFill="1" applyAlignment="1" applyProtection="1">
      <alignment horizontal="right"/>
      <protection hidden="1"/>
    </xf>
    <xf numFmtId="0" fontId="0" fillId="16" borderId="6" xfId="0" applyFill="1" applyBorder="1" applyProtection="1">
      <protection hidden="1"/>
    </xf>
    <xf numFmtId="0" fontId="12" fillId="16" borderId="5" xfId="0" applyFont="1" applyFill="1" applyBorder="1" applyProtection="1">
      <protection hidden="1"/>
    </xf>
    <xf numFmtId="0" fontId="12" fillId="16" borderId="0" xfId="0" applyFont="1" applyFill="1" applyProtection="1">
      <protection hidden="1"/>
    </xf>
    <xf numFmtId="0" fontId="12" fillId="16" borderId="0" xfId="0" applyFont="1" applyFill="1" applyAlignment="1" applyProtection="1">
      <alignment horizontal="right"/>
      <protection hidden="1"/>
    </xf>
    <xf numFmtId="0" fontId="12" fillId="16" borderId="7" xfId="0" applyFont="1" applyFill="1" applyBorder="1" applyProtection="1">
      <protection hidden="1"/>
    </xf>
    <xf numFmtId="0" fontId="12" fillId="16" borderId="8" xfId="0" applyFont="1" applyFill="1" applyBorder="1" applyProtection="1">
      <protection hidden="1"/>
    </xf>
    <xf numFmtId="0" fontId="0" fillId="16" borderId="8" xfId="0" applyFill="1" applyBorder="1" applyProtection="1">
      <protection hidden="1"/>
    </xf>
    <xf numFmtId="0" fontId="12" fillId="16" borderId="8" xfId="0" applyFont="1" applyFill="1" applyBorder="1" applyAlignment="1" applyProtection="1">
      <alignment horizontal="right"/>
      <protection hidden="1"/>
    </xf>
    <xf numFmtId="0" fontId="0" fillId="16" borderId="9" xfId="0" applyFill="1" applyBorder="1" applyProtection="1">
      <protection hidden="1"/>
    </xf>
    <xf numFmtId="0" fontId="12" fillId="16" borderId="2" xfId="0" applyFont="1" applyFill="1" applyBorder="1" applyProtection="1">
      <protection hidden="1"/>
    </xf>
    <xf numFmtId="0" fontId="12" fillId="16" borderId="3" xfId="0" applyFont="1" applyFill="1" applyBorder="1" applyProtection="1">
      <protection hidden="1"/>
    </xf>
    <xf numFmtId="0" fontId="0" fillId="16" borderId="7" xfId="0" applyFill="1" applyBorder="1" applyProtection="1">
      <protection hidden="1"/>
    </xf>
    <xf numFmtId="0" fontId="12" fillId="16" borderId="8" xfId="3" applyFont="1" applyFill="1" applyBorder="1" applyAlignment="1" applyProtection="1">
      <alignment horizontal="right"/>
      <protection hidden="1"/>
    </xf>
    <xf numFmtId="0" fontId="16" fillId="16" borderId="6" xfId="0" applyFont="1" applyFill="1" applyBorder="1" applyProtection="1">
      <protection hidden="1"/>
    </xf>
    <xf numFmtId="0" fontId="0" fillId="16" borderId="8" xfId="0" applyFill="1" applyBorder="1" applyAlignment="1" applyProtection="1">
      <alignment horizontal="right"/>
      <protection hidden="1"/>
    </xf>
    <xf numFmtId="0" fontId="16" fillId="16" borderId="9" xfId="0" applyFont="1" applyFill="1" applyBorder="1" applyProtection="1">
      <protection hidden="1"/>
    </xf>
    <xf numFmtId="0" fontId="0" fillId="16" borderId="3" xfId="0" applyFill="1" applyBorder="1" applyAlignment="1" applyProtection="1">
      <alignment horizontal="right"/>
      <protection hidden="1"/>
    </xf>
    <xf numFmtId="0" fontId="15" fillId="16" borderId="2" xfId="0" applyFont="1" applyFill="1" applyBorder="1" applyProtection="1">
      <protection hidden="1"/>
    </xf>
    <xf numFmtId="0" fontId="14" fillId="16" borderId="3" xfId="0" applyFont="1" applyFill="1" applyBorder="1" applyAlignment="1" applyProtection="1">
      <alignment horizontal="right"/>
      <protection hidden="1"/>
    </xf>
    <xf numFmtId="0" fontId="15" fillId="16" borderId="5" xfId="0" applyFont="1" applyFill="1" applyBorder="1" applyProtection="1">
      <protection hidden="1"/>
    </xf>
    <xf numFmtId="0" fontId="22" fillId="16" borderId="0" xfId="0" applyFont="1" applyFill="1" applyAlignment="1" applyProtection="1">
      <alignment horizontal="right"/>
      <protection hidden="1"/>
    </xf>
    <xf numFmtId="0" fontId="0" fillId="0" borderId="0" xfId="0" applyProtection="1">
      <protection hidden="1"/>
    </xf>
    <xf numFmtId="0" fontId="0" fillId="16" borderId="0" xfId="0" applyFill="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27"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30" fillId="16" borderId="0" xfId="0" applyFont="1" applyFill="1" applyAlignment="1" applyProtection="1">
      <alignment horizontal="left"/>
      <protection hidden="1"/>
    </xf>
    <xf numFmtId="0" fontId="4" fillId="16" borderId="3" xfId="3" applyFill="1" applyBorder="1" applyAlignment="1" applyProtection="1">
      <alignment horizontal="right"/>
      <protection hidden="1"/>
    </xf>
    <xf numFmtId="0" fontId="4" fillId="16" borderId="4" xfId="3" applyFill="1" applyBorder="1" applyProtection="1">
      <protection hidden="1"/>
    </xf>
    <xf numFmtId="0" fontId="4" fillId="16" borderId="0" xfId="3" applyFill="1" applyAlignment="1" applyProtection="1">
      <alignment horizontal="right"/>
      <protection hidden="1"/>
    </xf>
    <xf numFmtId="0" fontId="4" fillId="16" borderId="6" xfId="3" applyFill="1" applyBorder="1" applyProtection="1">
      <protection hidden="1"/>
    </xf>
    <xf numFmtId="0" fontId="4" fillId="16" borderId="8" xfId="3" applyFill="1" applyBorder="1" applyAlignment="1" applyProtection="1">
      <alignment horizontal="right"/>
      <protection hidden="1"/>
    </xf>
    <xf numFmtId="0" fontId="4" fillId="16" borderId="9" xfId="3" applyFill="1" applyBorder="1" applyProtection="1">
      <protection hidden="1"/>
    </xf>
    <xf numFmtId="0" fontId="0" fillId="15" borderId="0" xfId="0" applyFill="1" applyAlignment="1" applyProtection="1">
      <alignment horizontal="right"/>
      <protection hidden="1"/>
    </xf>
    <xf numFmtId="0" fontId="14" fillId="15" borderId="0" xfId="0" applyFont="1" applyFill="1" applyProtection="1">
      <protection hidden="1"/>
    </xf>
    <xf numFmtId="0" fontId="33"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164" fontId="0" fillId="0" borderId="25" xfId="0" applyNumberFormat="1" applyBorder="1" applyProtection="1">
      <protection hidden="1"/>
    </xf>
    <xf numFmtId="2" fontId="0" fillId="0" borderId="26" xfId="0" applyNumberFormat="1" applyBorder="1" applyProtection="1">
      <protection hidden="1"/>
    </xf>
    <xf numFmtId="1" fontId="0" fillId="16" borderId="25" xfId="0" applyNumberFormat="1" applyFill="1" applyBorder="1" applyProtection="1">
      <protection hidden="1"/>
    </xf>
    <xf numFmtId="2" fontId="0" fillId="16"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6"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48" fontId="0" fillId="0" borderId="0" xfId="0" applyNumberFormat="1"/>
    <xf numFmtId="0" fontId="0" fillId="7" borderId="26" xfId="0" applyFill="1" applyBorder="1" applyAlignment="1" applyProtection="1">
      <alignment horizontal="right"/>
      <protection locked="0" hidden="1"/>
    </xf>
    <xf numFmtId="0" fontId="3" fillId="3" borderId="0" xfId="3" applyFont="1" applyFill="1" applyAlignment="1">
      <alignment horizontal="right"/>
    </xf>
    <xf numFmtId="2" fontId="0" fillId="9" borderId="0" xfId="0" applyNumberFormat="1" applyFill="1" applyAlignment="1">
      <alignment horizontal="right"/>
    </xf>
    <xf numFmtId="168" fontId="0" fillId="16" borderId="10" xfId="0" applyNumberFormat="1" applyFill="1" applyBorder="1" applyProtection="1">
      <protection hidden="1"/>
    </xf>
    <xf numFmtId="1" fontId="0" fillId="16" borderId="26" xfId="0" applyNumberFormat="1" applyFill="1" applyBorder="1" applyProtection="1">
      <protection hidden="1"/>
    </xf>
    <xf numFmtId="4" fontId="0" fillId="16" borderId="25" xfId="0" applyNumberFormat="1" applyFill="1" applyBorder="1" applyProtection="1">
      <protection hidden="1"/>
    </xf>
    <xf numFmtId="0" fontId="35" fillId="0" borderId="0" xfId="0" applyFont="1"/>
    <xf numFmtId="0" fontId="36" fillId="0" borderId="0" xfId="0" applyFont="1" applyAlignment="1">
      <alignment horizontal="center"/>
    </xf>
    <xf numFmtId="0" fontId="36" fillId="0" borderId="0" xfId="0" applyFont="1" applyAlignment="1">
      <alignment horizontal="left"/>
    </xf>
    <xf numFmtId="0" fontId="37" fillId="0" borderId="0" xfId="0" applyFont="1"/>
    <xf numFmtId="0" fontId="38" fillId="0" borderId="0" xfId="8" applyFont="1" applyFill="1" applyBorder="1" applyAlignment="1">
      <alignment vertical="center"/>
    </xf>
    <xf numFmtId="0" fontId="38" fillId="0" borderId="0" xfId="8" applyFont="1" applyFill="1" applyBorder="1" applyAlignment="1">
      <alignment horizontal="right" vertical="center"/>
    </xf>
    <xf numFmtId="0" fontId="35" fillId="0" borderId="0" xfId="0" applyFont="1" applyAlignment="1">
      <alignment horizontal="center"/>
    </xf>
    <xf numFmtId="0" fontId="35" fillId="0" borderId="0" xfId="0" applyFont="1" applyAlignment="1">
      <alignment horizontal="left"/>
    </xf>
    <xf numFmtId="0" fontId="37" fillId="0" borderId="0" xfId="0" applyFont="1" applyAlignment="1">
      <alignment horizontal="center"/>
    </xf>
    <xf numFmtId="0" fontId="3" fillId="0" borderId="0" xfId="0" applyFont="1"/>
    <xf numFmtId="0" fontId="39" fillId="17" borderId="0" xfId="0" applyFont="1" applyFill="1" applyAlignment="1">
      <alignment horizontal="center"/>
    </xf>
    <xf numFmtId="0" fontId="40" fillId="0" borderId="0" xfId="8" applyFont="1" applyFill="1" applyBorder="1" applyAlignment="1">
      <alignment vertical="center"/>
    </xf>
    <xf numFmtId="49" fontId="37" fillId="0" borderId="0" xfId="0" applyNumberFormat="1" applyFont="1" applyAlignment="1">
      <alignment horizontal="center"/>
    </xf>
    <xf numFmtId="49" fontId="36" fillId="0" borderId="0" xfId="0" applyNumberFormat="1" applyFont="1" applyAlignment="1">
      <alignment horizontal="left"/>
    </xf>
    <xf numFmtId="0" fontId="5" fillId="0" borderId="0" xfId="3" applyFont="1" applyAlignment="1" applyProtection="1">
      <alignment horizontal="center"/>
      <protection hidden="1"/>
    </xf>
    <xf numFmtId="0" fontId="5" fillId="3" borderId="0" xfId="3" applyFont="1" applyFill="1" applyAlignment="1" applyProtection="1">
      <alignment horizontal="center"/>
      <protection hidden="1"/>
    </xf>
    <xf numFmtId="0" fontId="4" fillId="0" borderId="0" xfId="3" applyProtection="1">
      <protection hidden="1"/>
    </xf>
    <xf numFmtId="0" fontId="5" fillId="4" borderId="0" xfId="3" applyFont="1" applyFill="1" applyAlignment="1" applyProtection="1">
      <alignment horizontal="center"/>
      <protection hidden="1"/>
    </xf>
    <xf numFmtId="0" fontId="5" fillId="0" borderId="0" xfId="3" applyFont="1" applyAlignment="1" applyProtection="1">
      <alignment horizontal="right"/>
      <protection hidden="1"/>
    </xf>
    <xf numFmtId="0" fontId="4" fillId="0" borderId="0" xfId="3" applyAlignment="1" applyProtection="1">
      <alignment horizontal="center"/>
      <protection hidden="1"/>
    </xf>
    <xf numFmtId="0" fontId="5" fillId="0" borderId="0" xfId="3" applyFont="1" applyAlignment="1" applyProtection="1">
      <alignment horizontal="left"/>
      <protection hidden="1"/>
    </xf>
    <xf numFmtId="0" fontId="5" fillId="5" borderId="0" xfId="3" applyFont="1" applyFill="1" applyAlignment="1" applyProtection="1">
      <alignment horizontal="center"/>
      <protection hidden="1"/>
    </xf>
    <xf numFmtId="0" fontId="0" fillId="0" borderId="10" xfId="0" applyBorder="1" applyProtection="1">
      <protection hidden="1"/>
    </xf>
    <xf numFmtId="0" fontId="0" fillId="0" borderId="12" xfId="0" applyBorder="1" applyProtection="1">
      <protection hidden="1"/>
    </xf>
    <xf numFmtId="0" fontId="0" fillId="0" borderId="5" xfId="0" applyBorder="1" applyProtection="1">
      <protection hidden="1"/>
    </xf>
    <xf numFmtId="0" fontId="0" fillId="0" borderId="6" xfId="0" applyBorder="1" applyProtection="1">
      <protection hidden="1"/>
    </xf>
    <xf numFmtId="0" fontId="5" fillId="0" borderId="0" xfId="3" applyFont="1" applyProtection="1">
      <protection hidden="1"/>
    </xf>
    <xf numFmtId="0" fontId="4" fillId="0" borderId="5" xfId="3" applyBorder="1" applyProtection="1">
      <protection hidden="1"/>
    </xf>
    <xf numFmtId="0" fontId="4" fillId="0" borderId="6" xfId="3" applyBorder="1" applyProtection="1">
      <protection hidden="1"/>
    </xf>
    <xf numFmtId="164" fontId="4" fillId="0" borderId="11" xfId="3" applyNumberFormat="1" applyBorder="1" applyProtection="1">
      <protection hidden="1"/>
    </xf>
    <xf numFmtId="0" fontId="4" fillId="0" borderId="11" xfId="3" applyBorder="1" applyProtection="1">
      <protection hidden="1"/>
    </xf>
    <xf numFmtId="0" fontId="0" fillId="0" borderId="11" xfId="0" applyBorder="1" applyProtection="1">
      <protection hidden="1"/>
    </xf>
    <xf numFmtId="0" fontId="4" fillId="0" borderId="10" xfId="3" applyBorder="1" applyProtection="1">
      <protection hidden="1"/>
    </xf>
    <xf numFmtId="164" fontId="0" fillId="0" borderId="11" xfId="0" applyNumberFormat="1" applyBorder="1" applyProtection="1">
      <protection hidden="1"/>
    </xf>
    <xf numFmtId="0" fontId="26" fillId="0" borderId="0" xfId="3" applyFont="1" applyProtection="1">
      <protection hidden="1"/>
    </xf>
    <xf numFmtId="0" fontId="0" fillId="0" borderId="2" xfId="0" applyBorder="1" applyProtection="1">
      <protection hidden="1"/>
    </xf>
    <xf numFmtId="1" fontId="0" fillId="0" borderId="4" xfId="0" applyNumberFormat="1" applyBorder="1" applyProtection="1">
      <protection hidden="1"/>
    </xf>
    <xf numFmtId="164" fontId="4" fillId="0" borderId="3" xfId="3" applyNumberFormat="1" applyBorder="1" applyProtection="1">
      <protection hidden="1"/>
    </xf>
    <xf numFmtId="0" fontId="4" fillId="0" borderId="3" xfId="3" applyBorder="1" applyProtection="1">
      <protection hidden="1"/>
    </xf>
    <xf numFmtId="0" fontId="0" fillId="0" borderId="3" xfId="0" applyBorder="1" applyProtection="1">
      <protection hidden="1"/>
    </xf>
    <xf numFmtId="0" fontId="4" fillId="0" borderId="2" xfId="3" applyBorder="1" applyProtection="1">
      <protection hidden="1"/>
    </xf>
    <xf numFmtId="164" fontId="0" fillId="0" borderId="3" xfId="0" applyNumberFormat="1" applyBorder="1" applyProtection="1">
      <protection hidden="1"/>
    </xf>
    <xf numFmtId="0" fontId="0" fillId="0" borderId="4" xfId="0" applyBorder="1" applyProtection="1">
      <protection hidden="1"/>
    </xf>
    <xf numFmtId="0" fontId="0" fillId="10" borderId="0" xfId="0" applyFill="1" applyProtection="1">
      <protection hidden="1"/>
    </xf>
    <xf numFmtId="1" fontId="0" fillId="0" borderId="6" xfId="0" applyNumberFormat="1" applyBorder="1" applyProtection="1">
      <protection hidden="1"/>
    </xf>
    <xf numFmtId="164" fontId="4" fillId="0" borderId="0" xfId="3" applyNumberFormat="1" applyProtection="1">
      <protection hidden="1"/>
    </xf>
    <xf numFmtId="164" fontId="0" fillId="0" borderId="0" xfId="0" applyNumberFormat="1" applyProtection="1">
      <protection hidden="1"/>
    </xf>
    <xf numFmtId="0" fontId="0" fillId="0" borderId="7" xfId="0" applyBorder="1" applyProtection="1">
      <protection hidden="1"/>
    </xf>
    <xf numFmtId="1" fontId="0" fillId="0" borderId="9" xfId="0" applyNumberFormat="1" applyBorder="1" applyProtection="1">
      <protection hidden="1"/>
    </xf>
    <xf numFmtId="164" fontId="4" fillId="0" borderId="8" xfId="3" applyNumberFormat="1" applyBorder="1" applyProtection="1">
      <protection hidden="1"/>
    </xf>
    <xf numFmtId="0" fontId="4" fillId="0" borderId="8" xfId="3" applyBorder="1" applyProtection="1">
      <protection hidden="1"/>
    </xf>
    <xf numFmtId="0" fontId="0" fillId="0" borderId="8" xfId="0" applyBorder="1" applyProtection="1">
      <protection hidden="1"/>
    </xf>
    <xf numFmtId="0" fontId="4" fillId="0" borderId="7" xfId="3" applyBorder="1" applyProtection="1">
      <protection hidden="1"/>
    </xf>
    <xf numFmtId="164" fontId="0" fillId="0" borderId="8" xfId="0" applyNumberFormat="1" applyBorder="1" applyProtection="1">
      <protection hidden="1"/>
    </xf>
    <xf numFmtId="0" fontId="0" fillId="0" borderId="9" xfId="0" applyBorder="1" applyProtection="1">
      <protection hidden="1"/>
    </xf>
    <xf numFmtId="2" fontId="0" fillId="0" borderId="0" xfId="0" applyNumberFormat="1" applyProtection="1">
      <protection hidden="1"/>
    </xf>
    <xf numFmtId="0" fontId="25" fillId="0" borderId="0" xfId="0" applyFont="1" applyProtection="1">
      <protection hidden="1"/>
    </xf>
    <xf numFmtId="2" fontId="0" fillId="0" borderId="10" xfId="0" applyNumberFormat="1" applyBorder="1" applyProtection="1">
      <protection hidden="1"/>
    </xf>
    <xf numFmtId="2" fontId="0" fillId="0" borderId="5" xfId="0" applyNumberFormat="1" applyBorder="1" applyProtection="1">
      <protection hidden="1"/>
    </xf>
    <xf numFmtId="2" fontId="0" fillId="0" borderId="7" xfId="0" applyNumberFormat="1" applyBorder="1" applyProtection="1">
      <protection hidden="1"/>
    </xf>
    <xf numFmtId="0" fontId="4" fillId="0" borderId="9" xfId="3" applyBorder="1" applyProtection="1">
      <protection hidden="1"/>
    </xf>
    <xf numFmtId="0" fontId="0" fillId="12" borderId="0" xfId="0" applyFill="1" applyProtection="1">
      <protection hidden="1"/>
    </xf>
    <xf numFmtId="0" fontId="16" fillId="0" borderId="0" xfId="0" applyFont="1" applyProtection="1">
      <protection hidden="1"/>
    </xf>
    <xf numFmtId="0" fontId="0" fillId="11" borderId="0" xfId="0" applyFill="1" applyProtection="1">
      <protection hidden="1"/>
    </xf>
    <xf numFmtId="164" fontId="0" fillId="9" borderId="0" xfId="0" applyNumberFormat="1" applyFill="1" applyProtection="1">
      <protection hidden="1"/>
    </xf>
    <xf numFmtId="1" fontId="0" fillId="9" borderId="0" xfId="0" applyNumberFormat="1" applyFill="1" applyProtection="1">
      <protection hidden="1"/>
    </xf>
    <xf numFmtId="2" fontId="0" fillId="9" borderId="0" xfId="0" applyNumberFormat="1" applyFill="1" applyProtection="1">
      <protection hidden="1"/>
    </xf>
    <xf numFmtId="0" fontId="0" fillId="9" borderId="0" xfId="0" applyFill="1" applyProtection="1">
      <protection hidden="1"/>
    </xf>
    <xf numFmtId="0" fontId="24" fillId="0" borderId="0" xfId="0" applyFont="1" applyProtection="1">
      <protection hidden="1"/>
    </xf>
    <xf numFmtId="0" fontId="0" fillId="19" borderId="0" xfId="0" applyFill="1"/>
    <xf numFmtId="0" fontId="0" fillId="0" borderId="5" xfId="0" applyBorder="1"/>
    <xf numFmtId="0" fontId="5" fillId="0" borderId="0" xfId="0" applyFont="1"/>
    <xf numFmtId="2" fontId="3" fillId="0" borderId="0" xfId="0" quotePrefix="1" applyNumberFormat="1" applyFont="1"/>
    <xf numFmtId="0" fontId="0" fillId="0" borderId="0" xfId="0" applyAlignment="1">
      <alignment horizontal="left"/>
    </xf>
    <xf numFmtId="0" fontId="5" fillId="0" borderId="0" xfId="0" applyFont="1" applyAlignment="1">
      <alignment horizontal="left"/>
    </xf>
    <xf numFmtId="164" fontId="0" fillId="0" borderId="26" xfId="0" applyNumberFormat="1" applyBorder="1" applyAlignment="1" applyProtection="1">
      <alignment horizontal="right"/>
      <protection hidden="1"/>
    </xf>
    <xf numFmtId="168" fontId="0" fillId="16" borderId="25" xfId="0" applyNumberFormat="1" applyFill="1" applyBorder="1" applyProtection="1">
      <protection hidden="1"/>
    </xf>
    <xf numFmtId="0" fontId="0" fillId="0" borderId="27" xfId="0" applyBorder="1"/>
    <xf numFmtId="0" fontId="0" fillId="0" borderId="28" xfId="0" applyBorder="1"/>
    <xf numFmtId="0" fontId="0" fillId="0" borderId="24" xfId="0" applyBorder="1"/>
    <xf numFmtId="0" fontId="4" fillId="0" borderId="25" xfId="3" applyBorder="1"/>
    <xf numFmtId="2" fontId="4" fillId="0" borderId="25" xfId="3" applyNumberFormat="1" applyBorder="1" applyAlignment="1">
      <alignment horizontal="center"/>
    </xf>
    <xf numFmtId="0" fontId="37" fillId="0" borderId="0" xfId="0" applyFont="1" applyAlignment="1">
      <alignment wrapText="1"/>
    </xf>
    <xf numFmtId="48" fontId="0" fillId="9" borderId="0" xfId="0" applyNumberFormat="1" applyFill="1"/>
    <xf numFmtId="0" fontId="34" fillId="8" borderId="0" xfId="8" applyFill="1" applyBorder="1" applyAlignment="1" applyProtection="1">
      <alignment horizontal="center"/>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6" fillId="2" borderId="0" xfId="3" applyFont="1" applyFill="1" applyAlignment="1" applyProtection="1">
      <alignment horizontal="center"/>
      <protection hidden="1"/>
    </xf>
    <xf numFmtId="0" fontId="5" fillId="0" borderId="0" xfId="3" applyFont="1" applyAlignment="1" applyProtection="1">
      <alignment horizontal="center"/>
      <protection hidden="1"/>
    </xf>
    <xf numFmtId="0" fontId="4" fillId="0" borderId="0" xfId="3" applyAlignment="1" applyProtection="1">
      <alignment horizontal="center"/>
      <protection hidden="1"/>
    </xf>
    <xf numFmtId="0" fontId="0" fillId="0" borderId="0" xfId="0" applyAlignment="1" applyProtection="1">
      <alignment horizontal="center"/>
      <protection hidden="1"/>
    </xf>
    <xf numFmtId="0" fontId="22" fillId="0" borderId="11" xfId="0" applyFont="1" applyBorder="1" applyAlignment="1" applyProtection="1">
      <alignment horizontal="center"/>
      <protection hidden="1"/>
    </xf>
    <xf numFmtId="0" fontId="22" fillId="0" borderId="12" xfId="0" applyFont="1" applyBorder="1" applyAlignment="1" applyProtection="1">
      <alignment horizontal="center"/>
      <protection hidden="1"/>
    </xf>
    <xf numFmtId="0" fontId="22" fillId="0" borderId="10" xfId="0" applyFont="1" applyBorder="1" applyAlignment="1" applyProtection="1">
      <alignment horizontal="center"/>
      <protection hidden="1"/>
    </xf>
    <xf numFmtId="0" fontId="0" fillId="0" borderId="5" xfId="0" applyBorder="1" applyAlignment="1" applyProtection="1">
      <alignment horizontal="center"/>
      <protection hidden="1"/>
    </xf>
    <xf numFmtId="0" fontId="0" fillId="0" borderId="6" xfId="0" applyBorder="1" applyAlignment="1" applyProtection="1">
      <alignment horizontal="center"/>
      <protection hidden="1"/>
    </xf>
    <xf numFmtId="0" fontId="35" fillId="0" borderId="0" xfId="0" applyFont="1" applyAlignment="1">
      <alignment horizontal="center"/>
    </xf>
    <xf numFmtId="0" fontId="35" fillId="18" borderId="0" xfId="0" applyFont="1" applyFill="1" applyAlignment="1">
      <alignment horizontal="center"/>
    </xf>
    <xf numFmtId="0" fontId="39" fillId="17" borderId="0" xfId="0" applyFont="1" applyFill="1" applyAlignment="1">
      <alignment horizontal="left"/>
    </xf>
    <xf numFmtId="0" fontId="37" fillId="0" borderId="0" xfId="0" applyFont="1" applyAlignment="1">
      <alignment horizontal="left"/>
    </xf>
    <xf numFmtId="0" fontId="37" fillId="0" borderId="0" xfId="0" applyFont="1" applyAlignment="1">
      <alignment wrapText="1"/>
    </xf>
  </cellXfs>
  <cellStyles count="9">
    <cellStyle name="Comma 2" xfId="5" xr:uid="{00000000-0005-0000-0000-000000000000}"/>
    <cellStyle name="Comma 3" xfId="2" xr:uid="{00000000-0005-0000-0000-000001000000}"/>
    <cellStyle name="Hyperlink" xfId="8" builtinId="8"/>
    <cellStyle name="Normal" xfId="0" builtinId="0"/>
    <cellStyle name="Normal 2" xfId="3" xr:uid="{00000000-0005-0000-0000-000003000000}"/>
    <cellStyle name="Normal 3" xfId="4" xr:uid="{00000000-0005-0000-0000-000004000000}"/>
    <cellStyle name="Normal 4" xfId="1" xr:uid="{00000000-0005-0000-0000-000005000000}"/>
    <cellStyle name="Normal 4 2" xfId="7" xr:uid="{00000000-0005-0000-0000-000006000000}"/>
    <cellStyle name="Normal 4 3" xfId="6" xr:uid="{00000000-0005-0000-0000-000007000000}"/>
  </cellStyles>
  <dxfs count="11">
    <dxf>
      <font>
        <color rgb="FFC00000"/>
      </font>
      <fill>
        <patternFill>
          <bgColor theme="5" tint="0.59996337778862885"/>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ont>
        <color auto="1"/>
      </font>
      <fill>
        <patternFill>
          <bgColor rgb="FFFFC000"/>
        </patternFill>
      </fill>
    </dxf>
    <dxf>
      <fill>
        <patternFill>
          <bgColor rgb="FFFF0000"/>
        </patternFill>
      </fill>
    </dxf>
    <dxf>
      <fill>
        <patternFill>
          <bgColor rgb="FFFF0000"/>
        </patternFill>
      </fill>
    </dxf>
  </dxfs>
  <tableStyles count="0" defaultTableStyle="TableStyleMedium2" defaultPivotStyle="PivotStyleLight16"/>
  <colors>
    <mruColors>
      <color rgb="FF9C0006"/>
      <color rgb="FFFFC7CE"/>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Loop_Modeling!$AT$19:$AT$560</c:f>
              <c:numCache>
                <c:formatCode>0.000</c:formatCode>
                <c:ptCount val="542"/>
                <c:pt idx="0">
                  <c:v>51.900019381843364</c:v>
                </c:pt>
                <c:pt idx="1">
                  <c:v>51.700018787141701</c:v>
                </c:pt>
                <c:pt idx="2">
                  <c:v>51.500018164427956</c:v>
                </c:pt>
                <c:pt idx="3">
                  <c:v>51.30001751238342</c:v>
                </c:pt>
                <c:pt idx="4">
                  <c:v>51.100016829627386</c:v>
                </c:pt>
                <c:pt idx="5">
                  <c:v>50.900016114714212</c:v>
                </c:pt>
                <c:pt idx="6">
                  <c:v>50.700015366130387</c:v>
                </c:pt>
                <c:pt idx="7">
                  <c:v>50.500014582291143</c:v>
                </c:pt>
                <c:pt idx="8">
                  <c:v>50.300013761537301</c:v>
                </c:pt>
                <c:pt idx="9">
                  <c:v>50.100012902131759</c:v>
                </c:pt>
                <c:pt idx="10">
                  <c:v>49.900012002255643</c:v>
                </c:pt>
                <c:pt idx="11">
                  <c:v>49.700011060004698</c:v>
                </c:pt>
                <c:pt idx="12">
                  <c:v>49.500010073385319</c:v>
                </c:pt>
                <c:pt idx="13">
                  <c:v>49.300009040310186</c:v>
                </c:pt>
                <c:pt idx="14">
                  <c:v>49.100007958593928</c:v>
                </c:pt>
                <c:pt idx="15">
                  <c:v>48.900006825948672</c:v>
                </c:pt>
                <c:pt idx="16">
                  <c:v>48.700005639979047</c:v>
                </c:pt>
                <c:pt idx="17">
                  <c:v>48.500004398177353</c:v>
                </c:pt>
                <c:pt idx="18">
                  <c:v>48.300003097918136</c:v>
                </c:pt>
                <c:pt idx="19">
                  <c:v>48.100001736452818</c:v>
                </c:pt>
                <c:pt idx="20">
                  <c:v>47.900000310903948</c:v>
                </c:pt>
                <c:pt idx="21">
                  <c:v>47.69999881825904</c:v>
                </c:pt>
                <c:pt idx="22">
                  <c:v>47.499997255364491</c:v>
                </c:pt>
                <c:pt idx="23">
                  <c:v>47.299995618918878</c:v>
                </c:pt>
                <c:pt idx="24">
                  <c:v>47.099993905465915</c:v>
                </c:pt>
                <c:pt idx="25">
                  <c:v>46.899992111387611</c:v>
                </c:pt>
                <c:pt idx="26">
                  <c:v>46.699990232896553</c:v>
                </c:pt>
                <c:pt idx="27">
                  <c:v>46.499988266027785</c:v>
                </c:pt>
                <c:pt idx="28">
                  <c:v>46.299986206631026</c:v>
                </c:pt>
                <c:pt idx="29">
                  <c:v>46.099984050361648</c:v>
                </c:pt>
                <c:pt idx="30">
                  <c:v>45.899981792671937</c:v>
                </c:pt>
                <c:pt idx="31">
                  <c:v>45.699979428801505</c:v>
                </c:pt>
                <c:pt idx="32">
                  <c:v>45.49997695376743</c:v>
                </c:pt>
                <c:pt idx="33">
                  <c:v>45.299974362354185</c:v>
                </c:pt>
                <c:pt idx="34">
                  <c:v>45.099971649102415</c:v>
                </c:pt>
                <c:pt idx="35">
                  <c:v>44.899968808298205</c:v>
                </c:pt>
                <c:pt idx="36">
                  <c:v>44.699965833960761</c:v>
                </c:pt>
                <c:pt idx="37">
                  <c:v>44.499962719830755</c:v>
                </c:pt>
                <c:pt idx="38">
                  <c:v>44.299959459356671</c:v>
                </c:pt>
                <c:pt idx="39">
                  <c:v>44.099956045682134</c:v>
                </c:pt>
                <c:pt idx="40">
                  <c:v>43.899952471631281</c:v>
                </c:pt>
                <c:pt idx="41">
                  <c:v>43.699948729694569</c:v>
                </c:pt>
                <c:pt idx="42">
                  <c:v>43.499944812012991</c:v>
                </c:pt>
                <c:pt idx="43">
                  <c:v>43.299940710362421</c:v>
                </c:pt>
                <c:pt idx="44">
                  <c:v>43.099936416136714</c:v>
                </c:pt>
                <c:pt idx="45">
                  <c:v>42.899931920330133</c:v>
                </c:pt>
                <c:pt idx="46">
                  <c:v>42.699927213519558</c:v>
                </c:pt>
                <c:pt idx="47">
                  <c:v>42.499922285844889</c:v>
                </c:pt>
                <c:pt idx="48">
                  <c:v>42.299917126989477</c:v>
                </c:pt>
                <c:pt idx="49">
                  <c:v>42.09991172615964</c:v>
                </c:pt>
                <c:pt idx="50">
                  <c:v>41.89990607206218</c:v>
                </c:pt>
                <c:pt idx="51">
                  <c:v>41.699900152882762</c:v>
                </c:pt>
                <c:pt idx="52">
                  <c:v>41.499893956261687</c:v>
                </c:pt>
                <c:pt idx="53">
                  <c:v>41.299887469269613</c:v>
                </c:pt>
                <c:pt idx="54">
                  <c:v>41.099880678381894</c:v>
                </c:pt>
                <c:pt idx="55">
                  <c:v>40.899873569451763</c:v>
                </c:pt>
                <c:pt idx="56">
                  <c:v>40.699866127682618</c:v>
                </c:pt>
                <c:pt idx="57">
                  <c:v>40.499858337598774</c:v>
                </c:pt>
                <c:pt idx="58">
                  <c:v>40.299850183015536</c:v>
                </c:pt>
                <c:pt idx="59">
                  <c:v>40.099841647007388</c:v>
                </c:pt>
                <c:pt idx="60">
                  <c:v>39.899832711875348</c:v>
                </c:pt>
                <c:pt idx="61">
                  <c:v>39.69982335911287</c:v>
                </c:pt>
                <c:pt idx="62">
                  <c:v>39.49981356937014</c:v>
                </c:pt>
                <c:pt idx="63">
                  <c:v>39.299803322417212</c:v>
                </c:pt>
                <c:pt idx="64">
                  <c:v>39.099792597105598</c:v>
                </c:pt>
                <c:pt idx="65">
                  <c:v>38.899781371327904</c:v>
                </c:pt>
                <c:pt idx="66">
                  <c:v>38.69976962197687</c:v>
                </c:pt>
                <c:pt idx="67">
                  <c:v>38.499757324901765</c:v>
                </c:pt>
                <c:pt idx="68">
                  <c:v>38.29974445486355</c:v>
                </c:pt>
                <c:pt idx="69">
                  <c:v>38.099730985488399</c:v>
                </c:pt>
                <c:pt idx="70">
                  <c:v>37.899716889219434</c:v>
                </c:pt>
                <c:pt idx="71">
                  <c:v>37.699702137266598</c:v>
                </c:pt>
                <c:pt idx="72">
                  <c:v>37.499686699554744</c:v>
                </c:pt>
                <c:pt idx="73">
                  <c:v>37.299670544669638</c:v>
                </c:pt>
                <c:pt idx="74">
                  <c:v>37.099653639802376</c:v>
                </c:pt>
                <c:pt idx="75">
                  <c:v>36.899635950691831</c:v>
                </c:pt>
                <c:pt idx="76">
                  <c:v>36.699617441564953</c:v>
                </c:pt>
                <c:pt idx="77">
                  <c:v>36.499598075074935</c:v>
                </c:pt>
                <c:pt idx="78">
                  <c:v>36.299577812237743</c:v>
                </c:pt>
                <c:pt idx="79">
                  <c:v>36.099556612366754</c:v>
                </c:pt>
                <c:pt idx="80">
                  <c:v>35.899534433004376</c:v>
                </c:pt>
                <c:pt idx="81">
                  <c:v>35.699511229852838</c:v>
                </c:pt>
                <c:pt idx="82">
                  <c:v>35.499486956702334</c:v>
                </c:pt>
                <c:pt idx="83">
                  <c:v>35.299461565357007</c:v>
                </c:pt>
                <c:pt idx="84">
                  <c:v>35.099435005559172</c:v>
                </c:pt>
                <c:pt idx="85">
                  <c:v>34.899407224911819</c:v>
                </c:pt>
                <c:pt idx="86">
                  <c:v>34.699378168798866</c:v>
                </c:pt>
                <c:pt idx="87">
                  <c:v>34.499347780303353</c:v>
                </c:pt>
                <c:pt idx="88">
                  <c:v>34.299316000124577</c:v>
                </c:pt>
                <c:pt idx="89">
                  <c:v>34.099282766492713</c:v>
                </c:pt>
                <c:pt idx="90">
                  <c:v>33.899248015082868</c:v>
                </c:pt>
                <c:pt idx="91">
                  <c:v>33.699211678926538</c:v>
                </c:pt>
                <c:pt idx="92">
                  <c:v>33.499173688322784</c:v>
                </c:pt>
                <c:pt idx="93">
                  <c:v>33.299133970747938</c:v>
                </c:pt>
                <c:pt idx="94">
                  <c:v>33.099092450764147</c:v>
                </c:pt>
                <c:pt idx="95">
                  <c:v>32.899049049927875</c:v>
                </c:pt>
                <c:pt idx="96">
                  <c:v>32.699003686697402</c:v>
                </c:pt>
                <c:pt idx="97">
                  <c:v>32.498956276341097</c:v>
                </c:pt>
                <c:pt idx="98">
                  <c:v>32.298906730844578</c:v>
                </c:pt>
                <c:pt idx="99">
                  <c:v>32.09885495882034</c:v>
                </c:pt>
                <c:pt idx="100">
                  <c:v>31.898800865416668</c:v>
                </c:pt>
                <c:pt idx="101">
                  <c:v>31.698744352229461</c:v>
                </c:pt>
                <c:pt idx="102">
                  <c:v>31.498685317215298</c:v>
                </c:pt>
                <c:pt idx="103">
                  <c:v>31.29862365460745</c:v>
                </c:pt>
                <c:pt idx="104">
                  <c:v>31.098559254835081</c:v>
                </c:pt>
                <c:pt idx="105">
                  <c:v>30.898492004446489</c:v>
                </c:pt>
                <c:pt idx="106">
                  <c:v>30.698421786036892</c:v>
                </c:pt>
                <c:pt idx="107">
                  <c:v>30.498348478181683</c:v>
                </c:pt>
                <c:pt idx="108">
                  <c:v>30.298271955376435</c:v>
                </c:pt>
                <c:pt idx="109">
                  <c:v>30.098192087983669</c:v>
                </c:pt>
                <c:pt idx="110">
                  <c:v>29.898108742188402</c:v>
                </c:pt>
                <c:pt idx="111">
                  <c:v>29.698021779963124</c:v>
                </c:pt>
                <c:pt idx="112">
                  <c:v>29.497931059043317</c:v>
                </c:pt>
                <c:pt idx="113">
                  <c:v>29.29783643291487</c:v>
                </c:pt>
                <c:pt idx="114">
                  <c:v>29.09773775081494</c:v>
                </c:pt>
                <c:pt idx="115">
                  <c:v>28.897634857747228</c:v>
                </c:pt>
                <c:pt idx="116">
                  <c:v>28.697527594513911</c:v>
                </c:pt>
                <c:pt idx="117">
                  <c:v>28.497415797765022</c:v>
                </c:pt>
                <c:pt idx="118">
                  <c:v>28.297299300067166</c:v>
                </c:pt>
                <c:pt idx="119">
                  <c:v>28.097177929994096</c:v>
                </c:pt>
                <c:pt idx="120">
                  <c:v>27.897051512239777</c:v>
                </c:pt>
                <c:pt idx="121">
                  <c:v>27.696919867756534</c:v>
                </c:pt>
                <c:pt idx="122">
                  <c:v>27.496782813920319</c:v>
                </c:pt>
                <c:pt idx="123">
                  <c:v>27.296640164724515</c:v>
                </c:pt>
                <c:pt idx="124">
                  <c:v>27.096491731004868</c:v>
                </c:pt>
                <c:pt idx="125">
                  <c:v>26.896337320697285</c:v>
                </c:pt>
                <c:pt idx="126">
                  <c:v>26.696176739130408</c:v>
                </c:pt>
                <c:pt idx="127">
                  <c:v>26.496009789355949</c:v>
                </c:pt>
                <c:pt idx="128">
                  <c:v>26.295836272517054</c:v>
                </c:pt>
                <c:pt idx="129">
                  <c:v>26.09565598825823</c:v>
                </c:pt>
                <c:pt idx="130">
                  <c:v>25.895468735178152</c:v>
                </c:pt>
                <c:pt idx="131">
                  <c:v>25.695274311326266</c:v>
                </c:pt>
                <c:pt idx="132">
                  <c:v>25.495072514746454</c:v>
                </c:pt>
                <c:pt idx="133">
                  <c:v>25.294863144067424</c:v>
                </c:pt>
                <c:pt idx="134">
                  <c:v>25.094645999141576</c:v>
                </c:pt>
                <c:pt idx="135">
                  <c:v>24.894420881734082</c:v>
                </c:pt>
                <c:pt idx="136">
                  <c:v>24.694187596260619</c:v>
                </c:pt>
                <c:pt idx="137">
                  <c:v>24.493945950576489</c:v>
                </c:pt>
                <c:pt idx="138">
                  <c:v>24.29369575681449</c:v>
                </c:pt>
                <c:pt idx="139">
                  <c:v>24.093436832272296</c:v>
                </c:pt>
                <c:pt idx="140">
                  <c:v>23.893169000347289</c:v>
                </c:pt>
                <c:pt idx="141">
                  <c:v>23.692892091517521</c:v>
                </c:pt>
                <c:pt idx="142">
                  <c:v>23.492605944365849</c:v>
                </c:pt>
                <c:pt idx="143">
                  <c:v>23.292310406643843</c:v>
                </c:pt>
                <c:pt idx="144">
                  <c:v>23.092005336372701</c:v>
                </c:pt>
                <c:pt idx="145">
                  <c:v>22.891690602974769</c:v>
                </c:pt>
                <c:pt idx="146">
                  <c:v>22.691366088432048</c:v>
                </c:pt>
                <c:pt idx="147">
                  <c:v>22.491031688463497</c:v>
                </c:pt>
                <c:pt idx="148">
                  <c:v>22.290687313715701</c:v>
                </c:pt>
                <c:pt idx="149">
                  <c:v>22.090332890958187</c:v>
                </c:pt>
                <c:pt idx="150">
                  <c:v>21.889968364273635</c:v>
                </c:pt>
                <c:pt idx="151">
                  <c:v>21.689593696235555</c:v>
                </c:pt>
                <c:pt idx="152">
                  <c:v>21.489208869061187</c:v>
                </c:pt>
                <c:pt idx="153">
                  <c:v>21.288813885728995</c:v>
                </c:pt>
                <c:pt idx="154">
                  <c:v>21.088408771050204</c:v>
                </c:pt>
                <c:pt idx="155">
                  <c:v>20.887993572679967</c:v>
                </c:pt>
                <c:pt idx="156">
                  <c:v>20.687568362057878</c:v>
                </c:pt>
                <c:pt idx="157">
                  <c:v>20.487133235263709</c:v>
                </c:pt>
                <c:pt idx="158">
                  <c:v>20.286688313774931</c:v>
                </c:pt>
                <c:pt idx="159">
                  <c:v>20.086233745114413</c:v>
                </c:pt>
                <c:pt idx="160">
                  <c:v>19.885769703374855</c:v>
                </c:pt>
                <c:pt idx="161">
                  <c:v>19.685296389607139</c:v>
                </c:pt>
                <c:pt idx="162">
                  <c:v>19.484814032062538</c:v>
                </c:pt>
                <c:pt idx="163">
                  <c:v>19.284322886276644</c:v>
                </c:pt>
                <c:pt idx="164">
                  <c:v>19.083823234986141</c:v>
                </c:pt>
                <c:pt idx="165">
                  <c:v>18.883315387870212</c:v>
                </c:pt>
                <c:pt idx="166">
                  <c:v>18.682799681109682</c:v>
                </c:pt>
                <c:pt idx="167">
                  <c:v>18.482276476758713</c:v>
                </c:pt>
                <c:pt idx="168">
                  <c:v>18.281746161926669</c:v>
                </c:pt>
                <c:pt idx="169">
                  <c:v>18.081209147768163</c:v>
                </c:pt>
                <c:pt idx="170">
                  <c:v>17.880665868283568</c:v>
                </c:pt>
                <c:pt idx="171">
                  <c:v>17.680116778932508</c:v>
                </c:pt>
                <c:pt idx="172">
                  <c:v>17.479562355066715</c:v>
                </c:pt>
                <c:pt idx="173">
                  <c:v>17.279003090190091</c:v>
                </c:pt>
                <c:pt idx="174">
                  <c:v>17.078439494056845</c:v>
                </c:pt>
                <c:pt idx="175">
                  <c:v>16.877872090619409</c:v>
                </c:pt>
                <c:pt idx="176">
                  <c:v>16.677301415841999</c:v>
                </c:pt>
                <c:pt idx="177">
                  <c:v>16.476728015395913</c:v>
                </c:pt>
                <c:pt idx="178">
                  <c:v>16.276152442254762</c:v>
                </c:pt>
                <c:pt idx="179">
                  <c:v>16.075575254209898</c:v>
                </c:pt>
                <c:pt idx="180">
                  <c:v>15.874997011326483</c:v>
                </c:pt>
                <c:pt idx="181">
                  <c:v>15.674418273362644</c:v>
                </c:pt>
                <c:pt idx="182">
                  <c:v>15.473839597173511</c:v>
                </c:pt>
                <c:pt idx="183">
                  <c:v>15.273261534122618</c:v>
                </c:pt>
                <c:pt idx="184">
                  <c:v>15.072684627523669</c:v>
                </c:pt>
                <c:pt idx="185">
                  <c:v>14.87210941013381</c:v>
                </c:pt>
                <c:pt idx="186">
                  <c:v>14.671536401719514</c:v>
                </c:pt>
                <c:pt idx="187">
                  <c:v>14.470966106714499</c:v>
                </c:pt>
                <c:pt idx="188">
                  <c:v>14.270399011989364</c:v>
                </c:pt>
                <c:pt idx="189">
                  <c:v>14.069835584747361</c:v>
                </c:pt>
                <c:pt idx="190">
                  <c:v>13.869276270563685</c:v>
                </c:pt>
                <c:pt idx="191">
                  <c:v>13.668721491577433</c:v>
                </c:pt>
                <c:pt idx="192">
                  <c:v>13.468171644850234</c:v>
                </c:pt>
                <c:pt idx="193">
                  <c:v>13.267627100896961</c:v>
                </c:pt>
                <c:pt idx="194">
                  <c:v>13.067088202395489</c:v>
                </c:pt>
                <c:pt idx="195">
                  <c:v>12.866555263077844</c:v>
                </c:pt>
                <c:pt idx="196">
                  <c:v>12.666028566805096</c:v>
                </c:pt>
                <c:pt idx="197">
                  <c:v>12.465508366823668</c:v>
                </c:pt>
                <c:pt idx="198">
                  <c:v>12.264994885200142</c:v>
                </c:pt>
                <c:pt idx="199">
                  <c:v>12.064488312430186</c:v>
                </c:pt>
                <c:pt idx="200">
                  <c:v>11.863988807212376</c:v>
                </c:pt>
                <c:pt idx="201">
                  <c:v>11.663496496382013</c:v>
                </c:pt>
                <c:pt idx="202">
                  <c:v>11.463011474991088</c:v>
                </c:pt>
                <c:pt idx="203">
                  <c:v>11.262533806526536</c:v>
                </c:pt>
                <c:pt idx="204">
                  <c:v>11.062063523253233</c:v>
                </c:pt>
                <c:pt idx="205">
                  <c:v>10.861600626669503</c:v>
                </c:pt>
                <c:pt idx="206">
                  <c:v>10.66114508806227</c:v>
                </c:pt>
                <c:pt idx="207">
                  <c:v>10.460696849148297</c:v>
                </c:pt>
                <c:pt idx="208">
                  <c:v>10.260255822788229</c:v>
                </c:pt>
                <c:pt idx="209">
                  <c:v>10.059821893759899</c:v>
                </c:pt>
                <c:pt idx="210">
                  <c:v>9.8593949195775537</c:v>
                </c:pt>
                <c:pt idx="211">
                  <c:v>9.6589747313454524</c:v>
                </c:pt>
                <c:pt idx="212">
                  <c:v>9.4585611346315659</c:v>
                </c:pt>
                <c:pt idx="213">
                  <c:v>9.2581539103520534</c:v>
                </c:pt>
                <c:pt idx="214">
                  <c:v>9.0577528156532132</c:v>
                </c:pt>
                <c:pt idx="215">
                  <c:v>8.8573575847824131</c:v>
                </c:pt>
                <c:pt idx="216">
                  <c:v>8.656967929938201</c:v>
                </c:pt>
                <c:pt idx="217">
                  <c:v>8.4565835420899234</c:v>
                </c:pt>
                <c:pt idx="218">
                  <c:v>8.2562040917597166</c:v>
                </c:pt>
                <c:pt idx="219">
                  <c:v>8.0558292297598335</c:v>
                </c:pt>
                <c:pt idx="220">
                  <c:v>7.8554585878793795</c:v>
                </c:pt>
                <c:pt idx="221">
                  <c:v>7.6550917795134126</c:v>
                </c:pt>
                <c:pt idx="222">
                  <c:v>7.4547284002309109</c:v>
                </c:pt>
                <c:pt idx="223">
                  <c:v>7.2543680282776144</c:v>
                </c:pt>
                <c:pt idx="224">
                  <c:v>7.0540102250087235</c:v>
                </c:pt>
                <c:pt idx="225">
                  <c:v>6.8536545352507741</c:v>
                </c:pt>
                <c:pt idx="226">
                  <c:v>6.6533004875879964</c:v>
                </c:pt>
                <c:pt idx="227">
                  <c:v>6.4529475945725521</c:v>
                </c:pt>
                <c:pt idx="228">
                  <c:v>6.2525953528577274</c:v>
                </c:pt>
                <c:pt idx="229">
                  <c:v>6.0522432432512208</c:v>
                </c:pt>
                <c:pt idx="230">
                  <c:v>5.8518907306893784</c:v>
                </c:pt>
                <c:pt idx="231">
                  <c:v>5.6515372641309858</c:v>
                </c:pt>
                <c:pt idx="232">
                  <c:v>5.4511822763707753</c:v>
                </c:pt>
                <c:pt idx="233">
                  <c:v>5.2508251837718936</c:v>
                </c:pt>
                <c:pt idx="234">
                  <c:v>5.0504653859185282</c:v>
                </c:pt>
                <c:pt idx="235">
                  <c:v>4.8501022651877062</c:v>
                </c:pt>
                <c:pt idx="236">
                  <c:v>4.6497351862403731</c:v>
                </c:pt>
                <c:pt idx="237">
                  <c:v>4.449363495433194</c:v>
                </c:pt>
                <c:pt idx="238">
                  <c:v>4.2489865201499493</c:v>
                </c:pt>
                <c:pt idx="239">
                  <c:v>4.0486035680533607</c:v>
                </c:pt>
                <c:pt idx="240">
                  <c:v>3.8482139262564448</c:v>
                </c:pt>
                <c:pt idx="241">
                  <c:v>3.6478168604158459</c:v>
                </c:pt>
                <c:pt idx="242">
                  <c:v>3.4474116137430419</c:v>
                </c:pt>
                <c:pt idx="243">
                  <c:v>3.2469974059374977</c:v>
                </c:pt>
                <c:pt idx="244">
                  <c:v>3.0465734320379361</c:v>
                </c:pt>
                <c:pt idx="245">
                  <c:v>2.8461388611929062</c:v>
                </c:pt>
                <c:pt idx="246">
                  <c:v>2.645692835350272</c:v>
                </c:pt>
                <c:pt idx="247">
                  <c:v>2.4452344678628584</c:v>
                </c:pt>
                <c:pt idx="248">
                  <c:v>2.2447628420117107</c:v>
                </c:pt>
                <c:pt idx="249">
                  <c:v>2.0442770094428773</c:v>
                </c:pt>
                <c:pt idx="250">
                  <c:v>1.843775988519585</c:v>
                </c:pt>
                <c:pt idx="251">
                  <c:v>1.6432587625843067</c:v>
                </c:pt>
                <c:pt idx="252">
                  <c:v>1.4427242781334695</c:v>
                </c:pt>
                <c:pt idx="253">
                  <c:v>1.2421714428976913</c:v>
                </c:pt>
                <c:pt idx="254">
                  <c:v>1.0415991238289761</c:v>
                </c:pt>
                <c:pt idx="255">
                  <c:v>0.84100614499208315</c:v>
                </c:pt>
                <c:pt idx="256">
                  <c:v>0.64039128535491674</c:v>
                </c:pt>
                <c:pt idx="257">
                  <c:v>0.43975327647791795</c:v>
                </c:pt>
                <c:pt idx="258">
                  <c:v>0.23909080009779607</c:v>
                </c:pt>
                <c:pt idx="259">
                  <c:v>3.840248560277186E-2</c:v>
                </c:pt>
                <c:pt idx="260">
                  <c:v>-0.16231309260450119</c:v>
                </c:pt>
                <c:pt idx="261">
                  <c:v>-0.36305741785916418</c:v>
                </c:pt>
                <c:pt idx="262">
                  <c:v>-0.56383203410654315</c:v>
                </c:pt>
                <c:pt idx="263">
                  <c:v>-0.76463854889787175</c:v>
                </c:pt>
                <c:pt idx="264">
                  <c:v>-0.96547863651444099</c:v>
                </c:pt>
                <c:pt idx="265">
                  <c:v>-1.1663540412234983</c:v>
                </c:pt>
                <c:pt idx="266">
                  <c:v>-1.3672665806719984</c:v>
                </c:pt>
                <c:pt idx="267">
                  <c:v>-1.5682181494218426</c:v>
                </c:pt>
                <c:pt idx="268">
                  <c:v>-1.7692107226321885</c:v>
                </c:pt>
                <c:pt idx="269">
                  <c:v>-1.9702463598940587</c:v>
                </c:pt>
                <c:pt idx="270">
                  <c:v>-2.1713272092217908</c:v>
                </c:pt>
                <c:pt idx="271">
                  <c:v>-2.3724555112084826</c:v>
                </c:pt>
                <c:pt idx="272">
                  <c:v>-2.5736336033489278</c:v>
                </c:pt>
                <c:pt idx="273">
                  <c:v>-2.7748639245376645</c:v>
                </c:pt>
                <c:pt idx="274">
                  <c:v>-2.9761490197466838</c:v>
                </c:pt>
                <c:pt idx="275">
                  <c:v>-3.1774915448898011</c:v>
                </c:pt>
                <c:pt idx="276">
                  <c:v>-3.3788942718790276</c:v>
                </c:pt>
                <c:pt idx="277">
                  <c:v>-3.5803600938790279</c:v>
                </c:pt>
                <c:pt idx="278">
                  <c:v>-3.7818920307666808</c:v>
                </c:pt>
                <c:pt idx="279">
                  <c:v>-3.9834932348014402</c:v>
                </c:pt>
                <c:pt idx="280">
                  <c:v>-4.1851669965118869</c:v>
                </c:pt>
                <c:pt idx="281">
                  <c:v>-4.3869167508063418</c:v>
                </c:pt>
                <c:pt idx="282">
                  <c:v>-4.5887460833121514</c:v>
                </c:pt>
                <c:pt idx="283">
                  <c:v>-4.7906587369506051</c:v>
                </c:pt>
                <c:pt idx="284">
                  <c:v>-4.9926586187531043</c:v>
                </c:pt>
                <c:pt idx="285">
                  <c:v>-5.1947498069232312</c:v>
                </c:pt>
                <c:pt idx="286">
                  <c:v>-5.3969365581530067</c:v>
                </c:pt>
                <c:pt idx="287">
                  <c:v>-5.5992233151951885</c:v>
                </c:pt>
                <c:pt idx="288">
                  <c:v>-5.8016147146984061</c:v>
                </c:pt>
                <c:pt idx="289">
                  <c:v>-6.0041155953090151</c:v>
                </c:pt>
                <c:pt idx="290">
                  <c:v>-6.2067310060448522</c:v>
                </c:pt>
                <c:pt idx="291">
                  <c:v>-6.4094662149416406</c:v>
                </c:pt>
                <c:pt idx="292">
                  <c:v>-6.61232671797781</c:v>
                </c:pt>
                <c:pt idx="293">
                  <c:v>-6.8153182482775767</c:v>
                </c:pt>
                <c:pt idx="294">
                  <c:v>-7.01844678559541</c:v>
                </c:pt>
                <c:pt idx="295">
                  <c:v>-7.2217185660797423</c:v>
                </c:pt>
                <c:pt idx="296">
                  <c:v>-7.4251400923185695</c:v>
                </c:pt>
                <c:pt idx="297">
                  <c:v>-7.6287181436610449</c:v>
                </c:pt>
                <c:pt idx="298">
                  <c:v>-7.8324597868154688</c:v>
                </c:pt>
                <c:pt idx="299">
                  <c:v>-8.0363723867164101</c:v>
                </c:pt>
                <c:pt idx="300">
                  <c:v>-8.2404636176560704</c:v>
                </c:pt>
                <c:pt idx="301">
                  <c:v>-8.444741474670618</c:v>
                </c:pt>
                <c:pt idx="302">
                  <c:v>-8.6492142851730023</c:v>
                </c:pt>
                <c:pt idx="303">
                  <c:v>-8.8538907208183435</c:v>
                </c:pt>
                <c:pt idx="304">
                  <c:v>-9.0587798095877918</c:v>
                </c:pt>
                <c:pt idx="305">
                  <c:v>-9.2638909480742466</c:v>
                </c:pt>
                <c:pt idx="306">
                  <c:v>-9.4692339139493562</c:v>
                </c:pt>
                <c:pt idx="307">
                  <c:v>-9.674818878588038</c:v>
                </c:pt>
                <c:pt idx="308">
                  <c:v>-9.8806564198260727</c:v>
                </c:pt>
                <c:pt idx="309">
                  <c:v>-10.086757534818441</c:v>
                </c:pt>
                <c:pt idx="310">
                  <c:v>-10.293133652966231</c:v>
                </c:pt>
                <c:pt idx="311">
                  <c:v>-10.499796648873351</c:v>
                </c:pt>
                <c:pt idx="312">
                  <c:v>-10.706758855291273</c:v>
                </c:pt>
                <c:pt idx="313">
                  <c:v>-10.914033076004195</c:v>
                </c:pt>
                <c:pt idx="314">
                  <c:v>-11.121632598603021</c:v>
                </c:pt>
                <c:pt idx="315">
                  <c:v>-11.329571207089932</c:v>
                </c:pt>
                <c:pt idx="316">
                  <c:v>-11.537863194252306</c:v>
                </c:pt>
                <c:pt idx="317">
                  <c:v>-11.746523373734819</c:v>
                </c:pt>
                <c:pt idx="318">
                  <c:v>-11.955567091737041</c:v>
                </c:pt>
                <c:pt idx="319">
                  <c:v>-12.165010238252517</c:v>
                </c:pt>
                <c:pt idx="320">
                  <c:v>-12.374869257764264</c:v>
                </c:pt>
                <c:pt idx="321">
                  <c:v>-12.585161159298398</c:v>
                </c:pt>
                <c:pt idx="322">
                  <c:v>-12.795903525736417</c:v>
                </c:pt>
                <c:pt idx="323">
                  <c:v>-13.007114522274424</c:v>
                </c:pt>
                <c:pt idx="324">
                  <c:v>-13.218812903914923</c:v>
                </c:pt>
                <c:pt idx="325">
                  <c:v>-13.431018021864944</c:v>
                </c:pt>
                <c:pt idx="326">
                  <c:v>-13.643749828710167</c:v>
                </c:pt>
                <c:pt idx="327">
                  <c:v>-13.857028882226221</c:v>
                </c:pt>
                <c:pt idx="328">
                  <c:v>-14.070876347680507</c:v>
                </c:pt>
                <c:pt idx="329">
                  <c:v>-14.285313998474184</c:v>
                </c:pt>
                <c:pt idx="330">
                  <c:v>-14.500364214961918</c:v>
                </c:pt>
                <c:pt idx="331">
                  <c:v>-14.716049981288341</c:v>
                </c:pt>
                <c:pt idx="332">
                  <c:v>-14.93239488006906</c:v>
                </c:pt>
                <c:pt idx="333">
                  <c:v>-15.14942308474367</c:v>
                </c:pt>
                <c:pt idx="334">
                  <c:v>-15.367159349421888</c:v>
                </c:pt>
                <c:pt idx="335">
                  <c:v>-15.585628996045651</c:v>
                </c:pt>
                <c:pt idx="336">
                  <c:v>-15.804857898685267</c:v>
                </c:pt>
                <c:pt idx="337">
                  <c:v>-16.024872464792036</c:v>
                </c:pt>
                <c:pt idx="338">
                  <c:v>-16.24569961323051</c:v>
                </c:pt>
                <c:pt idx="339">
                  <c:v>-16.467366748920185</c:v>
                </c:pt>
                <c:pt idx="340">
                  <c:v>-16.689901733920561</c:v>
                </c:pt>
                <c:pt idx="341">
                  <c:v>-16.913332854807841</c:v>
                </c:pt>
                <c:pt idx="342">
                  <c:v>-17.137688786199764</c:v>
                </c:pt>
                <c:pt idx="343">
                  <c:v>-17.362998550301974</c:v>
                </c:pt>
                <c:pt idx="344">
                  <c:v>-17.589291472370071</c:v>
                </c:pt>
                <c:pt idx="345">
                  <c:v>-17.816597131999778</c:v>
                </c:pt>
                <c:pt idx="346">
                  <c:v>-18.04494531018711</c:v>
                </c:pt>
                <c:pt idx="347">
                  <c:v>-18.274365932127491</c:v>
                </c:pt>
                <c:pt idx="348">
                  <c:v>-18.504889005757434</c:v>
                </c:pt>
                <c:pt idx="349">
                  <c:v>-18.736544556079849</c:v>
                </c:pt>
                <c:pt idx="350">
                  <c:v>-18.969362555354586</c:v>
                </c:pt>
                <c:pt idx="351">
                  <c:v>-19.203372849283234</c:v>
                </c:pt>
                <c:pt idx="352">
                  <c:v>-19.438605079363413</c:v>
                </c:pt>
                <c:pt idx="353">
                  <c:v>-19.675088601645484</c:v>
                </c:pt>
                <c:pt idx="354">
                  <c:v>-19.912852402176274</c:v>
                </c:pt>
                <c:pt idx="355">
                  <c:v>-20.151925009479008</c:v>
                </c:pt>
                <c:pt idx="356">
                  <c:v>-20.392334404477616</c:v>
                </c:pt>
                <c:pt idx="357">
                  <c:v>-20.634107928341873</c:v>
                </c:pt>
                <c:pt idx="358">
                  <c:v>-20.877272188793654</c:v>
                </c:pt>
                <c:pt idx="359">
                  <c:v>-21.121852965485392</c:v>
                </c:pt>
                <c:pt idx="360">
                  <c:v>-21.36787511512782</c:v>
                </c:pt>
                <c:pt idx="361">
                  <c:v>-21.615362477112846</c:v>
                </c:pt>
                <c:pt idx="362">
                  <c:v>-21.864337780444494</c:v>
                </c:pt>
                <c:pt idx="363">
                  <c:v>-22.114822552852743</c:v>
                </c:pt>
                <c:pt idx="364">
                  <c:v>-22.36683703302775</c:v>
                </c:pt>
                <c:pt idx="365">
                  <c:v>-22.620400086966796</c:v>
                </c:pt>
                <c:pt idx="366">
                  <c:v>-22.875529129477783</c:v>
                </c:pt>
                <c:pt idx="367">
                  <c:v>-23.13224005192572</c:v>
                </c:pt>
                <c:pt idx="368">
                  <c:v>-23.390547157346838</c:v>
                </c:pt>
                <c:pt idx="369">
                  <c:v>-23.650463104080892</c:v>
                </c:pt>
                <c:pt idx="370">
                  <c:v>-23.911998859091206</c:v>
                </c:pt>
                <c:pt idx="371">
                  <c:v>-24.175163662149188</c:v>
                </c:pt>
                <c:pt idx="372">
                  <c:v>-24.439965002056137</c:v>
                </c:pt>
                <c:pt idx="373">
                  <c:v>-24.706408606059163</c:v>
                </c:pt>
                <c:pt idx="374">
                  <c:v>-24.974498443589543</c:v>
                </c:pt>
                <c:pt idx="375">
                  <c:v>-25.244236745409637</c:v>
                </c:pt>
                <c:pt idx="376">
                  <c:v>-25.515624039199906</c:v>
                </c:pt>
                <c:pt idx="377">
                  <c:v>-25.788659202547898</c:v>
                </c:pt>
                <c:pt idx="378">
                  <c:v>-26.06333953421704</c:v>
                </c:pt>
                <c:pt idx="379">
                  <c:v>-26.339660844478502</c:v>
                </c:pt>
                <c:pt idx="380">
                  <c:v>-26.617617565174424</c:v>
                </c:pt>
                <c:pt idx="381">
                  <c:v>-26.897202880058448</c:v>
                </c:pt>
                <c:pt idx="382">
                  <c:v>-27.17840887581773</c:v>
                </c:pt>
                <c:pt idx="383">
                  <c:v>-27.461226714029028</c:v>
                </c:pt>
                <c:pt idx="384">
                  <c:v>-27.745646824131335</c:v>
                </c:pt>
                <c:pt idx="385">
                  <c:v>-28.031659117317361</c:v>
                </c:pt>
                <c:pt idx="386">
                  <c:v>-28.319253221049919</c:v>
                </c:pt>
                <c:pt idx="387">
                  <c:v>-28.60841873369802</c:v>
                </c:pt>
                <c:pt idx="388">
                  <c:v>-28.899145498559591</c:v>
                </c:pt>
                <c:pt idx="389">
                  <c:v>-29.191423896302506</c:v>
                </c:pt>
                <c:pt idx="390">
                  <c:v>-29.485245154589542</c:v>
                </c:pt>
                <c:pt idx="391">
                  <c:v>-29.780601673389079</c:v>
                </c:pt>
                <c:pt idx="392">
                  <c:v>-30.077487364173152</c:v>
                </c:pt>
                <c:pt idx="393">
                  <c:v>-30.375898000902101</c:v>
                </c:pt>
                <c:pt idx="394">
                  <c:v>-30.675831580367149</c:v>
                </c:pt>
                <c:pt idx="395">
                  <c:v>-30.977288689116008</c:v>
                </c:pt>
                <c:pt idx="396">
                  <c:v>-31.280272873826252</c:v>
                </c:pt>
                <c:pt idx="397">
                  <c:v>-31.584791011614183</c:v>
                </c:pt>
                <c:pt idx="398">
                  <c:v>-31.890853676371091</c:v>
                </c:pt>
                <c:pt idx="399">
                  <c:v>-32.198475496817863</c:v>
                </c:pt>
                <c:pt idx="400">
                  <c:v>-32.507675501556186</c:v>
                </c:pt>
                <c:pt idx="401">
                  <c:v>-32.81847744598295</c:v>
                </c:pt>
                <c:pt idx="402">
                  <c:v>-33.130910115530845</c:v>
                </c:pt>
                <c:pt idx="403">
                  <c:v>-33.445007599304752</c:v>
                </c:pt>
                <c:pt idx="404">
                  <c:v>-33.760809527830936</c:v>
                </c:pt>
                <c:pt idx="405">
                  <c:v>-34.078361268312996</c:v>
                </c:pt>
                <c:pt idx="406">
                  <c:v>-34.397714070538797</c:v>
                </c:pt>
                <c:pt idx="407">
                  <c:v>-34.718925156405525</c:v>
                </c:pt>
                <c:pt idx="408">
                  <c:v>-35.042057745960975</c:v>
                </c:pt>
                <c:pt idx="409">
                  <c:v>-35.36718101291752</c:v>
                </c:pt>
                <c:pt idx="410">
                  <c:v>-35.694369962802199</c:v>
                </c:pt>
                <c:pt idx="411">
                  <c:v>-36.023705227303317</c:v>
                </c:pt>
                <c:pt idx="412">
                  <c:v>-36.355272768966742</c:v>
                </c:pt>
                <c:pt idx="413">
                  <c:v>-36.68916349122501</c:v>
                </c:pt>
                <c:pt idx="414">
                  <c:v>-37.025472749817929</c:v>
                </c:pt>
                <c:pt idx="415">
                  <c:v>-37.364299763008056</c:v>
                </c:pt>
                <c:pt idx="416">
                  <c:v>-37.705746919604032</c:v>
                </c:pt>
                <c:pt idx="417">
                  <c:v>-38.049918985687043</c:v>
                </c:pt>
                <c:pt idx="418">
                  <c:v>-38.396922213064066</c:v>
                </c:pt>
                <c:pt idx="419">
                  <c:v>-38.746863354820633</c:v>
                </c:pt>
                <c:pt idx="420">
                  <c:v>-39.099848595868558</c:v>
                </c:pt>
                <c:pt idx="421">
                  <c:v>-39.455982409017345</c:v>
                </c:pt>
                <c:pt idx="422">
                  <c:v>-39.81536634975032</c:v>
                </c:pt>
                <c:pt idx="423">
                  <c:v>-40.178097805495881</c:v>
                </c:pt>
                <c:pt idx="424">
                  <c:v>-40.544268717595926</c:v>
                </c:pt>
                <c:pt idx="425">
                  <c:v>-40.913964296322973</c:v>
                </c:pt>
                <c:pt idx="426">
                  <c:v>-41.287261751031323</c:v>
                </c:pt>
                <c:pt idx="427">
                  <c:v>-41.664229058758664</c:v>
                </c:pt>
                <c:pt idx="428">
                  <c:v>-42.044923795205527</c:v>
                </c:pt>
                <c:pt idx="429">
                  <c:v>-42.429392051951858</c:v>
                </c:pt>
                <c:pt idx="430">
                  <c:v>-42.817667462942438</c:v>
                </c:pt>
                <c:pt idx="431">
                  <c:v>-43.209770361697053</c:v>
                </c:pt>
                <c:pt idx="432">
                  <c:v>-43.605707088365548</c:v>
                </c:pt>
                <c:pt idx="433">
                  <c:v>-44.005469462728534</c:v>
                </c:pt>
                <c:pt idx="434">
                  <c:v>-44.409034435620043</c:v>
                </c:pt>
                <c:pt idx="435">
                  <c:v>-44.816363927157553</c:v>
                </c:pt>
                <c:pt idx="436">
                  <c:v>-45.227404855753299</c:v>
                </c:pt>
                <c:pt idx="437">
                  <c:v>-45.642089357326931</c:v>
                </c:pt>
                <c:pt idx="438">
                  <c:v>-46.060335189626883</c:v>
                </c:pt>
                <c:pt idx="439">
                  <c:v>-46.482046312264494</c:v>
                </c:pt>
                <c:pt idx="440">
                  <c:v>-46.907113629156754</c:v>
                </c:pt>
                <c:pt idx="441">
                  <c:v>-47.335415876678546</c:v>
                </c:pt>
                <c:pt idx="442">
                  <c:v>-47.766820638074137</c:v>
                </c:pt>
                <c:pt idx="443">
                  <c:v>-48.201185462637753</c:v>
                </c:pt>
                <c:pt idx="444">
                  <c:v>-48.638359066880227</c:v>
                </c:pt>
                <c:pt idx="445">
                  <c:v>-49.07818259435566</c:v>
                </c:pt>
                <c:pt idx="446">
                  <c:v>-49.520490910990958</c:v>
                </c:pt>
                <c:pt idx="447">
                  <c:v>-49.965113913577703</c:v>
                </c:pt>
                <c:pt idx="448">
                  <c:v>-50.411877830459026</c:v>
                </c:pt>
                <c:pt idx="449">
                  <c:v>-50.860606495275498</c:v>
                </c:pt>
                <c:pt idx="450">
                  <c:v>-51.311122576799931</c:v>
                </c:pt>
                <c:pt idx="451">
                  <c:v>-51.763248750295475</c:v>
                </c:pt>
                <c:pt idx="452">
                  <c:v>-52.21680879834436</c:v>
                </c:pt>
                <c:pt idx="453">
                  <c:v>-52.671628631637589</c:v>
                </c:pt>
                <c:pt idx="454">
                  <c:v>-53.12753722268674</c:v>
                </c:pt>
                <c:pt idx="455">
                  <c:v>-53.58436744776278</c:v>
                </c:pt>
                <c:pt idx="456">
                  <c:v>-54.041956834512675</c:v>
                </c:pt>
                <c:pt idx="457">
                  <c:v>-54.500148214636191</c:v>
                </c:pt>
                <c:pt idx="458">
                  <c:v>-54.958790282674627</c:v>
                </c:pt>
                <c:pt idx="459">
                  <c:v>-55.417738063387944</c:v>
                </c:pt>
                <c:pt idx="460">
                  <c:v>-55.876853291351026</c:v>
                </c:pt>
                <c:pt idx="461">
                  <c:v>-56.336004707321891</c:v>
                </c:pt>
                <c:pt idx="462">
                  <c:v>-56.795068276614629</c:v>
                </c:pt>
                <c:pt idx="463">
                  <c:v>-57.25392733519071</c:v>
                </c:pt>
                <c:pt idx="464">
                  <c:v>-57.712472669477812</c:v>
                </c:pt>
                <c:pt idx="465">
                  <c:v>-58.17060253605873</c:v>
                </c:pt>
                <c:pt idx="466">
                  <c:v>-58.62822262738451</c:v>
                </c:pt>
                <c:pt idx="467">
                  <c:v>-59.08524598955313</c:v>
                </c:pt>
                <c:pt idx="468">
                  <c:v>-59.541592898013604</c:v>
                </c:pt>
                <c:pt idx="469">
                  <c:v>-59.997190696796771</c:v>
                </c:pt>
                <c:pt idx="470">
                  <c:v>-60.451973606568842</c:v>
                </c:pt>
                <c:pt idx="471">
                  <c:v>-60.9058825064742</c:v>
                </c:pt>
                <c:pt idx="472">
                  <c:v>-61.358864694370475</c:v>
                </c:pt>
                <c:pt idx="473">
                  <c:v>-61.810873629703948</c:v>
                </c:pt>
                <c:pt idx="474">
                  <c:v>-62.261868662898372</c:v>
                </c:pt>
                <c:pt idx="475">
                  <c:v>-62.71181475477907</c:v>
                </c:pt>
                <c:pt idx="476">
                  <c:v>-63.160682189200834</c:v>
                </c:pt>
                <c:pt idx="477">
                  <c:v>-63.608446281715089</c:v>
                </c:pt>
                <c:pt idx="478">
                  <c:v>-64.055087086797442</c:v>
                </c:pt>
                <c:pt idx="479">
                  <c:v>-64.500589105854345</c:v>
                </c:pt>
                <c:pt idx="480">
                  <c:v>-64.944940997952457</c:v>
                </c:pt>
                <c:pt idx="481">
                  <c:v>-65.388135294952562</c:v>
                </c:pt>
                <c:pt idx="482">
                  <c:v>-65.830168122493163</c:v>
                </c:pt>
                <c:pt idx="483">
                  <c:v>-66.271038928046437</c:v>
                </c:pt>
                <c:pt idx="484">
                  <c:v>-66.710750217070213</c:v>
                </c:pt>
                <c:pt idx="485">
                  <c:v>-67.149307298093461</c:v>
                </c:pt>
                <c:pt idx="486">
                  <c:v>-67.58671803740917</c:v>
                </c:pt>
                <c:pt idx="487">
                  <c:v>-68.022992623896997</c:v>
                </c:pt>
                <c:pt idx="488">
                  <c:v>-68.458143344359542</c:v>
                </c:pt>
                <c:pt idx="489">
                  <c:v>-68.892184369642649</c:v>
                </c:pt>
                <c:pt idx="490">
                  <c:v>-69.32513155169184</c:v>
                </c:pt>
                <c:pt idx="491">
                  <c:v>-69.757002231611324</c:v>
                </c:pt>
                <c:pt idx="492">
                  <c:v>-70.187815058700068</c:v>
                </c:pt>
                <c:pt idx="493">
                  <c:v>-70.617589820370625</c:v>
                </c:pt>
                <c:pt idx="494">
                  <c:v>-71.046347282790791</c:v>
                </c:pt>
                <c:pt idx="495">
                  <c:v>-71.474109042033888</c:v>
                </c:pt>
                <c:pt idx="496">
                  <c:v>-71.900897385476114</c:v>
                </c:pt>
                <c:pt idx="497">
                  <c:v>-72.326735163141237</c:v>
                </c:pt>
                <c:pt idx="498">
                  <c:v>-72.751645668664878</c:v>
                </c:pt>
                <c:pt idx="499">
                  <c:v>-73.175652529515091</c:v>
                </c:pt>
                <c:pt idx="500">
                  <c:v>-73.598779606100337</c:v>
                </c:pt>
                <c:pt idx="501">
                  <c:v>-74.021050899366941</c:v>
                </c:pt>
                <c:pt idx="502">
                  <c:v>-74.442490466491734</c:v>
                </c:pt>
                <c:pt idx="503">
                  <c:v>-74.863122344258372</c:v>
                </c:pt>
                <c:pt idx="504">
                  <c:v>-75.282970479711395</c:v>
                </c:pt>
                <c:pt idx="505">
                  <c:v>-75.702058667680404</c:v>
                </c:pt>
                <c:pt idx="506">
                  <c:v>-76.120410494770439</c:v>
                </c:pt>
                <c:pt idx="507">
                  <c:v>-76.538049289422148</c:v>
                </c:pt>
                <c:pt idx="508">
                  <c:v>-76.954998077652562</c:v>
                </c:pt>
                <c:pt idx="509">
                  <c:v>-77.371279544099352</c:v>
                </c:pt>
                <c:pt idx="510">
                  <c:v>-77.786915998000538</c:v>
                </c:pt>
                <c:pt idx="511">
                  <c:v>-78.201929343756476</c:v>
                </c:pt>
                <c:pt idx="512">
                  <c:v>-78.616341055733542</c:v>
                </c:pt>
                <c:pt idx="513">
                  <c:v>-79.030172156984491</c:v>
                </c:pt>
                <c:pt idx="514">
                  <c:v>-79.443443201572094</c:v>
                </c:pt>
                <c:pt idx="515">
                  <c:v>-79.856174260203247</c:v>
                </c:pt>
                <c:pt idx="516">
                  <c:v>-80.268384908889971</c:v>
                </c:pt>
                <c:pt idx="517">
                  <c:v>-80.680094220373689</c:v>
                </c:pt>
                <c:pt idx="518">
                  <c:v>-81.091320758061698</c:v>
                </c:pt>
                <c:pt idx="519">
                  <c:v>-81.502082572239715</c:v>
                </c:pt>
                <c:pt idx="520">
                  <c:v>-81.912397198342589</c:v>
                </c:pt>
                <c:pt idx="521">
                  <c:v>-82.322281657072253</c:v>
                </c:pt>
                <c:pt idx="522">
                  <c:v>-82.731752456174391</c:v>
                </c:pt>
                <c:pt idx="523">
                  <c:v>-83.140825593691147</c:v>
                </c:pt>
                <c:pt idx="524">
                  <c:v>-83.549516562526819</c:v>
                </c:pt>
                <c:pt idx="525">
                  <c:v>-83.957840356168205</c:v>
                </c:pt>
                <c:pt idx="526">
                  <c:v>-84.365811475420728</c:v>
                </c:pt>
                <c:pt idx="527">
                  <c:v>-84.773443936026155</c:v>
                </c:pt>
                <c:pt idx="528">
                  <c:v>-85.180751277042134</c:v>
                </c:pt>
                <c:pt idx="529">
                  <c:v>-85.587746569874227</c:v>
                </c:pt>
                <c:pt idx="530">
                  <c:v>-85.994442427855304</c:v>
                </c:pt>
                <c:pt idx="531">
                  <c:v>-86.400851016282729</c:v>
                </c:pt>
                <c:pt idx="532">
                  <c:v>-86.806984062828093</c:v>
                </c:pt>
                <c:pt idx="533">
                  <c:v>-87.212852868242237</c:v>
                </c:pt>
                <c:pt idx="534">
                  <c:v>-87.618468317287636</c:v>
                </c:pt>
                <c:pt idx="535">
                  <c:v>-88.023840889833508</c:v>
                </c:pt>
                <c:pt idx="536">
                  <c:v>-88.428980672058714</c:v>
                </c:pt>
                <c:pt idx="537">
                  <c:v>-88.833897367713135</c:v>
                </c:pt>
                <c:pt idx="538">
                  <c:v>-89.238600309388971</c:v>
                </c:pt>
                <c:pt idx="539">
                  <c:v>-89.64309846976505</c:v>
                </c:pt>
                <c:pt idx="540">
                  <c:v>-90.047400472786308</c:v>
                </c:pt>
                <c:pt idx="541">
                  <c:v>-90.451514604749903</c:v>
                </c:pt>
              </c:numCache>
            </c:numRef>
          </c:yVal>
          <c:smooth val="1"/>
          <c:extLst>
            <c:ext xmlns:c16="http://schemas.microsoft.com/office/drawing/2014/chart" uri="{C3380CC4-5D6E-409C-BE32-E72D297353CC}">
              <c16:uniqueId val="{00000000-2470-421C-8EF3-DF4BAC2DF802}"/>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2470-421C-8EF3-DF4BAC2DF802}"/>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2470-421C-8EF3-DF4BAC2DF802}"/>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636.61977236758139</c:v>
                </c:pt>
              </c:numCache>
            </c:numRef>
          </c:xVal>
          <c:yVal>
            <c:numRef>
              <c:f>Loop_Modeling!$AT$11</c:f>
              <c:numCache>
                <c:formatCode>0.000</c:formatCode>
                <c:ptCount val="1"/>
                <c:pt idx="0">
                  <c:v>15.997748523920656</c:v>
                </c:pt>
              </c:numCache>
            </c:numRef>
          </c:yVal>
          <c:smooth val="0"/>
          <c:extLst>
            <c:ext xmlns:c16="http://schemas.microsoft.com/office/drawing/2014/chart" uri="{C3380CC4-5D6E-409C-BE32-E72D297353CC}">
              <c16:uniqueId val="{00000002-2470-421C-8EF3-DF4BAC2DF802}"/>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470-421C-8EF3-DF4BAC2DF802}"/>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153213.1585497979</c:v>
                </c:pt>
              </c:numCache>
            </c:numRef>
          </c:xVal>
          <c:yVal>
            <c:numRef>
              <c:f>Loop_Modeling!$AT$9</c:f>
              <c:numCache>
                <c:formatCode>0.000</c:formatCode>
                <c:ptCount val="1"/>
                <c:pt idx="0">
                  <c:v>-38.233334744097931</c:v>
                </c:pt>
              </c:numCache>
            </c:numRef>
          </c:yVal>
          <c:smooth val="1"/>
          <c:extLst>
            <c:ext xmlns:c16="http://schemas.microsoft.com/office/drawing/2014/chart" uri="{C3380CC4-5D6E-409C-BE32-E72D297353CC}">
              <c16:uniqueId val="{00000004-2470-421C-8EF3-DF4BAC2DF802}"/>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2470-421C-8EF3-DF4BAC2DF802}"/>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2470-421C-8EF3-DF4BAC2DF802}"/>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397887.35772973835</c:v>
                </c:pt>
              </c:numCache>
            </c:numRef>
          </c:xVal>
          <c:yVal>
            <c:numRef>
              <c:f>Loop_Modeling!$AT$10</c:f>
              <c:numCache>
                <c:formatCode>0.000</c:formatCode>
                <c:ptCount val="1"/>
                <c:pt idx="0">
                  <c:v>-55.406727257506311</c:v>
                </c:pt>
              </c:numCache>
            </c:numRef>
          </c:yVal>
          <c:smooth val="1"/>
          <c:extLst>
            <c:ext xmlns:c16="http://schemas.microsoft.com/office/drawing/2014/chart" uri="{C3380CC4-5D6E-409C-BE32-E72D297353CC}">
              <c16:uniqueId val="{00000006-2470-421C-8EF3-DF4BAC2DF802}"/>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2470-421C-8EF3-DF4BAC2DF80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640.20491991912843</c:v>
                </c:pt>
              </c:numCache>
            </c:numRef>
          </c:xVal>
          <c:yVal>
            <c:numRef>
              <c:f>Loop_Modeling!$AT$12</c:f>
              <c:numCache>
                <c:formatCode>0.000</c:formatCode>
                <c:ptCount val="1"/>
                <c:pt idx="0">
                  <c:v>15.948829802612639</c:v>
                </c:pt>
              </c:numCache>
            </c:numRef>
          </c:yVal>
          <c:smooth val="1"/>
          <c:extLst>
            <c:ext xmlns:c16="http://schemas.microsoft.com/office/drawing/2014/chart" uri="{C3380CC4-5D6E-409C-BE32-E72D297353CC}">
              <c16:uniqueId val="{00000008-2470-421C-8EF3-DF4BAC2DF802}"/>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2470-421C-8EF3-DF4BAC2DF802}"/>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64660.696911831983</c:v>
                </c:pt>
              </c:numCache>
            </c:numRef>
          </c:xVal>
          <c:yVal>
            <c:numRef>
              <c:f>Loop_Modeling!$AT$13</c:f>
              <c:numCache>
                <c:formatCode>0.000</c:formatCode>
                <c:ptCount val="1"/>
                <c:pt idx="0">
                  <c:v>-26.63547295295006</c:v>
                </c:pt>
              </c:numCache>
            </c:numRef>
          </c:yVal>
          <c:smooth val="1"/>
          <c:extLst>
            <c:ext xmlns:c16="http://schemas.microsoft.com/office/drawing/2014/chart" uri="{C3380CC4-5D6E-409C-BE32-E72D297353CC}">
              <c16:uniqueId val="{0000000A-2470-421C-8EF3-DF4BAC2DF802}"/>
            </c:ext>
          </c:extLst>
        </c:ser>
        <c:dLbls>
          <c:showLegendKey val="0"/>
          <c:showVal val="0"/>
          <c:showCatName val="0"/>
          <c:showSerName val="0"/>
          <c:showPercent val="0"/>
          <c:showBubbleSize val="0"/>
        </c:dLbls>
        <c:axId val="144369152"/>
        <c:axId val="144371072"/>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Loop_Modeling!$AU$19:$AU$560</c:f>
              <c:numCache>
                <c:formatCode>General</c:formatCode>
                <c:ptCount val="542"/>
                <c:pt idx="0">
                  <c:v>89.979036778450094</c:v>
                </c:pt>
                <c:pt idx="1">
                  <c:v>89.978548546165442</c:v>
                </c:pt>
                <c:pt idx="2">
                  <c:v>89.978048946056418</c:v>
                </c:pt>
                <c:pt idx="3">
                  <c:v>89.977537713658748</c:v>
                </c:pt>
                <c:pt idx="4">
                  <c:v>89.977014578371353</c:v>
                </c:pt>
                <c:pt idx="5">
                  <c:v>89.976479263314957</c:v>
                </c:pt>
                <c:pt idx="6">
                  <c:v>89.975931485187758</c:v>
                </c:pt>
                <c:pt idx="7">
                  <c:v>89.975370954117693</c:v>
                </c:pt>
                <c:pt idx="8">
                  <c:v>89.974797373511379</c:v>
                </c:pt>
                <c:pt idx="9">
                  <c:v>89.974210439899835</c:v>
                </c:pt>
                <c:pt idx="10">
                  <c:v>89.973609842780647</c:v>
                </c:pt>
                <c:pt idx="11">
                  <c:v>89.972995264456628</c:v>
                </c:pt>
                <c:pt idx="12">
                  <c:v>89.972366379870962</c:v>
                </c:pt>
                <c:pt idx="13">
                  <c:v>89.97172285643866</c:v>
                </c:pt>
                <c:pt idx="14">
                  <c:v>89.971064353874254</c:v>
                </c:pt>
                <c:pt idx="15">
                  <c:v>89.970390524015798</c:v>
                </c:pt>
                <c:pt idx="16">
                  <c:v>89.969701010644911</c:v>
                </c:pt>
                <c:pt idx="17">
                  <c:v>89.968995449302952</c:v>
                </c:pt>
                <c:pt idx="18">
                  <c:v>89.968273467103145</c:v>
                </c:pt>
                <c:pt idx="19">
                  <c:v>89.967534682538584</c:v>
                </c:pt>
                <c:pt idx="20">
                  <c:v>89.966778705286146</c:v>
                </c:pt>
                <c:pt idx="21">
                  <c:v>89.966005136006146</c:v>
                </c:pt>
                <c:pt idx="22">
                  <c:v>89.965213566137663</c:v>
                </c:pt>
                <c:pt idx="23">
                  <c:v>89.964403577689481</c:v>
                </c:pt>
                <c:pt idx="24">
                  <c:v>89.96357474302657</c:v>
                </c:pt>
                <c:pt idx="25">
                  <c:v>89.962726624652063</c:v>
                </c:pt>
                <c:pt idx="26">
                  <c:v>89.961858774984563</c:v>
                </c:pt>
                <c:pt idx="27">
                  <c:v>89.960970736130832</c:v>
                </c:pt>
                <c:pt idx="28">
                  <c:v>89.960062039653579</c:v>
                </c:pt>
                <c:pt idx="29">
                  <c:v>89.959132206334743</c:v>
                </c:pt>
                <c:pt idx="30">
                  <c:v>89.958180745933305</c:v>
                </c:pt>
                <c:pt idx="31">
                  <c:v>89.957207156938807</c:v>
                </c:pt>
                <c:pt idx="32">
                  <c:v>89.956210926319258</c:v>
                </c:pt>
                <c:pt idx="33">
                  <c:v>89.95519152926417</c:v>
                </c:pt>
                <c:pt idx="34">
                  <c:v>89.954148428922494</c:v>
                </c:pt>
                <c:pt idx="35">
                  <c:v>89.953081076135149</c:v>
                </c:pt>
                <c:pt idx="36">
                  <c:v>89.951988909162225</c:v>
                </c:pt>
                <c:pt idx="37">
                  <c:v>89.95087135340502</c:v>
                </c:pt>
                <c:pt idx="38">
                  <c:v>89.949727821122423</c:v>
                </c:pt>
                <c:pt idx="39">
                  <c:v>89.948557711141987</c:v>
                </c:pt>
                <c:pt idx="40">
                  <c:v>89.947360408565444</c:v>
                </c:pt>
                <c:pt idx="41">
                  <c:v>89.946135284468511</c:v>
                </c:pt>
                <c:pt idx="42">
                  <c:v>89.944881695595328</c:v>
                </c:pt>
                <c:pt idx="43">
                  <c:v>89.943598984047014</c:v>
                </c:pt>
                <c:pt idx="44">
                  <c:v>89.94228647696481</c:v>
                </c:pt>
                <c:pt idx="45">
                  <c:v>89.940943486207146</c:v>
                </c:pt>
                <c:pt idx="46">
                  <c:v>89.939569308021518</c:v>
                </c:pt>
                <c:pt idx="47">
                  <c:v>89.938163222710159</c:v>
                </c:pt>
                <c:pt idx="48">
                  <c:v>89.936724494290161</c:v>
                </c:pt>
                <c:pt idx="49">
                  <c:v>89.935252370148092</c:v>
                </c:pt>
                <c:pt idx="50">
                  <c:v>89.933746080688607</c:v>
                </c:pt>
                <c:pt idx="51">
                  <c:v>89.932204838977569</c:v>
                </c:pt>
                <c:pt idx="52">
                  <c:v>89.930627840379572</c:v>
                </c:pt>
                <c:pt idx="53">
                  <c:v>89.929014262189639</c:v>
                </c:pt>
                <c:pt idx="54">
                  <c:v>89.927363263259835</c:v>
                </c:pt>
                <c:pt idx="55">
                  <c:v>89.925673983620143</c:v>
                </c:pt>
                <c:pt idx="56">
                  <c:v>89.923945544094053</c:v>
                </c:pt>
                <c:pt idx="57">
                  <c:v>89.92217704590901</c:v>
                </c:pt>
                <c:pt idx="58">
                  <c:v>89.920367570301806</c:v>
                </c:pt>
                <c:pt idx="59">
                  <c:v>89.918516178118864</c:v>
                </c:pt>
                <c:pt idx="60">
                  <c:v>89.916621909412001</c:v>
                </c:pt>
                <c:pt idx="61">
                  <c:v>89.914683783029346</c:v>
                </c:pt>
                <c:pt idx="62">
                  <c:v>89.912700796202145</c:v>
                </c:pt>
                <c:pt idx="63">
                  <c:v>89.910671924127342</c:v>
                </c:pt>
                <c:pt idx="64">
                  <c:v>89.908596119546246</c:v>
                </c:pt>
                <c:pt idx="65">
                  <c:v>89.906472312319806</c:v>
                </c:pt>
                <c:pt idx="66">
                  <c:v>89.904299409000387</c:v>
                </c:pt>
                <c:pt idx="67">
                  <c:v>89.902076292401077</c:v>
                </c:pt>
                <c:pt idx="68">
                  <c:v>89.899801821162242</c:v>
                </c:pt>
                <c:pt idx="69">
                  <c:v>89.897474829316039</c:v>
                </c:pt>
                <c:pt idx="70">
                  <c:v>89.895094125849411</c:v>
                </c:pt>
                <c:pt idx="71">
                  <c:v>89.892658494266087</c:v>
                </c:pt>
                <c:pt idx="72">
                  <c:v>89.890166692148043</c:v>
                </c:pt>
                <c:pt idx="73">
                  <c:v>89.88761745071686</c:v>
                </c:pt>
                <c:pt idx="74">
                  <c:v>89.88500947439627</c:v>
                </c:pt>
                <c:pt idx="75">
                  <c:v>89.88234144037547</c:v>
                </c:pt>
                <c:pt idx="76">
                  <c:v>89.879611998175207</c:v>
                </c:pt>
                <c:pt idx="77">
                  <c:v>89.876819769216766</c:v>
                </c:pt>
                <c:pt idx="78">
                  <c:v>89.873963346394419</c:v>
                </c:pt>
                <c:pt idx="79">
                  <c:v>89.871041293652965</c:v>
                </c:pt>
                <c:pt idx="80">
                  <c:v>89.868052145571141</c:v>
                </c:pt>
                <c:pt idx="81">
                  <c:v>89.864994406951638</c:v>
                </c:pt>
                <c:pt idx="82">
                  <c:v>89.861866552418903</c:v>
                </c:pt>
                <c:pt idx="83">
                  <c:v>89.858667026026325</c:v>
                </c:pt>
                <c:pt idx="84">
                  <c:v>89.85539424087419</c:v>
                </c:pt>
                <c:pt idx="85">
                  <c:v>89.852046578738182</c:v>
                </c:pt>
                <c:pt idx="86">
                  <c:v>89.848622389712261</c:v>
                </c:pt>
                <c:pt idx="87">
                  <c:v>89.845119991865474</c:v>
                </c:pt>
                <c:pt idx="88">
                  <c:v>89.841537670914988</c:v>
                </c:pt>
                <c:pt idx="89">
                  <c:v>89.837873679917237</c:v>
                </c:pt>
                <c:pt idx="90">
                  <c:v>89.834126238978428</c:v>
                </c:pt>
                <c:pt idx="91">
                  <c:v>89.830293534986168</c:v>
                </c:pt>
                <c:pt idx="92">
                  <c:v>89.826373721364547</c:v>
                </c:pt>
                <c:pt idx="93">
                  <c:v>89.822364917854316</c:v>
                </c:pt>
                <c:pt idx="94">
                  <c:v>89.81826521032022</c:v>
                </c:pt>
                <c:pt idx="95">
                  <c:v>89.814072650587505</c:v>
                </c:pt>
                <c:pt idx="96">
                  <c:v>89.809785256309667</c:v>
                </c:pt>
                <c:pt idx="97">
                  <c:v>89.805401010870042</c:v>
                </c:pt>
                <c:pt idx="98">
                  <c:v>89.800917863318546</c:v>
                </c:pt>
                <c:pt idx="99">
                  <c:v>89.796333728347392</c:v>
                </c:pt>
                <c:pt idx="100">
                  <c:v>89.791646486306291</c:v>
                </c:pt>
                <c:pt idx="101">
                  <c:v>89.786853983260585</c:v>
                </c:pt>
                <c:pt idx="102">
                  <c:v>89.781954031094372</c:v>
                </c:pt>
                <c:pt idx="103">
                  <c:v>89.776944407660281</c:v>
                </c:pt>
                <c:pt idx="104">
                  <c:v>89.771822856979227</c:v>
                </c:pt>
                <c:pt idx="105">
                  <c:v>89.766587089491338</c:v>
                </c:pt>
                <c:pt idx="106">
                  <c:v>89.761234782360461</c:v>
                </c:pt>
                <c:pt idx="107">
                  <c:v>89.7557635798332</c:v>
                </c:pt>
                <c:pt idx="108">
                  <c:v>89.750171093657215</c:v>
                </c:pt>
                <c:pt idx="109">
                  <c:v>89.744454903555138</c:v>
                </c:pt>
                <c:pt idx="110">
                  <c:v>89.738612557761172</c:v>
                </c:pt>
                <c:pt idx="111">
                  <c:v>89.73264157361622</c:v>
                </c:pt>
                <c:pt idx="112">
                  <c:v>89.726539438226325</c:v>
                </c:pt>
                <c:pt idx="113">
                  <c:v>89.720303609181045</c:v>
                </c:pt>
                <c:pt idx="114">
                  <c:v>89.71393151533421</c:v>
                </c:pt>
                <c:pt idx="115">
                  <c:v>89.707420557644099</c:v>
                </c:pt>
                <c:pt idx="116">
                  <c:v>89.70076811007398</c:v>
                </c:pt>
                <c:pt idx="117">
                  <c:v>89.693971520547919</c:v>
                </c:pt>
                <c:pt idx="118">
                  <c:v>89.687028111960728</c:v>
                </c:pt>
                <c:pt idx="119">
                  <c:v>89.679935183239337</c:v>
                </c:pt>
                <c:pt idx="120">
                  <c:v>89.672690010446772</c:v>
                </c:pt>
                <c:pt idx="121">
                  <c:v>89.665289847927724</c:v>
                </c:pt>
                <c:pt idx="122">
                  <c:v>89.657731929484754</c:v>
                </c:pt>
                <c:pt idx="123">
                  <c:v>89.650013469579946</c:v>
                </c:pt>
                <c:pt idx="124">
                  <c:v>89.642131664549041</c:v>
                </c:pt>
                <c:pt idx="125">
                  <c:v>89.634083693820088</c:v>
                </c:pt>
                <c:pt idx="126">
                  <c:v>89.625866721121838</c:v>
                </c:pt>
                <c:pt idx="127">
                  <c:v>89.617477895667832</c:v>
                </c:pt>
                <c:pt idx="128">
                  <c:v>89.608914353300207</c:v>
                </c:pt>
                <c:pt idx="129">
                  <c:v>89.600173217574763</c:v>
                </c:pt>
                <c:pt idx="130">
                  <c:v>89.591251600767677</c:v>
                </c:pt>
                <c:pt idx="131">
                  <c:v>89.582146604781528</c:v>
                </c:pt>
                <c:pt idx="132">
                  <c:v>89.57285532192482</c:v>
                </c:pt>
                <c:pt idx="133">
                  <c:v>89.563374835543129</c:v>
                </c:pt>
                <c:pt idx="134">
                  <c:v>89.553702220465894</c:v>
                </c:pt>
                <c:pt idx="135">
                  <c:v>89.543834543247982</c:v>
                </c:pt>
                <c:pt idx="136">
                  <c:v>89.533768862163555</c:v>
                </c:pt>
                <c:pt idx="137">
                  <c:v>89.523502226925146</c:v>
                </c:pt>
                <c:pt idx="138">
                  <c:v>89.513031678086307</c:v>
                </c:pt>
                <c:pt idx="139">
                  <c:v>89.502354246094427</c:v>
                </c:pt>
                <c:pt idx="140">
                  <c:v>89.491466949948332</c:v>
                </c:pt>
                <c:pt idx="141">
                  <c:v>89.480366795425311</c:v>
                </c:pt>
                <c:pt idx="142">
                  <c:v>89.469050772832119</c:v>
                </c:pt>
                <c:pt idx="143">
                  <c:v>89.45751585423946</c:v>
                </c:pt>
                <c:pt idx="144">
                  <c:v>89.445758990156463</c:v>
                </c:pt>
                <c:pt idx="145">
                  <c:v>89.433777105603923</c:v>
                </c:pt>
                <c:pt idx="146">
                  <c:v>89.421567095546592</c:v>
                </c:pt>
                <c:pt idx="147">
                  <c:v>89.409125819641773</c:v>
                </c:pt>
                <c:pt idx="148">
                  <c:v>89.39645009627047</c:v>
                </c:pt>
                <c:pt idx="149">
                  <c:v>89.383536695816275</c:v>
                </c:pt>
                <c:pt idx="150">
                  <c:v>89.370382333159696</c:v>
                </c:pt>
                <c:pt idx="151">
                  <c:v>89.35698365936554</c:v>
                </c:pt>
                <c:pt idx="152">
                  <c:v>89.343337252539669</c:v>
                </c:pt>
                <c:pt idx="153">
                  <c:v>89.329439607842787</c:v>
                </c:pt>
                <c:pt idx="154">
                  <c:v>89.315287126654098</c:v>
                </c:pt>
                <c:pt idx="155">
                  <c:v>89.300876104883329</c:v>
                </c:pt>
                <c:pt idx="156">
                  <c:v>89.286202720443058</c:v>
                </c:pt>
                <c:pt idx="157">
                  <c:v>89.271263019895557</c:v>
                </c:pt>
                <c:pt idx="158">
                  <c:v>89.256052904305818</c:v>
                </c:pt>
                <c:pt idx="159">
                  <c:v>89.240568114335588</c:v>
                </c:pt>
                <c:pt idx="160">
                  <c:v>89.224804214626403</c:v>
                </c:pt>
                <c:pt idx="161">
                  <c:v>89.208756577534842</c:v>
                </c:pt>
                <c:pt idx="162">
                  <c:v>89.192420366281539</c:v>
                </c:pt>
                <c:pt idx="163">
                  <c:v>89.175790517600987</c:v>
                </c:pt>
                <c:pt idx="164">
                  <c:v>89.158861723976841</c:v>
                </c:pt>
                <c:pt idx="165">
                  <c:v>89.141628415561883</c:v>
                </c:pt>
                <c:pt idx="166">
                  <c:v>89.124084741892077</c:v>
                </c:pt>
                <c:pt idx="167">
                  <c:v>89.106224553504546</c:v>
                </c:pt>
                <c:pt idx="168">
                  <c:v>89.088041383582592</c:v>
                </c:pt>
                <c:pt idx="169">
                  <c:v>89.069528429751514</c:v>
                </c:pt>
                <c:pt idx="170">
                  <c:v>89.050678536149462</c:v>
                </c:pt>
                <c:pt idx="171">
                  <c:v>89.031484175904652</c:v>
                </c:pt>
                <c:pt idx="172">
                  <c:v>89.011937434143988</c:v>
                </c:pt>
                <c:pt idx="173">
                  <c:v>88.992029991655841</c:v>
                </c:pt>
                <c:pt idx="174">
                  <c:v>88.971753109325888</c:v>
                </c:pt>
                <c:pt idx="175">
                  <c:v>88.95109761345752</c:v>
                </c:pt>
                <c:pt idx="176">
                  <c:v>88.930053882078525</c:v>
                </c:pt>
                <c:pt idx="177">
                  <c:v>88.90861183232424</c:v>
                </c:pt>
                <c:pt idx="178">
                  <c:v>88.886760908975674</c:v>
                </c:pt>
                <c:pt idx="179">
                  <c:v>88.86449007421507</c:v>
                </c:pt>
                <c:pt idx="180">
                  <c:v>88.841787798649619</c:v>
                </c:pt>
                <c:pt idx="181">
                  <c:v>88.818642053631677</c:v>
                </c:pt>
                <c:pt idx="182">
                  <c:v>88.795040304894258</c:v>
                </c:pt>
                <c:pt idx="183">
                  <c:v>88.7709695074915</c:v>
                </c:pt>
                <c:pt idx="184">
                  <c:v>88.746416102033564</c:v>
                </c:pt>
                <c:pt idx="185">
                  <c:v>88.721366012169327</c:v>
                </c:pt>
                <c:pt idx="186">
                  <c:v>88.695804643266314</c:v>
                </c:pt>
                <c:pt idx="187">
                  <c:v>88.669716882218168</c:v>
                </c:pt>
                <c:pt idx="188">
                  <c:v>88.643087098296192</c:v>
                </c:pt>
                <c:pt idx="189">
                  <c:v>88.615899144943839</c:v>
                </c:pt>
                <c:pt idx="190">
                  <c:v>88.588136362411788</c:v>
                </c:pt>
                <c:pt idx="191">
                  <c:v>88.559781581111011</c:v>
                </c:pt>
                <c:pt idx="192">
                  <c:v>88.530817125562763</c:v>
                </c:pt>
                <c:pt idx="193">
                  <c:v>88.501224818812886</c:v>
                </c:pt>
                <c:pt idx="194">
                  <c:v>88.470985987180981</c:v>
                </c:pt>
                <c:pt idx="195">
                  <c:v>88.440081465202994</c:v>
                </c:pt>
                <c:pt idx="196">
                  <c:v>88.408491600643003</c:v>
                </c:pt>
                <c:pt idx="197">
                  <c:v>88.376196259435417</c:v>
                </c:pt>
                <c:pt idx="198">
                  <c:v>88.343174830434279</c:v>
                </c:pt>
                <c:pt idx="199">
                  <c:v>88.309406229850467</c:v>
                </c:pt>
                <c:pt idx="200">
                  <c:v>88.274868905257932</c:v>
                </c:pt>
                <c:pt idx="201">
                  <c:v>88.239540839069889</c:v>
                </c:pt>
                <c:pt idx="202">
                  <c:v>88.203399551381807</c:v>
                </c:pt>
                <c:pt idx="203">
                  <c:v>88.166422102101663</c:v>
                </c:pt>
                <c:pt idx="204">
                  <c:v>88.128585092286514</c:v>
                </c:pt>
                <c:pt idx="205">
                  <c:v>88.089864664618005</c:v>
                </c:pt>
                <c:pt idx="206">
                  <c:v>88.050236502968289</c:v>
                </c:pt>
                <c:pt idx="207">
                  <c:v>88.009675831004955</c:v>
                </c:pt>
                <c:pt idx="208">
                  <c:v>87.968157409801819</c:v>
                </c:pt>
                <c:pt idx="209">
                  <c:v>87.925655534431286</c:v>
                </c:pt>
                <c:pt idx="210">
                  <c:v>87.882144029522465</c:v>
                </c:pt>
                <c:pt idx="211">
                  <c:v>87.837596243774783</c:v>
                </c:pt>
                <c:pt idx="212">
                  <c:v>87.791985043429307</c:v>
                </c:pt>
                <c:pt idx="213">
                  <c:v>87.745282804703422</c:v>
                </c:pt>
                <c:pt idx="214">
                  <c:v>87.697461405202361</c:v>
                </c:pt>
                <c:pt idx="215">
                  <c:v>87.648492214325401</c:v>
                </c:pt>
                <c:pt idx="216">
                  <c:v>87.598346082691904</c:v>
                </c:pt>
                <c:pt idx="217">
                  <c:v>87.546993330608032</c:v>
                </c:pt>
                <c:pt idx="218">
                  <c:v>87.494403735611698</c:v>
                </c:pt>
                <c:pt idx="219">
                  <c:v>87.440546519118968</c:v>
                </c:pt>
                <c:pt idx="220">
                  <c:v>87.385390332214158</c:v>
                </c:pt>
                <c:pt idx="221">
                  <c:v>87.328903240610671</c:v>
                </c:pt>
                <c:pt idx="222">
                  <c:v>87.271052708819653</c:v>
                </c:pt>
                <c:pt idx="223">
                  <c:v>87.21180558356437</c:v>
                </c:pt>
                <c:pt idx="224">
                  <c:v>87.151128076469746</c:v>
                </c:pt>
                <c:pt idx="225">
                  <c:v>87.08898574606377</c:v>
                </c:pt>
                <c:pt idx="226">
                  <c:v>87.025343479121645</c:v>
                </c:pt>
                <c:pt idx="227">
                  <c:v>86.960165471381416</c:v>
                </c:pt>
                <c:pt idx="228">
                  <c:v>86.893415207666067</c:v>
                </c:pt>
                <c:pt idx="229">
                  <c:v>86.825055441432355</c:v>
                </c:pt>
                <c:pt idx="230">
                  <c:v>86.755048173774583</c:v>
                </c:pt>
                <c:pt idx="231">
                  <c:v>86.683354631909438</c:v>
                </c:pt>
                <c:pt idx="232">
                  <c:v>86.609935247156855</c:v>
                </c:pt>
                <c:pt idx="233">
                  <c:v>86.534749632441674</c:v>
                </c:pt>
                <c:pt idx="234">
                  <c:v>86.457756559330704</c:v>
                </c:pt>
                <c:pt idx="235">
                  <c:v>86.378913934620172</c:v>
                </c:pt>
                <c:pt idx="236">
                  <c:v>86.298178776487617</c:v>
                </c:pt>
                <c:pt idx="237">
                  <c:v>86.21550719021964</c:v>
                </c:pt>
                <c:pt idx="238">
                  <c:v>86.130854343523978</c:v>
                </c:pt>
                <c:pt idx="239">
                  <c:v>86.04417444143651</c:v>
                </c:pt>
                <c:pt idx="240">
                  <c:v>85.955420700826707</c:v>
                </c:pt>
                <c:pt idx="241">
                  <c:v>85.864545324509081</c:v>
                </c:pt>
                <c:pt idx="242">
                  <c:v>85.771499474963619</c:v>
                </c:pt>
                <c:pt idx="243">
                  <c:v>85.6762332476696</c:v>
                </c:pt>
                <c:pt idx="244">
                  <c:v>85.578695644051379</c:v>
                </c:pt>
                <c:pt idx="245">
                  <c:v>85.478834544041675</c:v>
                </c:pt>
                <c:pt idx="246">
                  <c:v>85.376596678260029</c:v>
                </c:pt>
                <c:pt idx="247">
                  <c:v>85.2719275998071</c:v>
                </c:pt>
                <c:pt idx="248">
                  <c:v>85.164771655674897</c:v>
                </c:pt>
                <c:pt idx="249">
                  <c:v>85.055071957772327</c:v>
                </c:pt>
                <c:pt idx="250">
                  <c:v>84.942770353564086</c:v>
                </c:pt>
                <c:pt idx="251">
                  <c:v>84.827807396323237</c:v>
                </c:pt>
                <c:pt idx="252">
                  <c:v>84.710122314997804</c:v>
                </c:pt>
                <c:pt idx="253">
                  <c:v>84.589652983688424</c:v>
                </c:pt>
                <c:pt idx="254">
                  <c:v>84.466335890739742</c:v>
                </c:pt>
                <c:pt idx="255">
                  <c:v>84.340106107444768</c:v>
                </c:pt>
                <c:pt idx="256">
                  <c:v>84.210897256364035</c:v>
                </c:pt>
                <c:pt idx="257">
                  <c:v>84.078641479261421</c:v>
                </c:pt>
                <c:pt idx="258">
                  <c:v>83.943269404660029</c:v>
                </c:pt>
                <c:pt idx="259">
                  <c:v>83.804710115021663</c:v>
                </c:pt>
                <c:pt idx="260">
                  <c:v>83.662891113555673</c:v>
                </c:pt>
                <c:pt idx="261">
                  <c:v>83.517738290664283</c:v>
                </c:pt>
                <c:pt idx="262">
                  <c:v>83.369175890030533</c:v>
                </c:pt>
                <c:pt idx="263">
                  <c:v>83.217126474361635</c:v>
                </c:pt>
                <c:pt idx="264">
                  <c:v>83.06151089079637</c:v>
                </c:pt>
                <c:pt idx="265">
                  <c:v>82.902248235991706</c:v>
                </c:pt>
                <c:pt idx="266">
                  <c:v>82.739255820903594</c:v>
                </c:pt>
                <c:pt idx="267">
                  <c:v>82.57244913527974</c:v>
                </c:pt>
                <c:pt idx="268">
                  <c:v>82.401741811884449</c:v>
                </c:pt>
                <c:pt idx="269">
                  <c:v>82.22704559047834</c:v>
                </c:pt>
                <c:pt idx="270">
                  <c:v>82.048270281579335</c:v>
                </c:pt>
                <c:pt idx="271">
                  <c:v>81.865323730031974</c:v>
                </c:pt>
                <c:pt idx="272">
                  <c:v>81.678111778417914</c:v>
                </c:pt>
                <c:pt idx="273">
                  <c:v>81.486538230343214</c:v>
                </c:pt>
                <c:pt idx="274">
                  <c:v>81.290504813639316</c:v>
                </c:pt>
                <c:pt idx="275">
                  <c:v>81.089911143523295</c:v>
                </c:pt>
                <c:pt idx="276">
                  <c:v>80.884654685760935</c:v>
                </c:pt>
                <c:pt idx="277">
                  <c:v>80.674630719887688</c:v>
                </c:pt>
                <c:pt idx="278">
                  <c:v>80.459732302539265</c:v>
                </c:pt>
                <c:pt idx="279">
                  <c:v>80.239850230955895</c:v>
                </c:pt>
                <c:pt idx="280">
                  <c:v>80.014873006724685</c:v>
                </c:pt>
                <c:pt idx="281">
                  <c:v>79.784686799832983</c:v>
                </c:pt>
                <c:pt idx="282">
                  <c:v>79.549175413108102</c:v>
                </c:pt>
                <c:pt idx="283">
                  <c:v>79.308220247129441</c:v>
                </c:pt>
                <c:pt idx="284">
                  <c:v>79.061700265701987</c:v>
                </c:pt>
                <c:pt idx="285">
                  <c:v>78.809491961987888</c:v>
                </c:pt>
                <c:pt idx="286">
                  <c:v>78.551469325402294</c:v>
                </c:pt>
                <c:pt idx="287">
                  <c:v>78.287503809381661</c:v>
                </c:pt>
                <c:pt idx="288">
                  <c:v>78.017464300150735</c:v>
                </c:pt>
                <c:pt idx="289">
                  <c:v>77.741217086610021</c:v>
                </c:pt>
                <c:pt idx="290">
                  <c:v>77.458625831484056</c:v>
                </c:pt>
                <c:pt idx="291">
                  <c:v>77.169551543877759</c:v>
                </c:pt>
                <c:pt idx="292">
                  <c:v>76.873852553394798</c:v>
                </c:pt>
                <c:pt idx="293">
                  <c:v>76.57138448598559</c:v>
                </c:pt>
                <c:pt idx="294">
                  <c:v>76.262000241698118</c:v>
                </c:pt>
                <c:pt idx="295">
                  <c:v>75.945549974523985</c:v>
                </c:pt>
                <c:pt idx="296">
                  <c:v>75.621881074531998</c:v>
                </c:pt>
                <c:pt idx="297">
                  <c:v>75.290838152503653</c:v>
                </c:pt>
                <c:pt idx="298">
                  <c:v>74.952263027288623</c:v>
                </c:pt>
                <c:pt idx="299">
                  <c:v>74.605994716115944</c:v>
                </c:pt>
                <c:pt idx="300">
                  <c:v>74.251869428106303</c:v>
                </c:pt>
                <c:pt idx="301">
                  <c:v>73.889720561244005</c:v>
                </c:pt>
                <c:pt idx="302">
                  <c:v>73.519378703078388</c:v>
                </c:pt>
                <c:pt idx="303">
                  <c:v>73.140671635442899</c:v>
                </c:pt>
                <c:pt idx="304">
                  <c:v>72.75342434348444</c:v>
                </c:pt>
                <c:pt idx="305">
                  <c:v>72.357459029317369</c:v>
                </c:pt>
                <c:pt idx="306">
                  <c:v>71.952595130620097</c:v>
                </c:pt>
                <c:pt idx="307">
                  <c:v>71.53864934451623</c:v>
                </c:pt>
                <c:pt idx="308">
                  <c:v>71.115435657081008</c:v>
                </c:pt>
                <c:pt idx="309">
                  <c:v>70.682765378838653</c:v>
                </c:pt>
                <c:pt idx="310">
                  <c:v>70.240447186615484</c:v>
                </c:pt>
                <c:pt idx="311">
                  <c:v>69.788287172134503</c:v>
                </c:pt>
                <c:pt idx="312">
                  <c:v>69.326088897736938</c:v>
                </c:pt>
                <c:pt idx="313">
                  <c:v>68.853653459633534</c:v>
                </c:pt>
                <c:pt idx="314">
                  <c:v>68.37077955908363</c:v>
                </c:pt>
                <c:pt idx="315">
                  <c:v>67.877263581919649</c:v>
                </c:pt>
                <c:pt idx="316">
                  <c:v>67.372899686822208</c:v>
                </c:pt>
                <c:pt idx="317">
                  <c:v>66.85747990276478</c:v>
                </c:pt>
                <c:pt idx="318">
                  <c:v>66.330794236033853</c:v>
                </c:pt>
                <c:pt idx="319">
                  <c:v>65.792630787238394</c:v>
                </c:pt>
                <c:pt idx="320">
                  <c:v>65.242775878701153</c:v>
                </c:pt>
                <c:pt idx="321">
                  <c:v>64.681014192621561</c:v>
                </c:pt>
                <c:pt idx="322">
                  <c:v>64.107128920385662</c:v>
                </c:pt>
                <c:pt idx="323">
                  <c:v>63.520901923370268</c:v>
                </c:pt>
                <c:pt idx="324">
                  <c:v>62.922113905568814</c:v>
                </c:pt>
                <c:pt idx="325">
                  <c:v>62.310544598343128</c:v>
                </c:pt>
                <c:pt idx="326">
                  <c:v>61.685972957556586</c:v>
                </c:pt>
                <c:pt idx="327">
                  <c:v>61.048177373309336</c:v>
                </c:pt>
                <c:pt idx="328">
                  <c:v>60.396935892455531</c:v>
                </c:pt>
                <c:pt idx="329">
                  <c:v>59.73202645400746</c:v>
                </c:pt>
                <c:pt idx="330">
                  <c:v>59.053227137498205</c:v>
                </c:pt>
                <c:pt idx="331">
                  <c:v>58.360316424273371</c:v>
                </c:pt>
                <c:pt idx="332">
                  <c:v>57.653073471632766</c:v>
                </c:pt>
                <c:pt idx="333">
                  <c:v>56.931278399634287</c:v>
                </c:pt>
                <c:pt idx="334">
                  <c:v>56.194712590301322</c:v>
                </c:pt>
                <c:pt idx="335">
                  <c:v>55.443158998849071</c:v>
                </c:pt>
                <c:pt idx="336">
                  <c:v>54.676402476460872</c:v>
                </c:pt>
                <c:pt idx="337">
                  <c:v>53.894230104001757</c:v>
                </c:pt>
                <c:pt idx="338">
                  <c:v>53.096431535955304</c:v>
                </c:pt>
                <c:pt idx="339">
                  <c:v>52.282799353718403</c:v>
                </c:pt>
                <c:pt idx="340">
                  <c:v>51.453129427266148</c:v>
                </c:pt>
                <c:pt idx="341">
                  <c:v>50.607221284037429</c:v>
                </c:pt>
                <c:pt idx="342">
                  <c:v>49.744878483758988</c:v>
                </c:pt>
                <c:pt idx="343">
                  <c:v>48.865908997768656</c:v>
                </c:pt>
                <c:pt idx="344">
                  <c:v>47.970125591238968</c:v>
                </c:pt>
                <c:pt idx="345">
                  <c:v>47.05734620655906</c:v>
                </c:pt>
                <c:pt idx="346">
                  <c:v>46.127394345976484</c:v>
                </c:pt>
                <c:pt idx="347">
                  <c:v>45.1800994514604</c:v>
                </c:pt>
                <c:pt idx="348">
                  <c:v>44.215297279596292</c:v>
                </c:pt>
                <c:pt idx="349">
                  <c:v>43.232830269212073</c:v>
                </c:pt>
                <c:pt idx="350">
                  <c:v>42.232547899302872</c:v>
                </c:pt>
                <c:pt idx="351">
                  <c:v>41.214307034729934</c:v>
                </c:pt>
                <c:pt idx="352">
                  <c:v>40.177972257088619</c:v>
                </c:pt>
                <c:pt idx="353">
                  <c:v>39.123416178078173</c:v>
                </c:pt>
                <c:pt idx="354">
                  <c:v>38.050519732676179</c:v>
                </c:pt>
                <c:pt idx="355">
                  <c:v>36.959172449421878</c:v>
                </c:pt>
                <c:pt idx="356">
                  <c:v>35.849272695131063</c:v>
                </c:pt>
                <c:pt idx="357">
                  <c:v>34.720727891445627</c:v>
                </c:pt>
                <c:pt idx="358">
                  <c:v>33.573454700712546</c:v>
                </c:pt>
                <c:pt idx="359">
                  <c:v>32.407379178840671</c:v>
                </c:pt>
                <c:pt idx="360">
                  <c:v>31.222436892964499</c:v>
                </c:pt>
                <c:pt idx="361">
                  <c:v>30.018573001990514</c:v>
                </c:pt>
                <c:pt idx="362">
                  <c:v>28.795742298359396</c:v>
                </c:pt>
                <c:pt idx="363">
                  <c:v>27.55390920970471</c:v>
                </c:pt>
                <c:pt idx="364">
                  <c:v>26.29304775944393</c:v>
                </c:pt>
                <c:pt idx="365">
                  <c:v>25.013141485759718</c:v>
                </c:pt>
                <c:pt idx="366">
                  <c:v>23.714183318876994</c:v>
                </c:pt>
                <c:pt idx="367">
                  <c:v>22.396175417055574</c:v>
                </c:pt>
                <c:pt idx="368">
                  <c:v>21.059128962227323</c:v>
                </c:pt>
                <c:pt idx="369">
                  <c:v>19.70306391679048</c:v>
                </c:pt>
                <c:pt idx="370">
                  <c:v>18.328008743651491</c:v>
                </c:pt>
                <c:pt idx="371">
                  <c:v>16.9340000922206</c:v>
                </c:pt>
                <c:pt idx="372">
                  <c:v>15.521082453691582</c:v>
                </c:pt>
                <c:pt idx="373">
                  <c:v>14.089307789570309</c:v>
                </c:pt>
                <c:pt idx="374">
                  <c:v>12.638735138049192</c:v>
                </c:pt>
                <c:pt idx="375">
                  <c:v>11.169430203455784</c:v>
                </c:pt>
                <c:pt idx="376">
                  <c:v>9.681464934619461</c:v>
                </c:pt>
                <c:pt idx="377">
                  <c:v>8.1749170985972306</c:v>
                </c:pt>
                <c:pt idx="378">
                  <c:v>6.6498698567789374</c:v>
                </c:pt>
                <c:pt idx="379">
                  <c:v>5.1064113509240086</c:v>
                </c:pt>
                <c:pt idx="380">
                  <c:v>3.5446343072069331</c:v>
                </c:pt>
                <c:pt idx="381">
                  <c:v>1.9646356668049469</c:v>
                </c:pt>
                <c:pt idx="382">
                  <c:v>0.36651625199510512</c:v>
                </c:pt>
                <c:pt idx="383">
                  <c:v>-1.2496195228814264</c:v>
                </c:pt>
                <c:pt idx="384">
                  <c:v>-2.8836638859081321</c:v>
                </c:pt>
                <c:pt idx="385">
                  <c:v>-4.5355058775443249</c:v>
                </c:pt>
                <c:pt idx="386">
                  <c:v>-6.2050314458259406</c:v>
                </c:pt>
                <c:pt idx="387">
                  <c:v>-7.8921234564037226</c:v>
                </c:pt>
                <c:pt idx="388">
                  <c:v>-9.5966616068632078</c:v>
                </c:pt>
                <c:pt idx="389">
                  <c:v>-11.318522234706203</c:v>
                </c:pt>
                <c:pt idx="390">
                  <c:v>-13.057578008322311</c:v>
                </c:pt>
                <c:pt idx="391">
                  <c:v>-14.81369749036088</c:v>
                </c:pt>
                <c:pt idx="392">
                  <c:v>-16.586744562989967</c:v>
                </c:pt>
                <c:pt idx="393">
                  <c:v>-18.376577704774959</c:v>
                </c:pt>
                <c:pt idx="394">
                  <c:v>-20.183049109198841</c:v>
                </c:pt>
                <c:pt idx="395">
                  <c:v>-22.006003635294345</c:v>
                </c:pt>
                <c:pt idx="396">
                  <c:v>-23.845277581444083</c:v>
                </c:pt>
                <c:pt idx="397">
                  <c:v>-25.700697274181707</c:v>
                </c:pt>
                <c:pt idx="398">
                  <c:v>-27.572077464817681</c:v>
                </c:pt>
                <c:pt idx="399">
                  <c:v>-29.459219527957938</c:v>
                </c:pt>
                <c:pt idx="400">
                  <c:v>-31.361909457556205</c:v>
                </c:pt>
                <c:pt idx="401">
                  <c:v>-33.279915658033246</c:v>
                </c:pt>
                <c:pt idx="402">
                  <c:v>-35.212986530338831</c:v>
                </c:pt>
                <c:pt idx="403">
                  <c:v>-37.160847855585835</c:v>
                </c:pt>
                <c:pt idx="404">
                  <c:v>-39.123199982194983</c:v>
                </c:pt>
                <c:pt idx="405">
                  <c:v>-41.099714826306105</c:v>
                </c:pt>
                <c:pt idx="406">
                  <c:v>-43.090032699646741</c:v>
                </c:pt>
                <c:pt idx="407">
                  <c:v>-45.093758984051263</c:v>
                </c:pt>
                <c:pt idx="408">
                  <c:v>-47.11046067748137</c:v>
                </c:pt>
                <c:pt idx="409">
                  <c:v>-49.139662842551274</c:v>
                </c:pt>
                <c:pt idx="410">
                  <c:v>-51.180844995299346</c:v>
                </c:pt>
                <c:pt idx="411">
                  <c:v>-53.233437479064982</c:v>
                </c:pt>
                <c:pt idx="412">
                  <c:v>-55.2968178757109</c:v>
                </c:pt>
                <c:pt idx="413">
                  <c:v>-57.370307513928019</c:v>
                </c:pt>
                <c:pt idx="414">
                  <c:v>-59.453168141664719</c:v>
                </c:pt>
                <c:pt idx="415">
                  <c:v>-61.544598836620125</c:v>
                </c:pt>
                <c:pt idx="416">
                  <c:v>-63.643733234814796</c:v>
                </c:pt>
                <c:pt idx="417">
                  <c:v>-65.74963716220384</c:v>
                </c:pt>
                <c:pt idx="418">
                  <c:v>-67.861306757673646</c:v>
                </c:pt>
                <c:pt idx="419">
                  <c:v>-69.977667177168584</c:v>
                </c:pt>
                <c:pt idx="420">
                  <c:v>-72.097571967715552</c:v>
                </c:pt>
                <c:pt idx="421">
                  <c:v>-74.219803196416635</c:v>
                </c:pt>
                <c:pt idx="422">
                  <c:v>-76.34307241270065</c:v>
                </c:pt>
                <c:pt idx="423">
                  <c:v>-78.466022512154552</c:v>
                </c:pt>
                <c:pt idx="424">
                  <c:v>-80.58723055689768</c:v>
                </c:pt>
                <c:pt idx="425">
                  <c:v>-82.705211590910992</c:v>
                </c:pt>
                <c:pt idx="426">
                  <c:v>-84.818423469151327</c:v>
                </c:pt>
                <c:pt idx="427">
                  <c:v>-86.925272697131447</c:v>
                </c:pt>
                <c:pt idx="428">
                  <c:v>-89.024121253555194</c:v>
                </c:pt>
                <c:pt idx="429">
                  <c:v>-91.113294343341479</c:v>
                </c:pt>
                <c:pt idx="430">
                  <c:v>-93.191089002814422</c:v>
                </c:pt>
                <c:pt idx="431">
                  <c:v>-95.255783454143426</c:v>
                </c:pt>
                <c:pt idx="432">
                  <c:v>-97.305647083146567</c:v>
                </c:pt>
                <c:pt idx="433">
                  <c:v>-99.338950894569138</c:v>
                </c:pt>
                <c:pt idx="434">
                  <c:v>-101.35397828266797</c:v>
                </c:pt>
                <c:pt idx="435">
                  <c:v>-103.34903594335442</c:v>
                </c:pt>
                <c:pt idx="436">
                  <c:v>-105.32246474771819</c:v>
                </c:pt>
                <c:pt idx="437">
                  <c:v>-107.27265039589122</c:v>
                </c:pt>
                <c:pt idx="438">
                  <c:v>-109.19803367496074</c:v>
                </c:pt>
                <c:pt idx="439">
                  <c:v>-111.09712015478124</c:v>
                </c:pt>
                <c:pt idx="440">
                  <c:v>-112.96848917058539</c:v>
                </c:pt>
                <c:pt idx="441">
                  <c:v>-114.81080196056257</c:v>
                </c:pt>
                <c:pt idx="442">
                  <c:v>-116.62280884912177</c:v>
                </c:pt>
                <c:pt idx="443">
                  <c:v>-118.40335539144438</c:v>
                </c:pt>
                <c:pt idx="444">
                  <c:v>-120.15138742101847</c:v>
                </c:pt>
                <c:pt idx="445">
                  <c:v>-121.86595496813661</c:v>
                </c:pt>
                <c:pt idx="446">
                  <c:v>-123.54621504280988</c:v>
                </c:pt>
                <c:pt idx="447">
                  <c:v>-125.19143329938311</c:v>
                </c:pt>
                <c:pt idx="448">
                  <c:v>-126.80098462156013</c:v>
                </c:pt>
                <c:pt idx="449">
                  <c:v>-128.37435268511842</c:v>
                </c:pt>
                <c:pt idx="450">
                  <c:v>-129.91112857089325</c:v>
                </c:pt>
                <c:pt idx="451">
                  <c:v>-131.41100851250764</c:v>
                </c:pt>
                <c:pt idx="452">
                  <c:v>-132.87379087185093</c:v>
                </c:pt>
                <c:pt idx="453">
                  <c:v>-134.29937244055623</c:v>
                </c:pt>
                <c:pt idx="454">
                  <c:v>-135.68774416797586</c:v>
                </c:pt>
                <c:pt idx="455">
                  <c:v>-137.03898641575387</c:v>
                </c:pt>
                <c:pt idx="456">
                  <c:v>-138.35326383641038</c:v>
                </c:pt>
                <c:pt idx="457">
                  <c:v>-139.63081996882647</c:v>
                </c:pt>
                <c:pt idx="458">
                  <c:v>-140.87197163753106</c:v>
                </c:pt>
                <c:pt idx="459">
                  <c:v>-142.07710323566906</c:v>
                </c:pt>
                <c:pt idx="460">
                  <c:v>-143.24666096383305</c:v>
                </c:pt>
                <c:pt idx="461">
                  <c:v>-144.3811470888628</c:v>
                </c:pt>
                <c:pt idx="462">
                  <c:v>-145.48111427858655</c:v>
                </c:pt>
                <c:pt idx="463">
                  <c:v>-146.54716006045115</c:v>
                </c:pt>
                <c:pt idx="464">
                  <c:v>-147.57992144430614</c:v>
                </c:pt>
                <c:pt idx="465">
                  <c:v>-148.58006974236267</c:v>
                </c:pt>
                <c:pt idx="466">
                  <c:v>-149.54830561263904</c:v>
                </c:pt>
                <c:pt idx="467">
                  <c:v>-150.48535434610298</c:v>
                </c:pt>
                <c:pt idx="468">
                  <c:v>-151.39196141222502</c:v>
                </c:pt>
                <c:pt idx="469">
                  <c:v>-152.26888827280894</c:v>
                </c:pt>
                <c:pt idx="470">
                  <c:v>-153.11690846969893</c:v>
                </c:pt>
                <c:pt idx="471">
                  <c:v>-153.93680398831287</c:v>
                </c:pt>
                <c:pt idx="472">
                  <c:v>-154.72936189580622</c:v>
                </c:pt>
                <c:pt idx="473">
                  <c:v>-155.49537125006628</c:v>
                </c:pt>
                <c:pt idx="474">
                  <c:v>-156.23562027354856</c:v>
                </c:pt>
                <c:pt idx="475">
                  <c:v>-156.95089378422313</c:v>
                </c:pt>
                <c:pt idx="476">
                  <c:v>-157.64197087447292</c:v>
                </c:pt>
                <c:pt idx="477">
                  <c:v>-158.30962282772524</c:v>
                </c:pt>
                <c:pt idx="478">
                  <c:v>-158.95461126176792</c:v>
                </c:pt>
                <c:pt idx="479">
                  <c:v>-159.57768648713963</c:v>
                </c:pt>
                <c:pt idx="480">
                  <c:v>-160.1795860686141</c:v>
                </c:pt>
                <c:pt idx="481">
                  <c:v>-160.76103357760039</c:v>
                </c:pt>
                <c:pt idx="482">
                  <c:v>-161.32273752323505</c:v>
                </c:pt>
                <c:pt idx="483">
                  <c:v>-161.86539045001368</c:v>
                </c:pt>
                <c:pt idx="484">
                  <c:v>-162.3896681899885</c:v>
                </c:pt>
                <c:pt idx="485">
                  <c:v>-162.89622925781018</c:v>
                </c:pt>
                <c:pt idx="486">
                  <c:v>-163.38571437722675</c:v>
                </c:pt>
                <c:pt idx="487">
                  <c:v>-163.85874612802817</c:v>
                </c:pt>
                <c:pt idx="488">
                  <c:v>-164.31592870285075</c:v>
                </c:pt>
                <c:pt idx="489">
                  <c:v>-164.75784776371117</c:v>
                </c:pt>
                <c:pt idx="490">
                  <c:v>-165.18507038861864</c:v>
                </c:pt>
                <c:pt idx="491">
                  <c:v>-165.59814509911146</c:v>
                </c:pt>
                <c:pt idx="492">
                  <c:v>-165.99760196007091</c:v>
                </c:pt>
                <c:pt idx="493">
                  <c:v>-166.38395274366988</c:v>
                </c:pt>
                <c:pt idx="494">
                  <c:v>-166.75769114983035</c:v>
                </c:pt>
                <c:pt idx="495">
                  <c:v>-167.11929307606579</c:v>
                </c:pt>
                <c:pt idx="496">
                  <c:v>-167.46921693007755</c:v>
                </c:pt>
                <c:pt idx="497">
                  <c:v>-167.80790397896362</c:v>
                </c:pt>
                <c:pt idx="498">
                  <c:v>-168.13577872937333</c:v>
                </c:pt>
                <c:pt idx="499">
                  <c:v>-168.45324933338566</c:v>
                </c:pt>
                <c:pt idx="500">
                  <c:v>-168.76070801534257</c:v>
                </c:pt>
                <c:pt idx="501">
                  <c:v>-169.05853151527597</c:v>
                </c:pt>
                <c:pt idx="502">
                  <c:v>-169.34708154497596</c:v>
                </c:pt>
                <c:pt idx="503">
                  <c:v>-169.6267052531235</c:v>
                </c:pt>
                <c:pt idx="504">
                  <c:v>-169.89773569627019</c:v>
                </c:pt>
                <c:pt idx="505">
                  <c:v>-170.16049231278674</c:v>
                </c:pt>
                <c:pt idx="506">
                  <c:v>-170.41528139721984</c:v>
                </c:pt>
                <c:pt idx="507">
                  <c:v>-170.66239657278831</c:v>
                </c:pt>
                <c:pt idx="508">
                  <c:v>-170.90211926003136</c:v>
                </c:pt>
                <c:pt idx="509">
                  <c:v>-171.13471913987138</c:v>
                </c:pt>
                <c:pt idx="510">
                  <c:v>-171.3604546095915</c:v>
                </c:pt>
                <c:pt idx="511">
                  <c:v>-171.57957323044593</c:v>
                </c:pt>
                <c:pt idx="512">
                  <c:v>-171.79231216581604</c:v>
                </c:pt>
                <c:pt idx="513">
                  <c:v>-171.99889860901038</c:v>
                </c:pt>
                <c:pt idx="514">
                  <c:v>-172.19955019996729</c:v>
                </c:pt>
                <c:pt idx="515">
                  <c:v>-172.39447543027094</c:v>
                </c:pt>
                <c:pt idx="516">
                  <c:v>-172.58387403602353</c:v>
                </c:pt>
                <c:pt idx="517">
                  <c:v>-172.76793737823718</c:v>
                </c:pt>
                <c:pt idx="518">
                  <c:v>-172.94684881051609</c:v>
                </c:pt>
                <c:pt idx="519">
                  <c:v>-173.12078403389444</c:v>
                </c:pt>
                <c:pt idx="520">
                  <c:v>-173.28991143878326</c:v>
                </c:pt>
                <c:pt idx="521">
                  <c:v>-173.45439243404397</c:v>
                </c:pt>
                <c:pt idx="522">
                  <c:v>-173.61438176328292</c:v>
                </c:pt>
                <c:pt idx="523">
                  <c:v>-173.77002780850344</c:v>
                </c:pt>
                <c:pt idx="524">
                  <c:v>-173.92147288131403</c:v>
                </c:pt>
                <c:pt idx="525">
                  <c:v>-174.06885350191536</c:v>
                </c:pt>
                <c:pt idx="526">
                  <c:v>-174.21230066613785</c:v>
                </c:pt>
                <c:pt idx="527">
                  <c:v>-174.35194010081764</c:v>
                </c:pt>
                <c:pt idx="528">
                  <c:v>-174.48789250782878</c:v>
                </c:pt>
                <c:pt idx="529">
                  <c:v>-174.62027379710383</c:v>
                </c:pt>
                <c:pt idx="530">
                  <c:v>-174.74919530898728</c:v>
                </c:pt>
                <c:pt idx="531">
                  <c:v>-174.87476402628144</c:v>
                </c:pt>
                <c:pt idx="532">
                  <c:v>-174.99708277634315</c:v>
                </c:pt>
                <c:pt idx="533">
                  <c:v>-175.11625042360083</c:v>
                </c:pt>
                <c:pt idx="534">
                  <c:v>-175.23236205285627</c:v>
                </c:pt>
                <c:pt idx="535">
                  <c:v>-175.34550914373773</c:v>
                </c:pt>
                <c:pt idx="536">
                  <c:v>-175.45577973666573</c:v>
                </c:pt>
                <c:pt idx="537">
                  <c:v>-175.56325859069216</c:v>
                </c:pt>
                <c:pt idx="538">
                  <c:v>-175.66802733356022</c:v>
                </c:pt>
                <c:pt idx="539">
                  <c:v>-175.77016460433182</c:v>
                </c:pt>
                <c:pt idx="540">
                  <c:v>-175.8697461889179</c:v>
                </c:pt>
                <c:pt idx="541">
                  <c:v>-175.96684514883901</c:v>
                </c:pt>
              </c:numCache>
            </c:numRef>
          </c:yVal>
          <c:smooth val="1"/>
          <c:extLst>
            <c:ext xmlns:c16="http://schemas.microsoft.com/office/drawing/2014/chart" uri="{C3380CC4-5D6E-409C-BE32-E72D297353CC}">
              <c16:uniqueId val="{0000000B-2470-421C-8EF3-DF4BAC2DF802}"/>
            </c:ext>
          </c:extLst>
        </c:ser>
        <c:dLbls>
          <c:showLegendKey val="0"/>
          <c:showVal val="0"/>
          <c:showCatName val="0"/>
          <c:showSerName val="0"/>
          <c:showPercent val="0"/>
          <c:showBubbleSize val="0"/>
        </c:dLbls>
        <c:axId val="144838016"/>
        <c:axId val="144836096"/>
      </c:scatterChart>
      <c:valAx>
        <c:axId val="144369152"/>
        <c:scaling>
          <c:logBase val="10"/>
          <c:orientation val="minMax"/>
          <c:max val="2000000"/>
          <c:min val="1"/>
        </c:scaling>
        <c:delete val="0"/>
        <c:axPos val="b"/>
        <c:majorGridlines/>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144371072"/>
        <c:crosses val="autoZero"/>
        <c:crossBetween val="midCat"/>
      </c:valAx>
      <c:valAx>
        <c:axId val="144371072"/>
        <c:scaling>
          <c:orientation val="minMax"/>
          <c:max val="60"/>
          <c:min val="-6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144369152"/>
        <c:crosses val="autoZero"/>
        <c:crossBetween val="midCat"/>
        <c:majorUnit val="20"/>
        <c:minorUnit val="10"/>
      </c:valAx>
      <c:valAx>
        <c:axId val="144836096"/>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144838016"/>
        <c:crosses val="max"/>
        <c:crossBetween val="midCat"/>
        <c:majorUnit val="90"/>
        <c:minorUnit val="45"/>
      </c:valAx>
      <c:valAx>
        <c:axId val="144838016"/>
        <c:scaling>
          <c:logBase val="10"/>
          <c:orientation val="minMax"/>
        </c:scaling>
        <c:delete val="1"/>
        <c:axPos val="b"/>
        <c:numFmt formatCode="0.00" sourceLinked="1"/>
        <c:majorTickMark val="out"/>
        <c:minorTickMark val="none"/>
        <c:tickLblPos val="nextTo"/>
        <c:crossAx val="144836096"/>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Eff_vs_IOUT!$AT$7:$AT$157</c:f>
              <c:numCache>
                <c:formatCode>General</c:formatCode>
                <c:ptCount val="151"/>
                <c:pt idx="0">
                  <c:v>0</c:v>
                </c:pt>
                <c:pt idx="1">
                  <c:v>30.502613805840728</c:v>
                </c:pt>
                <c:pt idx="2">
                  <c:v>45.372976852783282</c:v>
                </c:pt>
                <c:pt idx="3">
                  <c:v>54.175050123728575</c:v>
                </c:pt>
                <c:pt idx="4">
                  <c:v>59.99291338392306</c:v>
                </c:pt>
                <c:pt idx="5">
                  <c:v>64.123627332371953</c:v>
                </c:pt>
                <c:pt idx="6">
                  <c:v>67.207754258435088</c:v>
                </c:pt>
                <c:pt idx="7">
                  <c:v>69.598044416511186</c:v>
                </c:pt>
                <c:pt idx="8">
                  <c:v>71.504752794868637</c:v>
                </c:pt>
                <c:pt idx="9">
                  <c:v>73.060988173163409</c:v>
                </c:pt>
                <c:pt idx="10">
                  <c:v>74.355121175919308</c:v>
                </c:pt>
                <c:pt idx="11">
                  <c:v>75.448121958263741</c:v>
                </c:pt>
                <c:pt idx="12">
                  <c:v>76.383415318142994</c:v>
                </c:pt>
                <c:pt idx="13">
                  <c:v>77.192767892758468</c:v>
                </c:pt>
                <c:pt idx="14">
                  <c:v>77.899954041812606</c:v>
                </c:pt>
                <c:pt idx="15">
                  <c:v>78.523120361305232</c:v>
                </c:pt>
                <c:pt idx="16">
                  <c:v>79.076357683183247</c:v>
                </c:pt>
                <c:pt idx="17">
                  <c:v>79.570774055236456</c:v>
                </c:pt>
                <c:pt idx="18">
                  <c:v>80.015244221213834</c:v>
                </c:pt>
                <c:pt idx="19">
                  <c:v>80.416943943051365</c:v>
                </c:pt>
                <c:pt idx="20">
                  <c:v>80.781737933513682</c:v>
                </c:pt>
                <c:pt idx="21">
                  <c:v>81.11446614542713</c:v>
                </c:pt>
                <c:pt idx="22">
                  <c:v>81.419158186787868</c:v>
                </c:pt>
                <c:pt idx="23">
                  <c:v>81.699196067071213</c:v>
                </c:pt>
                <c:pt idx="24">
                  <c:v>81.957439239281655</c:v>
                </c:pt>
                <c:pt idx="25">
                  <c:v>82.196321749377802</c:v>
                </c:pt>
                <c:pt idx="26">
                  <c:v>82.417928491386633</c:v>
                </c:pt>
                <c:pt idx="27">
                  <c:v>82.62405562928916</c:v>
                </c:pt>
                <c:pt idx="28">
                  <c:v>82.816258892623836</c:v>
                </c:pt>
                <c:pt idx="29">
                  <c:v>82.995892493017251</c:v>
                </c:pt>
                <c:pt idx="30">
                  <c:v>83.164140719885452</c:v>
                </c:pt>
                <c:pt idx="31">
                  <c:v>83.32204377304943</c:v>
                </c:pt>
                <c:pt idx="32">
                  <c:v>83.470519022388231</c:v>
                </c:pt>
                <c:pt idx="33">
                  <c:v>83.61037861183253</c:v>
                </c:pt>
                <c:pt idx="34">
                  <c:v>83.742344120578849</c:v>
                </c:pt>
                <c:pt idx="35">
                  <c:v>83.867058839841349</c:v>
                </c:pt>
                <c:pt idx="36">
                  <c:v>83.985098105599818</c:v>
                </c:pt>
                <c:pt idx="37">
                  <c:v>84.096978037212807</c:v>
                </c:pt>
                <c:pt idx="38">
                  <c:v>84.203162961610261</c:v>
                </c:pt>
                <c:pt idx="39">
                  <c:v>84.304071748062853</c:v>
                </c:pt>
                <c:pt idx="40">
                  <c:v>84.25734750766658</c:v>
                </c:pt>
                <c:pt idx="41">
                  <c:v>84.346015398002862</c:v>
                </c:pt>
                <c:pt idx="42">
                  <c:v>84.430348254556165</c:v>
                </c:pt>
                <c:pt idx="43">
                  <c:v>84.510635559953926</c:v>
                </c:pt>
                <c:pt idx="44">
                  <c:v>84.58714158903598</c:v>
                </c:pt>
                <c:pt idx="45">
                  <c:v>84.660108094221329</c:v>
                </c:pt>
                <c:pt idx="46">
                  <c:v>84.729756654752478</c:v>
                </c:pt>
                <c:pt idx="47">
                  <c:v>84.796290737897479</c:v>
                </c:pt>
                <c:pt idx="48">
                  <c:v>84.859897512488303</c:v>
                </c:pt>
                <c:pt idx="49">
                  <c:v>84.920749448831273</c:v>
                </c:pt>
                <c:pt idx="50">
                  <c:v>84.979005733783083</c:v>
                </c:pt>
                <c:pt idx="51">
                  <c:v>85.034813525434373</c:v>
                </c:pt>
                <c:pt idx="52">
                  <c:v>85.088309068216901</c:v>
                </c:pt>
                <c:pt idx="53">
                  <c:v>85.139618686220075</c:v>
                </c:pt>
                <c:pt idx="54">
                  <c:v>85.188859669957637</c:v>
                </c:pt>
                <c:pt idx="55">
                  <c:v>85.236141069684962</c:v>
                </c:pt>
                <c:pt idx="56">
                  <c:v>85.281564406557308</c:v>
                </c:pt>
                <c:pt idx="57">
                  <c:v>85.325224311388041</c:v>
                </c:pt>
                <c:pt idx="58">
                  <c:v>85.367209099461903</c:v>
                </c:pt>
                <c:pt idx="59">
                  <c:v>85.407601288749746</c:v>
                </c:pt>
                <c:pt idx="60">
                  <c:v>85.446478067920822</c:v>
                </c:pt>
                <c:pt idx="61">
                  <c:v>85.483911719737208</c:v>
                </c:pt>
                <c:pt idx="62">
                  <c:v>85.519970004714381</c:v>
                </c:pt>
                <c:pt idx="63">
                  <c:v>85.554716509332366</c:v>
                </c:pt>
                <c:pt idx="64">
                  <c:v>85.588210962559899</c:v>
                </c:pt>
                <c:pt idx="65">
                  <c:v>85.620509524006039</c:v>
                </c:pt>
                <c:pt idx="66">
                  <c:v>85.651665046622313</c:v>
                </c:pt>
                <c:pt idx="67">
                  <c:v>85.681727316540076</c:v>
                </c:pt>
                <c:pt idx="68">
                  <c:v>85.710743272331086</c:v>
                </c:pt>
                <c:pt idx="69">
                  <c:v>85.738757205722465</c:v>
                </c:pt>
                <c:pt idx="70">
                  <c:v>85.765810945570109</c:v>
                </c:pt>
                <c:pt idx="71">
                  <c:v>85.791944026697905</c:v>
                </c:pt>
                <c:pt idx="72">
                  <c:v>85.817193845035149</c:v>
                </c:pt>
                <c:pt idx="73">
                  <c:v>85.841595800332286</c:v>
                </c:pt>
                <c:pt idx="74">
                  <c:v>85.865183427600172</c:v>
                </c:pt>
                <c:pt idx="75">
                  <c:v>85.88798851829857</c:v>
                </c:pt>
                <c:pt idx="76">
                  <c:v>85.910041232194814</c:v>
                </c:pt>
                <c:pt idx="77">
                  <c:v>85.931370200719954</c:v>
                </c:pt>
                <c:pt idx="78">
                  <c:v>85.952002622566852</c:v>
                </c:pt>
                <c:pt idx="79">
                  <c:v>85.971964352201383</c:v>
                </c:pt>
                <c:pt idx="80">
                  <c:v>85.991279981892006</c:v>
                </c:pt>
                <c:pt idx="81">
                  <c:v>86.009972917805001</c:v>
                </c:pt>
                <c:pt idx="82">
                  <c:v>86.02806545065998</c:v>
                </c:pt>
                <c:pt idx="83">
                  <c:v>86.045578821394358</c:v>
                </c:pt>
                <c:pt idx="84">
                  <c:v>86.062533282242981</c:v>
                </c:pt>
                <c:pt idx="85">
                  <c:v>86.078948153602298</c:v>
                </c:pt>
                <c:pt idx="86">
                  <c:v>86.094841877014588</c:v>
                </c:pt>
                <c:pt idx="87">
                  <c:v>86.110232064577716</c:v>
                </c:pt>
                <c:pt idx="88">
                  <c:v>86.125135545058257</c:v>
                </c:pt>
                <c:pt idx="89">
                  <c:v>86.139568406962368</c:v>
                </c:pt>
                <c:pt idx="90">
                  <c:v>86.153546038795625</c:v>
                </c:pt>
                <c:pt idx="91">
                  <c:v>86.16708316672343</c:v>
                </c:pt>
                <c:pt idx="92">
                  <c:v>86.180193889826199</c:v>
                </c:pt>
                <c:pt idx="93">
                  <c:v>86.192891713126258</c:v>
                </c:pt>
                <c:pt idx="94">
                  <c:v>86.205189578549181</c:v>
                </c:pt>
                <c:pt idx="95">
                  <c:v>86.217099893968694</c:v>
                </c:pt>
                <c:pt idx="96">
                  <c:v>86.228634560472244</c:v>
                </c:pt>
                <c:pt idx="97">
                  <c:v>86.239804997972868</c:v>
                </c:pt>
                <c:pt idx="98">
                  <c:v>86.250622169283545</c:v>
                </c:pt>
                <c:pt idx="99">
                  <c:v>86.261096602760347</c:v>
                </c:pt>
                <c:pt idx="100">
                  <c:v>86.271238413612807</c:v>
                </c:pt>
                <c:pt idx="101">
                  <c:v>86.28105732397222</c:v>
                </c:pt>
                <c:pt idx="102">
                  <c:v>86.290562681801291</c:v>
                </c:pt>
                <c:pt idx="103">
                  <c:v>86.29976347872271</c:v>
                </c:pt>
                <c:pt idx="104">
                  <c:v>86.308668366837878</c:v>
                </c:pt>
                <c:pt idx="105">
                  <c:v>86.317285674601933</c:v>
                </c:pt>
                <c:pt idx="106">
                  <c:v>86.32562342181636</c:v>
                </c:pt>
                <c:pt idx="107">
                  <c:v>86.333689333795789</c:v>
                </c:pt>
                <c:pt idx="108">
                  <c:v>86.341490854761688</c:v>
                </c:pt>
                <c:pt idx="109">
                  <c:v>86.349035160511477</c:v>
                </c:pt>
                <c:pt idx="110">
                  <c:v>86.356329170408713</c:v>
                </c:pt>
                <c:pt idx="111">
                  <c:v>86.363379558736256</c:v>
                </c:pt>
                <c:pt idx="112">
                  <c:v>86.370192765451421</c:v>
                </c:pt>
                <c:pt idx="113">
                  <c:v>86.37677500637983</c:v>
                </c:pt>
                <c:pt idx="114">
                  <c:v>86.383132282881633</c:v>
                </c:pt>
                <c:pt idx="115">
                  <c:v>86.389270391021725</c:v>
                </c:pt>
                <c:pt idx="116">
                  <c:v>86.395194930273533</c:v>
                </c:pt>
                <c:pt idx="117">
                  <c:v>86.400911311783574</c:v>
                </c:pt>
                <c:pt idx="118">
                  <c:v>86.406424766222614</c:v>
                </c:pt>
                <c:pt idx="119">
                  <c:v>86.411740351247474</c:v>
                </c:pt>
                <c:pt idx="120">
                  <c:v>86.416862958595317</c:v>
                </c:pt>
                <c:pt idx="121">
                  <c:v>86.421797320832098</c:v>
                </c:pt>
                <c:pt idx="122">
                  <c:v>86.426548017773911</c:v>
                </c:pt>
                <c:pt idx="123">
                  <c:v>86.431119482600309</c:v>
                </c:pt>
                <c:pt idx="124">
                  <c:v>86.435516007676028</c:v>
                </c:pt>
                <c:pt idx="125">
                  <c:v>86.439741750097895</c:v>
                </c:pt>
                <c:pt idx="126">
                  <c:v>86.443800736981245</c:v>
                </c:pt>
                <c:pt idx="127">
                  <c:v>86.447696870500522</c:v>
                </c:pt>
                <c:pt idx="128">
                  <c:v>86.451433932697171</c:v>
                </c:pt>
                <c:pt idx="129">
                  <c:v>86.455015590066964</c:v>
                </c:pt>
                <c:pt idx="130">
                  <c:v>86.458445397939059</c:v>
                </c:pt>
                <c:pt idx="131">
                  <c:v>86.461726804657076</c:v>
                </c:pt>
                <c:pt idx="132">
                  <c:v>86.464863155573141</c:v>
                </c:pt>
                <c:pt idx="133">
                  <c:v>86.467857696864144</c:v>
                </c:pt>
                <c:pt idx="134">
                  <c:v>86.470713579179588</c:v>
                </c:pt>
                <c:pt idx="135">
                  <c:v>86.473433861129706</c:v>
                </c:pt>
                <c:pt idx="136">
                  <c:v>86.476021512621799</c:v>
                </c:pt>
                <c:pt idx="137">
                  <c:v>86.478479418052345</c:v>
                </c:pt>
                <c:pt idx="138">
                  <c:v>86.480810379362509</c:v>
                </c:pt>
                <c:pt idx="139">
                  <c:v>86.483017118963375</c:v>
                </c:pt>
                <c:pt idx="140">
                  <c:v>86.48510228253754</c:v>
                </c:pt>
                <c:pt idx="141">
                  <c:v>86.48706844172321</c:v>
                </c:pt>
                <c:pt idx="142">
                  <c:v>86.488918096686291</c:v>
                </c:pt>
                <c:pt idx="143">
                  <c:v>86.490653678586042</c:v>
                </c:pt>
                <c:pt idx="144">
                  <c:v>86.492277551939452</c:v>
                </c:pt>
                <c:pt idx="145">
                  <c:v>86.493792016888861</c:v>
                </c:pt>
                <c:pt idx="146">
                  <c:v>86.495199311377817</c:v>
                </c:pt>
                <c:pt idx="147">
                  <c:v>86.496501613239147</c:v>
                </c:pt>
                <c:pt idx="148">
                  <c:v>86.497701042199509</c:v>
                </c:pt>
                <c:pt idx="149">
                  <c:v>86.498799661804341</c:v>
                </c:pt>
                <c:pt idx="150">
                  <c:v>86.499799481266592</c:v>
                </c:pt>
              </c:numCache>
            </c:numRef>
          </c:yVal>
          <c:smooth val="0"/>
          <c:extLst>
            <c:ext xmlns:c16="http://schemas.microsoft.com/office/drawing/2014/chart" uri="{C3380CC4-5D6E-409C-BE32-E72D297353CC}">
              <c16:uniqueId val="{00000000-EBB2-49C9-A014-1F538461E4EA}"/>
            </c:ext>
          </c:extLst>
        </c:ser>
        <c:dLbls>
          <c:showLegendKey val="0"/>
          <c:showVal val="0"/>
          <c:showCatName val="0"/>
          <c:showSerName val="0"/>
          <c:showPercent val="0"/>
          <c:showBubbleSize val="0"/>
        </c:dLbls>
        <c:axId val="144893056"/>
        <c:axId val="144894592"/>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Eff_vs_IOUT!$AI$7:$AI$157</c:f>
              <c:numCache>
                <c:formatCode>General</c:formatCode>
                <c:ptCount val="151"/>
                <c:pt idx="0">
                  <c:v>0</c:v>
                </c:pt>
                <c:pt idx="1">
                  <c:v>8.5961647397300484E-4</c:v>
                </c:pt>
                <c:pt idx="2">
                  <c:v>1.7215883241893273E-3</c:v>
                </c:pt>
                <c:pt idx="3">
                  <c:v>2.585093501921504E-3</c:v>
                </c:pt>
                <c:pt idx="4">
                  <c:v>3.4498386584342366E-3</c:v>
                </c:pt>
                <c:pt idx="5">
                  <c:v>4.3156542543577045E-3</c:v>
                </c:pt>
                <c:pt idx="6">
                  <c:v>5.1824258978161088E-3</c:v>
                </c:pt>
                <c:pt idx="7">
                  <c:v>6.0500696108235245E-3</c:v>
                </c:pt>
                <c:pt idx="8">
                  <c:v>6.9185203268150143E-3</c:v>
                </c:pt>
                <c:pt idx="9">
                  <c:v>7.7877256971970238E-3</c:v>
                </c:pt>
                <c:pt idx="10">
                  <c:v>8.6576424156786409E-3</c:v>
                </c:pt>
                <c:pt idx="11">
                  <c:v>9.5282338787134012E-3</c:v>
                </c:pt>
                <c:pt idx="12">
                  <c:v>1.0399468615322628E-2</c:v>
                </c:pt>
                <c:pt idx="13">
                  <c:v>1.1271319188478193E-2</c:v>
                </c:pt>
                <c:pt idx="14">
                  <c:v>1.2143761400133705E-2</c:v>
                </c:pt>
                <c:pt idx="15">
                  <c:v>1.3016773699785681E-2</c:v>
                </c:pt>
                <c:pt idx="16">
                  <c:v>1.3890336734074688E-2</c:v>
                </c:pt>
                <c:pt idx="17">
                  <c:v>1.4764432996907341E-2</c:v>
                </c:pt>
                <c:pt idx="18">
                  <c:v>1.5639046552963623E-2</c:v>
                </c:pt>
                <c:pt idx="19">
                  <c:v>1.6514162815906012E-2</c:v>
                </c:pt>
                <c:pt idx="20">
                  <c:v>1.7389768368112627E-2</c:v>
                </c:pt>
                <c:pt idx="21">
                  <c:v>1.8265850812441427E-2</c:v>
                </c:pt>
                <c:pt idx="22">
                  <c:v>1.9142398649058017E-2</c:v>
                </c:pt>
                <c:pt idx="23">
                  <c:v>2.0019401172127287E-2</c:v>
                </c:pt>
                <c:pt idx="24">
                  <c:v>2.0896848382430059E-2</c:v>
                </c:pt>
                <c:pt idx="25">
                  <c:v>2.1774730912880565E-2</c:v>
                </c:pt>
                <c:pt idx="26">
                  <c:v>2.2653039964594175E-2</c:v>
                </c:pt>
                <c:pt idx="27">
                  <c:v>2.353176725165829E-2</c:v>
                </c:pt>
                <c:pt idx="28">
                  <c:v>2.4410904953139589E-2</c:v>
                </c:pt>
                <c:pt idx="29">
                  <c:v>2.5290445671152361E-2</c:v>
                </c:pt>
                <c:pt idx="30">
                  <c:v>2.617038239403769E-2</c:v>
                </c:pt>
                <c:pt idx="31">
                  <c:v>2.7050708463879497E-2</c:v>
                </c:pt>
                <c:pt idx="32">
                  <c:v>2.7931417547721701E-2</c:v>
                </c:pt>
                <c:pt idx="33">
                  <c:v>2.881250361196162E-2</c:v>
                </c:pt>
                <c:pt idx="34">
                  <c:v>2.9693960899482258E-2</c:v>
                </c:pt>
                <c:pt idx="35">
                  <c:v>3.057578390915832E-2</c:v>
                </c:pt>
                <c:pt idx="36">
                  <c:v>3.1457967377427967E-2</c:v>
                </c:pt>
                <c:pt idx="37">
                  <c:v>3.2340506261670135E-2</c:v>
                </c:pt>
                <c:pt idx="38">
                  <c:v>3.3223395725166145E-2</c:v>
                </c:pt>
                <c:pt idx="39">
                  <c:v>3.4106631123456556E-2</c:v>
                </c:pt>
                <c:pt idx="40">
                  <c:v>3.5117801785562432E-2</c:v>
                </c:pt>
                <c:pt idx="41">
                  <c:v>3.6008554754957137E-2</c:v>
                </c:pt>
                <c:pt idx="42">
                  <c:v>3.6900146728945829E-2</c:v>
                </c:pt>
                <c:pt idx="43">
                  <c:v>3.7792577707528544E-2</c:v>
                </c:pt>
                <c:pt idx="44">
                  <c:v>3.8685847690705259E-2</c:v>
                </c:pt>
                <c:pt idx="45">
                  <c:v>3.957995667847599E-2</c:v>
                </c:pt>
                <c:pt idx="46">
                  <c:v>4.0474904670840715E-2</c:v>
                </c:pt>
                <c:pt idx="47">
                  <c:v>4.1370691667799456E-2</c:v>
                </c:pt>
                <c:pt idx="48">
                  <c:v>4.226731766935219E-2</c:v>
                </c:pt>
                <c:pt idx="49">
                  <c:v>4.316478267549894E-2</c:v>
                </c:pt>
                <c:pt idx="50">
                  <c:v>4.4063086686239705E-2</c:v>
                </c:pt>
                <c:pt idx="51">
                  <c:v>4.4962229701574465E-2</c:v>
                </c:pt>
                <c:pt idx="52">
                  <c:v>4.5862211721503232E-2</c:v>
                </c:pt>
                <c:pt idx="53">
                  <c:v>4.6763032746026001E-2</c:v>
                </c:pt>
                <c:pt idx="54">
                  <c:v>4.7664692775142778E-2</c:v>
                </c:pt>
                <c:pt idx="55">
                  <c:v>4.8567191808853563E-2</c:v>
                </c:pt>
                <c:pt idx="56">
                  <c:v>4.9470529847158343E-2</c:v>
                </c:pt>
                <c:pt idx="57">
                  <c:v>5.0374706890057144E-2</c:v>
                </c:pt>
                <c:pt idx="58">
                  <c:v>5.1279722937549954E-2</c:v>
                </c:pt>
                <c:pt idx="59">
                  <c:v>5.2185577989636751E-2</c:v>
                </c:pt>
                <c:pt idx="60">
                  <c:v>5.3092272046317571E-2</c:v>
                </c:pt>
                <c:pt idx="61">
                  <c:v>5.3999805107592391E-2</c:v>
                </c:pt>
                <c:pt idx="62">
                  <c:v>5.4908177173461234E-2</c:v>
                </c:pt>
                <c:pt idx="63">
                  <c:v>5.581738824392405E-2</c:v>
                </c:pt>
                <c:pt idx="64">
                  <c:v>5.6727438318980888E-2</c:v>
                </c:pt>
                <c:pt idx="65">
                  <c:v>5.7638327398631756E-2</c:v>
                </c:pt>
                <c:pt idx="66">
                  <c:v>5.8550055482876603E-2</c:v>
                </c:pt>
                <c:pt idx="67">
                  <c:v>5.9462622571715446E-2</c:v>
                </c:pt>
                <c:pt idx="68">
                  <c:v>6.0376028665148324E-2</c:v>
                </c:pt>
                <c:pt idx="69">
                  <c:v>6.1290273763175196E-2</c:v>
                </c:pt>
                <c:pt idx="70">
                  <c:v>6.2205357865796063E-2</c:v>
                </c:pt>
                <c:pt idx="71">
                  <c:v>6.3121280973010951E-2</c:v>
                </c:pt>
                <c:pt idx="72">
                  <c:v>6.4038043084819835E-2</c:v>
                </c:pt>
                <c:pt idx="73">
                  <c:v>6.4955644201222754E-2</c:v>
                </c:pt>
                <c:pt idx="74">
                  <c:v>6.5874084322219639E-2</c:v>
                </c:pt>
                <c:pt idx="75">
                  <c:v>6.6793363447810533E-2</c:v>
                </c:pt>
                <c:pt idx="76">
                  <c:v>6.7713481577995463E-2</c:v>
                </c:pt>
                <c:pt idx="77">
                  <c:v>6.8634438712774387E-2</c:v>
                </c:pt>
                <c:pt idx="78">
                  <c:v>6.9556234852147306E-2</c:v>
                </c:pt>
                <c:pt idx="79">
                  <c:v>7.0478869996114232E-2</c:v>
                </c:pt>
                <c:pt idx="80">
                  <c:v>7.1402344144675167E-2</c:v>
                </c:pt>
                <c:pt idx="81">
                  <c:v>7.232665729783011E-2</c:v>
                </c:pt>
                <c:pt idx="82">
                  <c:v>7.3251809455579076E-2</c:v>
                </c:pt>
                <c:pt idx="83">
                  <c:v>7.4177800617922021E-2</c:v>
                </c:pt>
                <c:pt idx="84">
                  <c:v>7.5104630784858975E-2</c:v>
                </c:pt>
                <c:pt idx="85">
                  <c:v>7.6032299956389951E-2</c:v>
                </c:pt>
                <c:pt idx="86">
                  <c:v>7.6960808132514935E-2</c:v>
                </c:pt>
                <c:pt idx="87">
                  <c:v>7.7890155313233914E-2</c:v>
                </c:pt>
                <c:pt idx="88">
                  <c:v>7.8820341498546886E-2</c:v>
                </c:pt>
                <c:pt idx="89">
                  <c:v>7.9751366688453895E-2</c:v>
                </c:pt>
                <c:pt idx="90">
                  <c:v>8.0683230882954898E-2</c:v>
                </c:pt>
                <c:pt idx="91">
                  <c:v>8.1615934082049896E-2</c:v>
                </c:pt>
                <c:pt idx="92">
                  <c:v>8.2549476285738915E-2</c:v>
                </c:pt>
                <c:pt idx="93">
                  <c:v>8.3483857494021915E-2</c:v>
                </c:pt>
                <c:pt idx="94">
                  <c:v>8.4419077706898951E-2</c:v>
                </c:pt>
                <c:pt idx="95">
                  <c:v>8.5355136924369968E-2</c:v>
                </c:pt>
                <c:pt idx="96">
                  <c:v>8.6292035146435006E-2</c:v>
                </c:pt>
                <c:pt idx="97">
                  <c:v>8.7229772373094067E-2</c:v>
                </c:pt>
                <c:pt idx="98">
                  <c:v>8.8168348604347094E-2</c:v>
                </c:pt>
                <c:pt idx="99">
                  <c:v>8.9107763840194157E-2</c:v>
                </c:pt>
                <c:pt idx="100">
                  <c:v>9.0048018080635242E-2</c:v>
                </c:pt>
                <c:pt idx="101">
                  <c:v>9.0989111325670266E-2</c:v>
                </c:pt>
                <c:pt idx="102">
                  <c:v>9.1931043575299382E-2</c:v>
                </c:pt>
                <c:pt idx="103">
                  <c:v>9.287381482952245E-2</c:v>
                </c:pt>
                <c:pt idx="104">
                  <c:v>9.381742508833954E-2</c:v>
                </c:pt>
                <c:pt idx="105">
                  <c:v>9.4761874351750652E-2</c:v>
                </c:pt>
                <c:pt idx="106">
                  <c:v>9.5707162619755717E-2</c:v>
                </c:pt>
                <c:pt idx="107">
                  <c:v>9.6653289892354818E-2</c:v>
                </c:pt>
                <c:pt idx="108">
                  <c:v>9.7600256169547928E-2</c:v>
                </c:pt>
                <c:pt idx="109">
                  <c:v>9.8548061451335031E-2</c:v>
                </c:pt>
                <c:pt idx="110">
                  <c:v>9.9496705737716171E-2</c:v>
                </c:pt>
                <c:pt idx="111">
                  <c:v>0.10044618902869132</c:v>
                </c:pt>
                <c:pt idx="112">
                  <c:v>0.10139651132426042</c:v>
                </c:pt>
                <c:pt idx="113">
                  <c:v>0.10234767262442358</c:v>
                </c:pt>
                <c:pt idx="114">
                  <c:v>0.10329967292918071</c:v>
                </c:pt>
                <c:pt idx="115">
                  <c:v>0.10425251223853185</c:v>
                </c:pt>
                <c:pt idx="116">
                  <c:v>0.10520619055247704</c:v>
                </c:pt>
                <c:pt idx="117">
                  <c:v>0.10616070787101621</c:v>
                </c:pt>
                <c:pt idx="118">
                  <c:v>0.10711606419414935</c:v>
                </c:pt>
                <c:pt idx="119">
                  <c:v>0.10807225952187655</c:v>
                </c:pt>
                <c:pt idx="120">
                  <c:v>0.10902929385419771</c:v>
                </c:pt>
                <c:pt idx="121">
                  <c:v>0.10998716719111291</c:v>
                </c:pt>
                <c:pt idx="122">
                  <c:v>0.11094587953262211</c:v>
                </c:pt>
                <c:pt idx="123">
                  <c:v>0.11190543087872531</c:v>
                </c:pt>
                <c:pt idx="124">
                  <c:v>0.11286582122942254</c:v>
                </c:pt>
                <c:pt idx="125">
                  <c:v>0.11382705058471375</c:v>
                </c:pt>
                <c:pt idx="126">
                  <c:v>0.11478911894459895</c:v>
                </c:pt>
                <c:pt idx="127">
                  <c:v>0.11575202630907817</c:v>
                </c:pt>
                <c:pt idx="128">
                  <c:v>0.11671577267815139</c:v>
                </c:pt>
                <c:pt idx="129">
                  <c:v>0.11768035805181866</c:v>
                </c:pt>
                <c:pt idx="130">
                  <c:v>0.11864578243007992</c:v>
                </c:pt>
                <c:pt idx="131">
                  <c:v>0.11961204581293514</c:v>
                </c:pt>
                <c:pt idx="132">
                  <c:v>0.12057914820038441</c:v>
                </c:pt>
                <c:pt idx="133">
                  <c:v>0.1215470895924277</c:v>
                </c:pt>
                <c:pt idx="134">
                  <c:v>0.12251586998906491</c:v>
                </c:pt>
                <c:pt idx="135">
                  <c:v>0.12348548939029622</c:v>
                </c:pt>
                <c:pt idx="136">
                  <c:v>0.12445594779612149</c:v>
                </c:pt>
                <c:pt idx="137">
                  <c:v>0.12542724520654081</c:v>
                </c:pt>
                <c:pt idx="138">
                  <c:v>0.12639938162155409</c:v>
                </c:pt>
                <c:pt idx="139">
                  <c:v>0.12737235704116137</c:v>
                </c:pt>
                <c:pt idx="140">
                  <c:v>0.12834617146536267</c:v>
                </c:pt>
                <c:pt idx="141">
                  <c:v>0.12932082489415797</c:v>
                </c:pt>
                <c:pt idx="142">
                  <c:v>0.13029631732754732</c:v>
                </c:pt>
                <c:pt idx="143">
                  <c:v>0.13127264876553066</c:v>
                </c:pt>
                <c:pt idx="144">
                  <c:v>0.13224981920810797</c:v>
                </c:pt>
                <c:pt idx="145">
                  <c:v>0.13322782865527927</c:v>
                </c:pt>
                <c:pt idx="146">
                  <c:v>0.13420667710704468</c:v>
                </c:pt>
                <c:pt idx="147">
                  <c:v>0.13518636456340399</c:v>
                </c:pt>
                <c:pt idx="148">
                  <c:v>0.13616689102435736</c:v>
                </c:pt>
                <c:pt idx="149">
                  <c:v>0.1371482564899047</c:v>
                </c:pt>
                <c:pt idx="150">
                  <c:v>0.13813046096004608</c:v>
                </c:pt>
              </c:numCache>
            </c:numRef>
          </c:yVal>
          <c:smooth val="1"/>
          <c:extLst>
            <c:ext xmlns:c16="http://schemas.microsoft.com/office/drawing/2014/chart" uri="{C3380CC4-5D6E-409C-BE32-E72D297353CC}">
              <c16:uniqueId val="{00000001-EBB2-49C9-A014-1F538461E4EA}"/>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Eff_vs_IOUT!$AN$7:$AN$157</c:f>
              <c:numCache>
                <c:formatCode>General</c:formatCode>
                <c:ptCount val="151"/>
                <c:pt idx="0">
                  <c:v>2.4552000000000001E-2</c:v>
                </c:pt>
                <c:pt idx="1">
                  <c:v>3.2285333333333333E-2</c:v>
                </c:pt>
                <c:pt idx="2">
                  <c:v>4.0018666666666668E-2</c:v>
                </c:pt>
                <c:pt idx="3">
                  <c:v>4.7752000000000003E-2</c:v>
                </c:pt>
                <c:pt idx="4">
                  <c:v>5.5485333333333331E-2</c:v>
                </c:pt>
                <c:pt idx="5">
                  <c:v>6.3218666666666659E-2</c:v>
                </c:pt>
                <c:pt idx="6">
                  <c:v>7.0952000000000001E-2</c:v>
                </c:pt>
                <c:pt idx="7">
                  <c:v>7.8685333333333329E-2</c:v>
                </c:pt>
                <c:pt idx="8">
                  <c:v>8.6418666666666671E-2</c:v>
                </c:pt>
                <c:pt idx="9">
                  <c:v>9.4152E-2</c:v>
                </c:pt>
                <c:pt idx="10">
                  <c:v>0.10188533333333333</c:v>
                </c:pt>
                <c:pt idx="11">
                  <c:v>0.10961866666666667</c:v>
                </c:pt>
                <c:pt idx="12">
                  <c:v>0.117352</c:v>
                </c:pt>
                <c:pt idx="13">
                  <c:v>0.12508533333333333</c:v>
                </c:pt>
                <c:pt idx="14">
                  <c:v>0.13281866666666667</c:v>
                </c:pt>
                <c:pt idx="15">
                  <c:v>0.14055199999999998</c:v>
                </c:pt>
                <c:pt idx="16">
                  <c:v>0.14828533333333332</c:v>
                </c:pt>
                <c:pt idx="17">
                  <c:v>0.15601866666666667</c:v>
                </c:pt>
                <c:pt idx="18">
                  <c:v>0.16375199999999998</c:v>
                </c:pt>
                <c:pt idx="19">
                  <c:v>0.17148533333333332</c:v>
                </c:pt>
                <c:pt idx="20">
                  <c:v>0.17921866666666664</c:v>
                </c:pt>
                <c:pt idx="21">
                  <c:v>0.18695200000000001</c:v>
                </c:pt>
                <c:pt idx="22">
                  <c:v>0.19468533333333332</c:v>
                </c:pt>
                <c:pt idx="23">
                  <c:v>0.20241866666666666</c:v>
                </c:pt>
                <c:pt idx="24">
                  <c:v>0.21015199999999998</c:v>
                </c:pt>
                <c:pt idx="25">
                  <c:v>0.21788533333333332</c:v>
                </c:pt>
                <c:pt idx="26">
                  <c:v>0.22561866666666666</c:v>
                </c:pt>
                <c:pt idx="27">
                  <c:v>0.233352</c:v>
                </c:pt>
                <c:pt idx="28">
                  <c:v>0.24108533333333332</c:v>
                </c:pt>
                <c:pt idx="29">
                  <c:v>0.24881866666666666</c:v>
                </c:pt>
                <c:pt idx="30">
                  <c:v>0.256552</c:v>
                </c:pt>
                <c:pt idx="31">
                  <c:v>0.26428533333333337</c:v>
                </c:pt>
                <c:pt idx="32">
                  <c:v>0.27201866666666669</c:v>
                </c:pt>
                <c:pt idx="33">
                  <c:v>0.279752</c:v>
                </c:pt>
                <c:pt idx="34">
                  <c:v>0.28748533333333337</c:v>
                </c:pt>
                <c:pt idx="35">
                  <c:v>0.29521866666666668</c:v>
                </c:pt>
                <c:pt idx="36">
                  <c:v>0.302952</c:v>
                </c:pt>
                <c:pt idx="37">
                  <c:v>0.31068533333333331</c:v>
                </c:pt>
                <c:pt idx="38">
                  <c:v>0.31841866666666668</c:v>
                </c:pt>
                <c:pt idx="39">
                  <c:v>0.326152</c:v>
                </c:pt>
                <c:pt idx="40">
                  <c:v>0.33388533333333331</c:v>
                </c:pt>
                <c:pt idx="41">
                  <c:v>0.34161866666666668</c:v>
                </c:pt>
                <c:pt idx="42">
                  <c:v>0.34935200000000005</c:v>
                </c:pt>
                <c:pt idx="43">
                  <c:v>0.35708533333333337</c:v>
                </c:pt>
                <c:pt idx="44">
                  <c:v>0.36481866666666668</c:v>
                </c:pt>
                <c:pt idx="45">
                  <c:v>0.37255200000000005</c:v>
                </c:pt>
                <c:pt idx="46">
                  <c:v>0.38028533333333336</c:v>
                </c:pt>
                <c:pt idx="47">
                  <c:v>0.38801866666666668</c:v>
                </c:pt>
                <c:pt idx="48">
                  <c:v>0.39575199999999999</c:v>
                </c:pt>
                <c:pt idx="49">
                  <c:v>0.40348533333333331</c:v>
                </c:pt>
                <c:pt idx="50">
                  <c:v>0.41121866666666668</c:v>
                </c:pt>
                <c:pt idx="51">
                  <c:v>0.41895200000000005</c:v>
                </c:pt>
                <c:pt idx="52">
                  <c:v>0.42668533333333336</c:v>
                </c:pt>
                <c:pt idx="53">
                  <c:v>0.43441866666666668</c:v>
                </c:pt>
                <c:pt idx="54">
                  <c:v>0.44215200000000004</c:v>
                </c:pt>
                <c:pt idx="55">
                  <c:v>0.44988533333333336</c:v>
                </c:pt>
                <c:pt idx="56">
                  <c:v>0.45761866666666667</c:v>
                </c:pt>
                <c:pt idx="57">
                  <c:v>0.46535199999999999</c:v>
                </c:pt>
                <c:pt idx="58">
                  <c:v>0.47308533333333336</c:v>
                </c:pt>
                <c:pt idx="59">
                  <c:v>0.48081866666666667</c:v>
                </c:pt>
                <c:pt idx="60">
                  <c:v>0.48855199999999999</c:v>
                </c:pt>
                <c:pt idx="61">
                  <c:v>0.49628533333333336</c:v>
                </c:pt>
                <c:pt idx="62">
                  <c:v>0.50401866666666673</c:v>
                </c:pt>
                <c:pt idx="63">
                  <c:v>0.51175199999999998</c:v>
                </c:pt>
                <c:pt idx="64">
                  <c:v>0.51948533333333335</c:v>
                </c:pt>
                <c:pt idx="65">
                  <c:v>0.52721866666666661</c:v>
                </c:pt>
                <c:pt idx="66">
                  <c:v>0.53495199999999998</c:v>
                </c:pt>
                <c:pt idx="67">
                  <c:v>0.54268533333333335</c:v>
                </c:pt>
                <c:pt idx="68">
                  <c:v>0.55041866666666672</c:v>
                </c:pt>
                <c:pt idx="69">
                  <c:v>0.55815199999999998</c:v>
                </c:pt>
                <c:pt idx="70">
                  <c:v>0.56588533333333335</c:v>
                </c:pt>
                <c:pt idx="71">
                  <c:v>0.57361866666666672</c:v>
                </c:pt>
                <c:pt idx="72">
                  <c:v>0.58135199999999998</c:v>
                </c:pt>
                <c:pt idx="73">
                  <c:v>0.58908533333333335</c:v>
                </c:pt>
                <c:pt idx="74">
                  <c:v>0.59681866666666661</c:v>
                </c:pt>
                <c:pt idx="75">
                  <c:v>0.60455199999999998</c:v>
                </c:pt>
                <c:pt idx="76">
                  <c:v>0.61228533333333335</c:v>
                </c:pt>
                <c:pt idx="77">
                  <c:v>0.62001866666666672</c:v>
                </c:pt>
                <c:pt idx="78">
                  <c:v>0.62775199999999998</c:v>
                </c:pt>
                <c:pt idx="79">
                  <c:v>0.63548533333333335</c:v>
                </c:pt>
                <c:pt idx="80">
                  <c:v>0.64321866666666661</c:v>
                </c:pt>
                <c:pt idx="81">
                  <c:v>0.65095199999999998</c:v>
                </c:pt>
                <c:pt idx="82">
                  <c:v>0.65868533333333334</c:v>
                </c:pt>
                <c:pt idx="83">
                  <c:v>0.6664186666666666</c:v>
                </c:pt>
                <c:pt idx="84">
                  <c:v>0.67415200000000008</c:v>
                </c:pt>
                <c:pt idx="85">
                  <c:v>0.68188533333333334</c:v>
                </c:pt>
                <c:pt idx="86">
                  <c:v>0.68961866666666671</c:v>
                </c:pt>
                <c:pt idx="87">
                  <c:v>0.69735200000000008</c:v>
                </c:pt>
                <c:pt idx="88">
                  <c:v>0.70508533333333334</c:v>
                </c:pt>
                <c:pt idx="89">
                  <c:v>0.71281866666666671</c:v>
                </c:pt>
                <c:pt idx="90">
                  <c:v>0.72055200000000008</c:v>
                </c:pt>
                <c:pt idx="91">
                  <c:v>0.72828533333333334</c:v>
                </c:pt>
                <c:pt idx="92">
                  <c:v>0.73601866666666671</c:v>
                </c:pt>
                <c:pt idx="93">
                  <c:v>0.74375199999999997</c:v>
                </c:pt>
                <c:pt idx="94">
                  <c:v>0.75148533333333334</c:v>
                </c:pt>
                <c:pt idx="95">
                  <c:v>0.75921866666666671</c:v>
                </c:pt>
                <c:pt idx="96">
                  <c:v>0.76695199999999997</c:v>
                </c:pt>
                <c:pt idx="97">
                  <c:v>0.77468533333333334</c:v>
                </c:pt>
                <c:pt idx="98">
                  <c:v>0.7824186666666666</c:v>
                </c:pt>
                <c:pt idx="99">
                  <c:v>0.79015199999999997</c:v>
                </c:pt>
                <c:pt idx="100">
                  <c:v>0.79788533333333334</c:v>
                </c:pt>
                <c:pt idx="101">
                  <c:v>0.80561866666666659</c:v>
                </c:pt>
                <c:pt idx="102">
                  <c:v>0.81335200000000007</c:v>
                </c:pt>
                <c:pt idx="103">
                  <c:v>0.82108533333333344</c:v>
                </c:pt>
                <c:pt idx="104">
                  <c:v>0.8288186666666667</c:v>
                </c:pt>
                <c:pt idx="105">
                  <c:v>0.83655200000000007</c:v>
                </c:pt>
                <c:pt idx="106">
                  <c:v>0.84428533333333333</c:v>
                </c:pt>
                <c:pt idx="107">
                  <c:v>0.8520186666666667</c:v>
                </c:pt>
                <c:pt idx="108">
                  <c:v>0.85975200000000007</c:v>
                </c:pt>
                <c:pt idx="109">
                  <c:v>0.86748533333333333</c:v>
                </c:pt>
                <c:pt idx="110">
                  <c:v>0.8752186666666667</c:v>
                </c:pt>
                <c:pt idx="111">
                  <c:v>0.88295200000000007</c:v>
                </c:pt>
                <c:pt idx="112">
                  <c:v>0.89068533333333333</c:v>
                </c:pt>
                <c:pt idx="113">
                  <c:v>0.8984186666666667</c:v>
                </c:pt>
                <c:pt idx="114">
                  <c:v>0.90615199999999996</c:v>
                </c:pt>
                <c:pt idx="115">
                  <c:v>0.91388533333333333</c:v>
                </c:pt>
                <c:pt idx="116">
                  <c:v>0.9216186666666667</c:v>
                </c:pt>
                <c:pt idx="117">
                  <c:v>0.92935199999999996</c:v>
                </c:pt>
                <c:pt idx="118">
                  <c:v>0.93708533333333333</c:v>
                </c:pt>
                <c:pt idx="119">
                  <c:v>0.94481866666666658</c:v>
                </c:pt>
                <c:pt idx="120">
                  <c:v>0.95255199999999995</c:v>
                </c:pt>
                <c:pt idx="121">
                  <c:v>0.96028533333333344</c:v>
                </c:pt>
                <c:pt idx="122">
                  <c:v>0.96801866666666669</c:v>
                </c:pt>
                <c:pt idx="123">
                  <c:v>0.97575200000000006</c:v>
                </c:pt>
                <c:pt idx="124">
                  <c:v>0.98348533333333343</c:v>
                </c:pt>
                <c:pt idx="125">
                  <c:v>0.99121866666666669</c:v>
                </c:pt>
                <c:pt idx="126">
                  <c:v>0.99895200000000006</c:v>
                </c:pt>
                <c:pt idx="127">
                  <c:v>1.0066853333333332</c:v>
                </c:pt>
                <c:pt idx="128">
                  <c:v>1.0144186666666666</c:v>
                </c:pt>
                <c:pt idx="129">
                  <c:v>1.0221519999999999</c:v>
                </c:pt>
                <c:pt idx="130">
                  <c:v>1.0298853333333331</c:v>
                </c:pt>
                <c:pt idx="131">
                  <c:v>1.0376186666666667</c:v>
                </c:pt>
                <c:pt idx="132">
                  <c:v>1.0453519999999998</c:v>
                </c:pt>
                <c:pt idx="133">
                  <c:v>1.0530853333333332</c:v>
                </c:pt>
                <c:pt idx="134">
                  <c:v>1.0608186666666666</c:v>
                </c:pt>
                <c:pt idx="135">
                  <c:v>1.0685519999999999</c:v>
                </c:pt>
                <c:pt idx="136">
                  <c:v>1.0762853333333333</c:v>
                </c:pt>
                <c:pt idx="137">
                  <c:v>1.0840186666666667</c:v>
                </c:pt>
                <c:pt idx="138">
                  <c:v>1.0917519999999998</c:v>
                </c:pt>
                <c:pt idx="139">
                  <c:v>1.0994853333333332</c:v>
                </c:pt>
                <c:pt idx="140">
                  <c:v>1.1072186666666666</c:v>
                </c:pt>
                <c:pt idx="141">
                  <c:v>1.1149519999999999</c:v>
                </c:pt>
                <c:pt idx="142">
                  <c:v>1.1226853333333333</c:v>
                </c:pt>
                <c:pt idx="143">
                  <c:v>1.1304186666666665</c:v>
                </c:pt>
                <c:pt idx="144">
                  <c:v>1.1381519999999998</c:v>
                </c:pt>
                <c:pt idx="145">
                  <c:v>1.1458853333333332</c:v>
                </c:pt>
                <c:pt idx="146">
                  <c:v>1.1536186666666666</c:v>
                </c:pt>
                <c:pt idx="147">
                  <c:v>1.1613519999999999</c:v>
                </c:pt>
                <c:pt idx="148">
                  <c:v>1.1690853333333331</c:v>
                </c:pt>
                <c:pt idx="149">
                  <c:v>1.1768186666666667</c:v>
                </c:pt>
                <c:pt idx="150">
                  <c:v>1.1845519999999998</c:v>
                </c:pt>
              </c:numCache>
            </c:numRef>
          </c:yVal>
          <c:smooth val="1"/>
          <c:extLst>
            <c:ext xmlns:c16="http://schemas.microsoft.com/office/drawing/2014/chart" uri="{C3380CC4-5D6E-409C-BE32-E72D297353CC}">
              <c16:uniqueId val="{00000002-EBB2-49C9-A014-1F538461E4EA}"/>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Eff_vs_IOUT!$AO$7:$AO$157</c:f>
              <c:numCache>
                <c:formatCode>General</c:formatCode>
                <c:ptCount val="151"/>
                <c:pt idx="0">
                  <c:v>0</c:v>
                </c:pt>
                <c:pt idx="1">
                  <c:v>1.2361698415453879E-5</c:v>
                </c:pt>
                <c:pt idx="2">
                  <c:v>3.4964163106201735E-5</c:v>
                </c:pt>
                <c:pt idx="3">
                  <c:v>6.4233269170229379E-5</c:v>
                </c:pt>
                <c:pt idx="4">
                  <c:v>9.8893587323631003E-5</c:v>
                </c:pt>
                <c:pt idx="5">
                  <c:v>1.382079898715315E-4</c:v>
                </c:pt>
                <c:pt idx="6">
                  <c:v>1.8167912083220006E-4</c:v>
                </c:pt>
                <c:pt idx="7">
                  <c:v>2.2894185852770512E-4</c:v>
                </c:pt>
                <c:pt idx="8">
                  <c:v>2.7971330484961388E-4</c:v>
                </c:pt>
                <c:pt idx="9">
                  <c:v>3.3376585721725478E-4</c:v>
                </c:pt>
                <c:pt idx="10">
                  <c:v>3.9091122740928647E-4</c:v>
                </c:pt>
                <c:pt idx="11">
                  <c:v>4.5099026957150533E-4</c:v>
                </c:pt>
                <c:pt idx="12">
                  <c:v>5.1386615336183514E-4</c:v>
                </c:pt>
                <c:pt idx="13">
                  <c:v>5.7941958735363173E-4</c:v>
                </c:pt>
                <c:pt idx="14">
                  <c:v>6.4754536264956632E-4</c:v>
                </c:pt>
                <c:pt idx="15">
                  <c:v>7.1814978140837243E-4</c:v>
                </c:pt>
                <c:pt idx="16">
                  <c:v>7.9114869858904824E-4</c:v>
                </c:pt>
                <c:pt idx="17">
                  <c:v>8.6646600074209593E-4</c:v>
                </c:pt>
                <c:pt idx="18">
                  <c:v>9.4403240386744689E-4</c:v>
                </c:pt>
                <c:pt idx="19">
                  <c:v>1.0237844891063165E-3</c:v>
                </c:pt>
                <c:pt idx="20">
                  <c:v>1.105663918972252E-3</c:v>
                </c:pt>
                <c:pt idx="21">
                  <c:v>1.1896167928476945E-3</c:v>
                </c:pt>
                <c:pt idx="22">
                  <c:v>1.2755931114526423E-3</c:v>
                </c:pt>
                <c:pt idx="23">
                  <c:v>1.3635463276779282E-3</c:v>
                </c:pt>
                <c:pt idx="24">
                  <c:v>1.4534329666576007E-3</c:v>
                </c:pt>
                <c:pt idx="25">
                  <c:v>1.545212301931734E-3</c:v>
                </c:pt>
                <c:pt idx="26">
                  <c:v>1.6388460774802557E-3</c:v>
                </c:pt>
                <c:pt idx="27">
                  <c:v>1.7342982675961946E-3</c:v>
                </c:pt>
                <c:pt idx="28">
                  <c:v>1.8315348682216412E-3</c:v>
                </c:pt>
                <c:pt idx="29">
                  <c:v>1.9305237146360643E-3</c:v>
                </c:pt>
                <c:pt idx="30">
                  <c:v>2.0312343213659866E-3</c:v>
                </c:pt>
                <c:pt idx="31">
                  <c:v>2.1336377409501115E-3</c:v>
                </c:pt>
                <c:pt idx="32">
                  <c:v>2.237706438796911E-3</c:v>
                </c:pt>
                <c:pt idx="33">
                  <c:v>2.3434141818510935E-3</c:v>
                </c:pt>
                <c:pt idx="34">
                  <c:v>2.4507359391692965E-3</c:v>
                </c:pt>
                <c:pt idx="35">
                  <c:v>2.5596477928154439E-3</c:v>
                </c:pt>
                <c:pt idx="36">
                  <c:v>2.6701268577380378E-3</c:v>
                </c:pt>
                <c:pt idx="37">
                  <c:v>2.7821512094976788E-3</c:v>
                </c:pt>
                <c:pt idx="38">
                  <c:v>2.8956998188827254E-3</c:v>
                </c:pt>
                <c:pt idx="39">
                  <c:v>3.0107524925912501E-3</c:v>
                </c:pt>
                <c:pt idx="40">
                  <c:v>3.6820454437583058E-3</c:v>
                </c:pt>
                <c:pt idx="41">
                  <c:v>3.8297832092246053E-3</c:v>
                </c:pt>
                <c:pt idx="42">
                  <c:v>3.9811688207517983E-3</c:v>
                </c:pt>
                <c:pt idx="43">
                  <c:v>4.1362022783398853E-3</c:v>
                </c:pt>
                <c:pt idx="44">
                  <c:v>4.2948835819888722E-3</c:v>
                </c:pt>
                <c:pt idx="45">
                  <c:v>4.4572127316987575E-3</c:v>
                </c:pt>
                <c:pt idx="46">
                  <c:v>4.6231897274695332E-3</c:v>
                </c:pt>
                <c:pt idx="47">
                  <c:v>4.792814569301208E-3</c:v>
                </c:pt>
                <c:pt idx="48">
                  <c:v>4.9660872571937785E-3</c:v>
                </c:pt>
                <c:pt idx="49">
                  <c:v>5.1430077911472482E-3</c:v>
                </c:pt>
                <c:pt idx="50">
                  <c:v>5.3235761711616101E-3</c:v>
                </c:pt>
                <c:pt idx="51">
                  <c:v>5.5077923972368693E-3</c:v>
                </c:pt>
                <c:pt idx="52">
                  <c:v>5.695656469373026E-3</c:v>
                </c:pt>
                <c:pt idx="53">
                  <c:v>5.8871683875700758E-3</c:v>
                </c:pt>
                <c:pt idx="54">
                  <c:v>6.0823281518280273E-3</c:v>
                </c:pt>
                <c:pt idx="55">
                  <c:v>6.281135762146871E-3</c:v>
                </c:pt>
                <c:pt idx="56">
                  <c:v>6.4835912185266121E-3</c:v>
                </c:pt>
                <c:pt idx="57">
                  <c:v>6.6896945209672489E-3</c:v>
                </c:pt>
                <c:pt idx="58">
                  <c:v>6.8994456694687822E-3</c:v>
                </c:pt>
                <c:pt idx="59">
                  <c:v>7.1128446640312121E-3</c:v>
                </c:pt>
                <c:pt idx="60">
                  <c:v>7.3298915046545367E-3</c:v>
                </c:pt>
                <c:pt idx="61">
                  <c:v>7.5505861913387571E-3</c:v>
                </c:pt>
                <c:pt idx="62">
                  <c:v>7.7749287240838818E-3</c:v>
                </c:pt>
                <c:pt idx="63">
                  <c:v>8.0029191028898935E-3</c:v>
                </c:pt>
                <c:pt idx="64">
                  <c:v>8.2345573277568043E-3</c:v>
                </c:pt>
                <c:pt idx="65">
                  <c:v>8.4698433986846091E-3</c:v>
                </c:pt>
                <c:pt idx="66">
                  <c:v>8.7087773156733182E-3</c:v>
                </c:pt>
                <c:pt idx="67">
                  <c:v>8.9513590787229074E-3</c:v>
                </c:pt>
                <c:pt idx="68">
                  <c:v>9.1975886878334096E-3</c:v>
                </c:pt>
                <c:pt idx="69">
                  <c:v>9.447466143004804E-3</c:v>
                </c:pt>
                <c:pt idx="70">
                  <c:v>9.7009914442370906E-3</c:v>
                </c:pt>
                <c:pt idx="71">
                  <c:v>9.9581645915302799E-3</c:v>
                </c:pt>
                <c:pt idx="72">
                  <c:v>1.0218985584884351E-2</c:v>
                </c:pt>
                <c:pt idx="73">
                  <c:v>1.0483454424299333E-2</c:v>
                </c:pt>
                <c:pt idx="74">
                  <c:v>1.0751571109775204E-2</c:v>
                </c:pt>
                <c:pt idx="75">
                  <c:v>1.1023335641311967E-2</c:v>
                </c:pt>
                <c:pt idx="76">
                  <c:v>1.1298748018909637E-2</c:v>
                </c:pt>
                <c:pt idx="77">
                  <c:v>1.1577808242568209E-2</c:v>
                </c:pt>
                <c:pt idx="78">
                  <c:v>1.1860516312287661E-2</c:v>
                </c:pt>
                <c:pt idx="79">
                  <c:v>1.2146872228068015E-2</c:v>
                </c:pt>
                <c:pt idx="80">
                  <c:v>1.2436875989909264E-2</c:v>
                </c:pt>
                <c:pt idx="81">
                  <c:v>1.2730527597811408E-2</c:v>
                </c:pt>
                <c:pt idx="82">
                  <c:v>1.302782705177445E-2</c:v>
                </c:pt>
                <c:pt idx="83">
                  <c:v>1.3328774351798385E-2</c:v>
                </c:pt>
                <c:pt idx="84">
                  <c:v>1.3633369497883224E-2</c:v>
                </c:pt>
                <c:pt idx="85">
                  <c:v>1.3941612490028945E-2</c:v>
                </c:pt>
                <c:pt idx="86">
                  <c:v>1.4253503328235587E-2</c:v>
                </c:pt>
                <c:pt idx="87">
                  <c:v>1.4569042012503114E-2</c:v>
                </c:pt>
                <c:pt idx="88">
                  <c:v>1.4888228542831528E-2</c:v>
                </c:pt>
                <c:pt idx="89">
                  <c:v>1.5211062919220846E-2</c:v>
                </c:pt>
                <c:pt idx="90">
                  <c:v>1.5537545141671058E-2</c:v>
                </c:pt>
                <c:pt idx="91">
                  <c:v>1.5867675210182161E-2</c:v>
                </c:pt>
                <c:pt idx="92">
                  <c:v>1.620145312475417E-2</c:v>
                </c:pt>
                <c:pt idx="93">
                  <c:v>1.6538878885387073E-2</c:v>
                </c:pt>
                <c:pt idx="94">
                  <c:v>1.6879952492080873E-2</c:v>
                </c:pt>
                <c:pt idx="95">
                  <c:v>1.722467394483557E-2</c:v>
                </c:pt>
                <c:pt idx="96">
                  <c:v>1.7573043243651151E-2</c:v>
                </c:pt>
                <c:pt idx="97">
                  <c:v>1.792506038852764E-2</c:v>
                </c:pt>
                <c:pt idx="98">
                  <c:v>1.8280725379465023E-2</c:v>
                </c:pt>
                <c:pt idx="99">
                  <c:v>1.864003821646331E-2</c:v>
                </c:pt>
                <c:pt idx="100">
                  <c:v>1.9002998899522484E-2</c:v>
                </c:pt>
                <c:pt idx="101">
                  <c:v>1.9369607428642546E-2</c:v>
                </c:pt>
                <c:pt idx="102">
                  <c:v>1.9739863803823518E-2</c:v>
                </c:pt>
                <c:pt idx="103">
                  <c:v>2.0113768025065384E-2</c:v>
                </c:pt>
                <c:pt idx="104">
                  <c:v>2.0491320092368141E-2</c:v>
                </c:pt>
                <c:pt idx="105">
                  <c:v>2.0872520005731796E-2</c:v>
                </c:pt>
                <c:pt idx="106">
                  <c:v>2.1257367765156344E-2</c:v>
                </c:pt>
                <c:pt idx="107">
                  <c:v>2.16458633706418E-2</c:v>
                </c:pt>
                <c:pt idx="108">
                  <c:v>2.2038006822188146E-2</c:v>
                </c:pt>
                <c:pt idx="109">
                  <c:v>2.243379811979538E-2</c:v>
                </c:pt>
                <c:pt idx="110">
                  <c:v>2.2833237263463514E-2</c:v>
                </c:pt>
                <c:pt idx="111">
                  <c:v>2.3236324253192553E-2</c:v>
                </c:pt>
                <c:pt idx="112">
                  <c:v>2.3643059088982479E-2</c:v>
                </c:pt>
                <c:pt idx="113">
                  <c:v>2.4053441770833305E-2</c:v>
                </c:pt>
                <c:pt idx="114">
                  <c:v>2.4467472298745029E-2</c:v>
                </c:pt>
                <c:pt idx="115">
                  <c:v>2.4885150672717647E-2</c:v>
                </c:pt>
                <c:pt idx="116">
                  <c:v>2.5306476892751173E-2</c:v>
                </c:pt>
                <c:pt idx="117">
                  <c:v>2.5731450958845582E-2</c:v>
                </c:pt>
                <c:pt idx="118">
                  <c:v>2.6160072871000879E-2</c:v>
                </c:pt>
                <c:pt idx="119">
                  <c:v>2.6592342629217086E-2</c:v>
                </c:pt>
                <c:pt idx="120">
                  <c:v>2.7028260233494174E-2</c:v>
                </c:pt>
                <c:pt idx="121">
                  <c:v>2.7467825683832183E-2</c:v>
                </c:pt>
                <c:pt idx="122">
                  <c:v>2.7911038980231066E-2</c:v>
                </c:pt>
                <c:pt idx="123">
                  <c:v>2.8357900122690866E-2</c:v>
                </c:pt>
                <c:pt idx="124">
                  <c:v>2.880840911121155E-2</c:v>
                </c:pt>
                <c:pt idx="125">
                  <c:v>2.9262565945793132E-2</c:v>
                </c:pt>
                <c:pt idx="126">
                  <c:v>2.9720370626435601E-2</c:v>
                </c:pt>
                <c:pt idx="127">
                  <c:v>3.0181823153138984E-2</c:v>
                </c:pt>
                <c:pt idx="128">
                  <c:v>3.0646923525903237E-2</c:v>
                </c:pt>
                <c:pt idx="129">
                  <c:v>3.1115671744728415E-2</c:v>
                </c:pt>
                <c:pt idx="130">
                  <c:v>3.1588067809614484E-2</c:v>
                </c:pt>
                <c:pt idx="131">
                  <c:v>3.2064111720561436E-2</c:v>
                </c:pt>
                <c:pt idx="132">
                  <c:v>3.2543803477569293E-2</c:v>
                </c:pt>
                <c:pt idx="133">
                  <c:v>3.302714308063804E-2</c:v>
                </c:pt>
                <c:pt idx="134">
                  <c:v>3.3514130529767677E-2</c:v>
                </c:pt>
                <c:pt idx="135">
                  <c:v>3.4004765824958233E-2</c:v>
                </c:pt>
                <c:pt idx="136">
                  <c:v>3.4499048966209651E-2</c:v>
                </c:pt>
                <c:pt idx="137">
                  <c:v>3.4996979953522009E-2</c:v>
                </c:pt>
                <c:pt idx="138">
                  <c:v>3.5498558786895236E-2</c:v>
                </c:pt>
                <c:pt idx="139">
                  <c:v>3.600378546632936E-2</c:v>
                </c:pt>
                <c:pt idx="140">
                  <c:v>3.6512659991824389E-2</c:v>
                </c:pt>
                <c:pt idx="141">
                  <c:v>3.7025182363380309E-2</c:v>
                </c:pt>
                <c:pt idx="142">
                  <c:v>3.7541352580997125E-2</c:v>
                </c:pt>
                <c:pt idx="143">
                  <c:v>3.806117064467484E-2</c:v>
                </c:pt>
                <c:pt idx="144">
                  <c:v>3.8584636554413444E-2</c:v>
                </c:pt>
                <c:pt idx="145">
                  <c:v>3.9111750310212939E-2</c:v>
                </c:pt>
                <c:pt idx="146">
                  <c:v>3.9642511912073346E-2</c:v>
                </c:pt>
                <c:pt idx="147">
                  <c:v>4.0176921359994643E-2</c:v>
                </c:pt>
                <c:pt idx="148">
                  <c:v>4.0714978653976844E-2</c:v>
                </c:pt>
                <c:pt idx="149">
                  <c:v>4.1256683794019915E-2</c:v>
                </c:pt>
                <c:pt idx="150">
                  <c:v>4.1802036780123918E-2</c:v>
                </c:pt>
              </c:numCache>
            </c:numRef>
          </c:yVal>
          <c:smooth val="1"/>
          <c:extLst>
            <c:ext xmlns:c16="http://schemas.microsoft.com/office/drawing/2014/chart" uri="{C3380CC4-5D6E-409C-BE32-E72D297353CC}">
              <c16:uniqueId val="{00000003-EBB2-49C9-A014-1F538461E4EA}"/>
            </c:ext>
          </c:extLst>
        </c:ser>
        <c:dLbls>
          <c:showLegendKey val="0"/>
          <c:showVal val="0"/>
          <c:showCatName val="0"/>
          <c:showSerName val="0"/>
          <c:showPercent val="0"/>
          <c:showBubbleSize val="0"/>
        </c:dLbls>
        <c:axId val="157162112"/>
        <c:axId val="157160192"/>
      </c:scatterChart>
      <c:valAx>
        <c:axId val="144893056"/>
        <c:scaling>
          <c:orientation val="minMax"/>
        </c:scaling>
        <c:delete val="0"/>
        <c:axPos val="b"/>
        <c:majorGridlines/>
        <c:numFmt formatCode="General" sourceLinked="1"/>
        <c:majorTickMark val="out"/>
        <c:minorTickMark val="none"/>
        <c:tickLblPos val="nextTo"/>
        <c:crossAx val="144894592"/>
        <c:crosses val="autoZero"/>
        <c:crossBetween val="midCat"/>
      </c:valAx>
      <c:valAx>
        <c:axId val="144894592"/>
        <c:scaling>
          <c:orientation val="minMax"/>
          <c:max val="100"/>
          <c:min val="7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44893056"/>
        <c:crosses val="autoZero"/>
        <c:crossBetween val="midCat"/>
      </c:valAx>
      <c:valAx>
        <c:axId val="157160192"/>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57162112"/>
        <c:crosses val="max"/>
        <c:crossBetween val="midCat"/>
      </c:valAx>
      <c:valAx>
        <c:axId val="157162112"/>
        <c:scaling>
          <c:orientation val="minMax"/>
        </c:scaling>
        <c:delete val="1"/>
        <c:axPos val="b"/>
        <c:title>
          <c:tx>
            <c:rich>
              <a:bodyPr/>
              <a:lstStyle/>
              <a:p>
                <a:pPr>
                  <a:defRPr/>
                </a:pPr>
                <a:r>
                  <a:rPr lang="en-US"/>
                  <a:t>Load</a:t>
                </a:r>
                <a:r>
                  <a:rPr lang="en-US" baseline="0"/>
                  <a:t> Current (A)</a:t>
                </a:r>
                <a:endParaRPr lang="en-US"/>
              </a:p>
            </c:rich>
          </c:tx>
          <c:overlay val="0"/>
        </c:title>
        <c:numFmt formatCode="General" sourceLinked="1"/>
        <c:majorTickMark val="out"/>
        <c:minorTickMark val="none"/>
        <c:tickLblPos val="nextTo"/>
        <c:crossAx val="157160192"/>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Eff_vs_IOUT!$AT$7:$AT$157</c:f>
              <c:numCache>
                <c:formatCode>General</c:formatCode>
                <c:ptCount val="151"/>
                <c:pt idx="0">
                  <c:v>0</c:v>
                </c:pt>
                <c:pt idx="1">
                  <c:v>30.502613805840728</c:v>
                </c:pt>
                <c:pt idx="2">
                  <c:v>45.372976852783282</c:v>
                </c:pt>
                <c:pt idx="3">
                  <c:v>54.175050123728575</c:v>
                </c:pt>
                <c:pt idx="4">
                  <c:v>59.99291338392306</c:v>
                </c:pt>
                <c:pt idx="5">
                  <c:v>64.123627332371953</c:v>
                </c:pt>
                <c:pt idx="6">
                  <c:v>67.207754258435088</c:v>
                </c:pt>
                <c:pt idx="7">
                  <c:v>69.598044416511186</c:v>
                </c:pt>
                <c:pt idx="8">
                  <c:v>71.504752794868637</c:v>
                </c:pt>
                <c:pt idx="9">
                  <c:v>73.060988173163409</c:v>
                </c:pt>
                <c:pt idx="10">
                  <c:v>74.355121175919308</c:v>
                </c:pt>
                <c:pt idx="11">
                  <c:v>75.448121958263741</c:v>
                </c:pt>
                <c:pt idx="12">
                  <c:v>76.383415318142994</c:v>
                </c:pt>
                <c:pt idx="13">
                  <c:v>77.192767892758468</c:v>
                </c:pt>
                <c:pt idx="14">
                  <c:v>77.899954041812606</c:v>
                </c:pt>
                <c:pt idx="15">
                  <c:v>78.523120361305232</c:v>
                </c:pt>
                <c:pt idx="16">
                  <c:v>79.076357683183247</c:v>
                </c:pt>
                <c:pt idx="17">
                  <c:v>79.570774055236456</c:v>
                </c:pt>
                <c:pt idx="18">
                  <c:v>80.015244221213834</c:v>
                </c:pt>
                <c:pt idx="19">
                  <c:v>80.416943943051365</c:v>
                </c:pt>
                <c:pt idx="20">
                  <c:v>80.781737933513682</c:v>
                </c:pt>
                <c:pt idx="21">
                  <c:v>81.11446614542713</c:v>
                </c:pt>
                <c:pt idx="22">
                  <c:v>81.419158186787868</c:v>
                </c:pt>
                <c:pt idx="23">
                  <c:v>81.699196067071213</c:v>
                </c:pt>
                <c:pt idx="24">
                  <c:v>81.957439239281655</c:v>
                </c:pt>
                <c:pt idx="25">
                  <c:v>82.196321749377802</c:v>
                </c:pt>
                <c:pt idx="26">
                  <c:v>82.417928491386633</c:v>
                </c:pt>
                <c:pt idx="27">
                  <c:v>82.62405562928916</c:v>
                </c:pt>
                <c:pt idx="28">
                  <c:v>82.816258892623836</c:v>
                </c:pt>
                <c:pt idx="29">
                  <c:v>82.995892493017251</c:v>
                </c:pt>
                <c:pt idx="30">
                  <c:v>83.164140719885452</c:v>
                </c:pt>
                <c:pt idx="31">
                  <c:v>83.32204377304943</c:v>
                </c:pt>
                <c:pt idx="32">
                  <c:v>83.470519022388231</c:v>
                </c:pt>
                <c:pt idx="33">
                  <c:v>83.61037861183253</c:v>
                </c:pt>
                <c:pt idx="34">
                  <c:v>83.742344120578849</c:v>
                </c:pt>
                <c:pt idx="35">
                  <c:v>83.867058839841349</c:v>
                </c:pt>
                <c:pt idx="36">
                  <c:v>83.985098105599818</c:v>
                </c:pt>
                <c:pt idx="37">
                  <c:v>84.096978037212807</c:v>
                </c:pt>
                <c:pt idx="38">
                  <c:v>84.203162961610261</c:v>
                </c:pt>
                <c:pt idx="39">
                  <c:v>84.304071748062853</c:v>
                </c:pt>
                <c:pt idx="40">
                  <c:v>84.25734750766658</c:v>
                </c:pt>
                <c:pt idx="41">
                  <c:v>84.346015398002862</c:v>
                </c:pt>
                <c:pt idx="42">
                  <c:v>84.430348254556165</c:v>
                </c:pt>
                <c:pt idx="43">
                  <c:v>84.510635559953926</c:v>
                </c:pt>
                <c:pt idx="44">
                  <c:v>84.58714158903598</c:v>
                </c:pt>
                <c:pt idx="45">
                  <c:v>84.660108094221329</c:v>
                </c:pt>
                <c:pt idx="46">
                  <c:v>84.729756654752478</c:v>
                </c:pt>
                <c:pt idx="47">
                  <c:v>84.796290737897479</c:v>
                </c:pt>
                <c:pt idx="48">
                  <c:v>84.859897512488303</c:v>
                </c:pt>
                <c:pt idx="49">
                  <c:v>84.920749448831273</c:v>
                </c:pt>
                <c:pt idx="50">
                  <c:v>84.979005733783083</c:v>
                </c:pt>
                <c:pt idx="51">
                  <c:v>85.034813525434373</c:v>
                </c:pt>
                <c:pt idx="52">
                  <c:v>85.088309068216901</c:v>
                </c:pt>
                <c:pt idx="53">
                  <c:v>85.139618686220075</c:v>
                </c:pt>
                <c:pt idx="54">
                  <c:v>85.188859669957637</c:v>
                </c:pt>
                <c:pt idx="55">
                  <c:v>85.236141069684962</c:v>
                </c:pt>
                <c:pt idx="56">
                  <c:v>85.281564406557308</c:v>
                </c:pt>
                <c:pt idx="57">
                  <c:v>85.325224311388041</c:v>
                </c:pt>
                <c:pt idx="58">
                  <c:v>85.367209099461903</c:v>
                </c:pt>
                <c:pt idx="59">
                  <c:v>85.407601288749746</c:v>
                </c:pt>
                <c:pt idx="60">
                  <c:v>85.446478067920822</c:v>
                </c:pt>
                <c:pt idx="61">
                  <c:v>85.483911719737208</c:v>
                </c:pt>
                <c:pt idx="62">
                  <c:v>85.519970004714381</c:v>
                </c:pt>
                <c:pt idx="63">
                  <c:v>85.554716509332366</c:v>
                </c:pt>
                <c:pt idx="64">
                  <c:v>85.588210962559899</c:v>
                </c:pt>
                <c:pt idx="65">
                  <c:v>85.620509524006039</c:v>
                </c:pt>
                <c:pt idx="66">
                  <c:v>85.651665046622313</c:v>
                </c:pt>
                <c:pt idx="67">
                  <c:v>85.681727316540076</c:v>
                </c:pt>
                <c:pt idx="68">
                  <c:v>85.710743272331086</c:v>
                </c:pt>
                <c:pt idx="69">
                  <c:v>85.738757205722465</c:v>
                </c:pt>
                <c:pt idx="70">
                  <c:v>85.765810945570109</c:v>
                </c:pt>
                <c:pt idx="71">
                  <c:v>85.791944026697905</c:v>
                </c:pt>
                <c:pt idx="72">
                  <c:v>85.817193845035149</c:v>
                </c:pt>
                <c:pt idx="73">
                  <c:v>85.841595800332286</c:v>
                </c:pt>
                <c:pt idx="74">
                  <c:v>85.865183427600172</c:v>
                </c:pt>
                <c:pt idx="75">
                  <c:v>85.88798851829857</c:v>
                </c:pt>
                <c:pt idx="76">
                  <c:v>85.910041232194814</c:v>
                </c:pt>
                <c:pt idx="77">
                  <c:v>85.931370200719954</c:v>
                </c:pt>
                <c:pt idx="78">
                  <c:v>85.952002622566852</c:v>
                </c:pt>
                <c:pt idx="79">
                  <c:v>85.971964352201383</c:v>
                </c:pt>
                <c:pt idx="80">
                  <c:v>85.991279981892006</c:v>
                </c:pt>
                <c:pt idx="81">
                  <c:v>86.009972917805001</c:v>
                </c:pt>
                <c:pt idx="82">
                  <c:v>86.02806545065998</c:v>
                </c:pt>
                <c:pt idx="83">
                  <c:v>86.045578821394358</c:v>
                </c:pt>
                <c:pt idx="84">
                  <c:v>86.062533282242981</c:v>
                </c:pt>
                <c:pt idx="85">
                  <c:v>86.078948153602298</c:v>
                </c:pt>
                <c:pt idx="86">
                  <c:v>86.094841877014588</c:v>
                </c:pt>
                <c:pt idx="87">
                  <c:v>86.110232064577716</c:v>
                </c:pt>
                <c:pt idx="88">
                  <c:v>86.125135545058257</c:v>
                </c:pt>
                <c:pt idx="89">
                  <c:v>86.139568406962368</c:v>
                </c:pt>
                <c:pt idx="90">
                  <c:v>86.153546038795625</c:v>
                </c:pt>
                <c:pt idx="91">
                  <c:v>86.16708316672343</c:v>
                </c:pt>
                <c:pt idx="92">
                  <c:v>86.180193889826199</c:v>
                </c:pt>
                <c:pt idx="93">
                  <c:v>86.192891713126258</c:v>
                </c:pt>
                <c:pt idx="94">
                  <c:v>86.205189578549181</c:v>
                </c:pt>
                <c:pt idx="95">
                  <c:v>86.217099893968694</c:v>
                </c:pt>
                <c:pt idx="96">
                  <c:v>86.228634560472244</c:v>
                </c:pt>
                <c:pt idx="97">
                  <c:v>86.239804997972868</c:v>
                </c:pt>
                <c:pt idx="98">
                  <c:v>86.250622169283545</c:v>
                </c:pt>
                <c:pt idx="99">
                  <c:v>86.261096602760347</c:v>
                </c:pt>
                <c:pt idx="100">
                  <c:v>86.271238413612807</c:v>
                </c:pt>
                <c:pt idx="101">
                  <c:v>86.28105732397222</c:v>
                </c:pt>
                <c:pt idx="102">
                  <c:v>86.290562681801291</c:v>
                </c:pt>
                <c:pt idx="103">
                  <c:v>86.29976347872271</c:v>
                </c:pt>
                <c:pt idx="104">
                  <c:v>86.308668366837878</c:v>
                </c:pt>
                <c:pt idx="105">
                  <c:v>86.317285674601933</c:v>
                </c:pt>
                <c:pt idx="106">
                  <c:v>86.32562342181636</c:v>
                </c:pt>
                <c:pt idx="107">
                  <c:v>86.333689333795789</c:v>
                </c:pt>
                <c:pt idx="108">
                  <c:v>86.341490854761688</c:v>
                </c:pt>
                <c:pt idx="109">
                  <c:v>86.349035160511477</c:v>
                </c:pt>
                <c:pt idx="110">
                  <c:v>86.356329170408713</c:v>
                </c:pt>
                <c:pt idx="111">
                  <c:v>86.363379558736256</c:v>
                </c:pt>
                <c:pt idx="112">
                  <c:v>86.370192765451421</c:v>
                </c:pt>
                <c:pt idx="113">
                  <c:v>86.37677500637983</c:v>
                </c:pt>
                <c:pt idx="114">
                  <c:v>86.383132282881633</c:v>
                </c:pt>
                <c:pt idx="115">
                  <c:v>86.389270391021725</c:v>
                </c:pt>
                <c:pt idx="116">
                  <c:v>86.395194930273533</c:v>
                </c:pt>
                <c:pt idx="117">
                  <c:v>86.400911311783574</c:v>
                </c:pt>
                <c:pt idx="118">
                  <c:v>86.406424766222614</c:v>
                </c:pt>
                <c:pt idx="119">
                  <c:v>86.411740351247474</c:v>
                </c:pt>
                <c:pt idx="120">
                  <c:v>86.416862958595317</c:v>
                </c:pt>
                <c:pt idx="121">
                  <c:v>86.421797320832098</c:v>
                </c:pt>
                <c:pt idx="122">
                  <c:v>86.426548017773911</c:v>
                </c:pt>
                <c:pt idx="123">
                  <c:v>86.431119482600309</c:v>
                </c:pt>
                <c:pt idx="124">
                  <c:v>86.435516007676028</c:v>
                </c:pt>
                <c:pt idx="125">
                  <c:v>86.439741750097895</c:v>
                </c:pt>
                <c:pt idx="126">
                  <c:v>86.443800736981245</c:v>
                </c:pt>
                <c:pt idx="127">
                  <c:v>86.447696870500522</c:v>
                </c:pt>
                <c:pt idx="128">
                  <c:v>86.451433932697171</c:v>
                </c:pt>
                <c:pt idx="129">
                  <c:v>86.455015590066964</c:v>
                </c:pt>
                <c:pt idx="130">
                  <c:v>86.458445397939059</c:v>
                </c:pt>
                <c:pt idx="131">
                  <c:v>86.461726804657076</c:v>
                </c:pt>
                <c:pt idx="132">
                  <c:v>86.464863155573141</c:v>
                </c:pt>
                <c:pt idx="133">
                  <c:v>86.467857696864144</c:v>
                </c:pt>
                <c:pt idx="134">
                  <c:v>86.470713579179588</c:v>
                </c:pt>
                <c:pt idx="135">
                  <c:v>86.473433861129706</c:v>
                </c:pt>
                <c:pt idx="136">
                  <c:v>86.476021512621799</c:v>
                </c:pt>
                <c:pt idx="137">
                  <c:v>86.478479418052345</c:v>
                </c:pt>
                <c:pt idx="138">
                  <c:v>86.480810379362509</c:v>
                </c:pt>
                <c:pt idx="139">
                  <c:v>86.483017118963375</c:v>
                </c:pt>
                <c:pt idx="140">
                  <c:v>86.48510228253754</c:v>
                </c:pt>
                <c:pt idx="141">
                  <c:v>86.48706844172321</c:v>
                </c:pt>
                <c:pt idx="142">
                  <c:v>86.488918096686291</c:v>
                </c:pt>
                <c:pt idx="143">
                  <c:v>86.490653678586042</c:v>
                </c:pt>
                <c:pt idx="144">
                  <c:v>86.492277551939452</c:v>
                </c:pt>
                <c:pt idx="145">
                  <c:v>86.493792016888861</c:v>
                </c:pt>
                <c:pt idx="146">
                  <c:v>86.495199311377817</c:v>
                </c:pt>
                <c:pt idx="147">
                  <c:v>86.496501613239147</c:v>
                </c:pt>
                <c:pt idx="148">
                  <c:v>86.497701042199509</c:v>
                </c:pt>
                <c:pt idx="149">
                  <c:v>86.498799661804341</c:v>
                </c:pt>
                <c:pt idx="150">
                  <c:v>86.499799481266592</c:v>
                </c:pt>
              </c:numCache>
            </c:numRef>
          </c:yVal>
          <c:smooth val="0"/>
          <c:extLst>
            <c:ext xmlns:c16="http://schemas.microsoft.com/office/drawing/2014/chart" uri="{C3380CC4-5D6E-409C-BE32-E72D297353CC}">
              <c16:uniqueId val="{00000000-8AEF-4CD2-9E91-5056CF00EB36}"/>
            </c:ext>
          </c:extLst>
        </c:ser>
        <c:dLbls>
          <c:showLegendKey val="0"/>
          <c:showVal val="0"/>
          <c:showCatName val="0"/>
          <c:showSerName val="0"/>
          <c:showPercent val="0"/>
          <c:showBubbleSize val="0"/>
        </c:dLbls>
        <c:axId val="145036800"/>
        <c:axId val="145038336"/>
      </c:scatterChart>
      <c:scatterChart>
        <c:scatterStyle val="smoothMarker"/>
        <c:varyColors val="0"/>
        <c:ser>
          <c:idx val="1"/>
          <c:order val="1"/>
          <c:tx>
            <c:v>MOSFET</c:v>
          </c:tx>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Eff_vs_IOUT!$AI$7:$AI$157</c:f>
              <c:numCache>
                <c:formatCode>General</c:formatCode>
                <c:ptCount val="151"/>
                <c:pt idx="0">
                  <c:v>0</c:v>
                </c:pt>
                <c:pt idx="1">
                  <c:v>8.5961647397300484E-4</c:v>
                </c:pt>
                <c:pt idx="2">
                  <c:v>1.7215883241893273E-3</c:v>
                </c:pt>
                <c:pt idx="3">
                  <c:v>2.585093501921504E-3</c:v>
                </c:pt>
                <c:pt idx="4">
                  <c:v>3.4498386584342366E-3</c:v>
                </c:pt>
                <c:pt idx="5">
                  <c:v>4.3156542543577045E-3</c:v>
                </c:pt>
                <c:pt idx="6">
                  <c:v>5.1824258978161088E-3</c:v>
                </c:pt>
                <c:pt idx="7">
                  <c:v>6.0500696108235245E-3</c:v>
                </c:pt>
                <c:pt idx="8">
                  <c:v>6.9185203268150143E-3</c:v>
                </c:pt>
                <c:pt idx="9">
                  <c:v>7.7877256971970238E-3</c:v>
                </c:pt>
                <c:pt idx="10">
                  <c:v>8.6576424156786409E-3</c:v>
                </c:pt>
                <c:pt idx="11">
                  <c:v>9.5282338787134012E-3</c:v>
                </c:pt>
                <c:pt idx="12">
                  <c:v>1.0399468615322628E-2</c:v>
                </c:pt>
                <c:pt idx="13">
                  <c:v>1.1271319188478193E-2</c:v>
                </c:pt>
                <c:pt idx="14">
                  <c:v>1.2143761400133705E-2</c:v>
                </c:pt>
                <c:pt idx="15">
                  <c:v>1.3016773699785681E-2</c:v>
                </c:pt>
                <c:pt idx="16">
                  <c:v>1.3890336734074688E-2</c:v>
                </c:pt>
                <c:pt idx="17">
                  <c:v>1.4764432996907341E-2</c:v>
                </c:pt>
                <c:pt idx="18">
                  <c:v>1.5639046552963623E-2</c:v>
                </c:pt>
                <c:pt idx="19">
                  <c:v>1.6514162815906012E-2</c:v>
                </c:pt>
                <c:pt idx="20">
                  <c:v>1.7389768368112627E-2</c:v>
                </c:pt>
                <c:pt idx="21">
                  <c:v>1.8265850812441427E-2</c:v>
                </c:pt>
                <c:pt idx="22">
                  <c:v>1.9142398649058017E-2</c:v>
                </c:pt>
                <c:pt idx="23">
                  <c:v>2.0019401172127287E-2</c:v>
                </c:pt>
                <c:pt idx="24">
                  <c:v>2.0896848382430059E-2</c:v>
                </c:pt>
                <c:pt idx="25">
                  <c:v>2.1774730912880565E-2</c:v>
                </c:pt>
                <c:pt idx="26">
                  <c:v>2.2653039964594175E-2</c:v>
                </c:pt>
                <c:pt idx="27">
                  <c:v>2.353176725165829E-2</c:v>
                </c:pt>
                <c:pt idx="28">
                  <c:v>2.4410904953139589E-2</c:v>
                </c:pt>
                <c:pt idx="29">
                  <c:v>2.5290445671152361E-2</c:v>
                </c:pt>
                <c:pt idx="30">
                  <c:v>2.617038239403769E-2</c:v>
                </c:pt>
                <c:pt idx="31">
                  <c:v>2.7050708463879497E-2</c:v>
                </c:pt>
                <c:pt idx="32">
                  <c:v>2.7931417547721701E-2</c:v>
                </c:pt>
                <c:pt idx="33">
                  <c:v>2.881250361196162E-2</c:v>
                </c:pt>
                <c:pt idx="34">
                  <c:v>2.9693960899482258E-2</c:v>
                </c:pt>
                <c:pt idx="35">
                  <c:v>3.057578390915832E-2</c:v>
                </c:pt>
                <c:pt idx="36">
                  <c:v>3.1457967377427967E-2</c:v>
                </c:pt>
                <c:pt idx="37">
                  <c:v>3.2340506261670135E-2</c:v>
                </c:pt>
                <c:pt idx="38">
                  <c:v>3.3223395725166145E-2</c:v>
                </c:pt>
                <c:pt idx="39">
                  <c:v>3.4106631123456556E-2</c:v>
                </c:pt>
                <c:pt idx="40">
                  <c:v>3.5117801785562432E-2</c:v>
                </c:pt>
                <c:pt idx="41">
                  <c:v>3.6008554754957137E-2</c:v>
                </c:pt>
                <c:pt idx="42">
                  <c:v>3.6900146728945829E-2</c:v>
                </c:pt>
                <c:pt idx="43">
                  <c:v>3.7792577707528544E-2</c:v>
                </c:pt>
                <c:pt idx="44">
                  <c:v>3.8685847690705259E-2</c:v>
                </c:pt>
                <c:pt idx="45">
                  <c:v>3.957995667847599E-2</c:v>
                </c:pt>
                <c:pt idx="46">
                  <c:v>4.0474904670840715E-2</c:v>
                </c:pt>
                <c:pt idx="47">
                  <c:v>4.1370691667799456E-2</c:v>
                </c:pt>
                <c:pt idx="48">
                  <c:v>4.226731766935219E-2</c:v>
                </c:pt>
                <c:pt idx="49">
                  <c:v>4.316478267549894E-2</c:v>
                </c:pt>
                <c:pt idx="50">
                  <c:v>4.4063086686239705E-2</c:v>
                </c:pt>
                <c:pt idx="51">
                  <c:v>4.4962229701574465E-2</c:v>
                </c:pt>
                <c:pt idx="52">
                  <c:v>4.5862211721503232E-2</c:v>
                </c:pt>
                <c:pt idx="53">
                  <c:v>4.6763032746026001E-2</c:v>
                </c:pt>
                <c:pt idx="54">
                  <c:v>4.7664692775142778E-2</c:v>
                </c:pt>
                <c:pt idx="55">
                  <c:v>4.8567191808853563E-2</c:v>
                </c:pt>
                <c:pt idx="56">
                  <c:v>4.9470529847158343E-2</c:v>
                </c:pt>
                <c:pt idx="57">
                  <c:v>5.0374706890057144E-2</c:v>
                </c:pt>
                <c:pt idx="58">
                  <c:v>5.1279722937549954E-2</c:v>
                </c:pt>
                <c:pt idx="59">
                  <c:v>5.2185577989636751E-2</c:v>
                </c:pt>
                <c:pt idx="60">
                  <c:v>5.3092272046317571E-2</c:v>
                </c:pt>
                <c:pt idx="61">
                  <c:v>5.3999805107592391E-2</c:v>
                </c:pt>
                <c:pt idx="62">
                  <c:v>5.4908177173461234E-2</c:v>
                </c:pt>
                <c:pt idx="63">
                  <c:v>5.581738824392405E-2</c:v>
                </c:pt>
                <c:pt idx="64">
                  <c:v>5.6727438318980888E-2</c:v>
                </c:pt>
                <c:pt idx="65">
                  <c:v>5.7638327398631756E-2</c:v>
                </c:pt>
                <c:pt idx="66">
                  <c:v>5.8550055482876603E-2</c:v>
                </c:pt>
                <c:pt idx="67">
                  <c:v>5.9462622571715446E-2</c:v>
                </c:pt>
                <c:pt idx="68">
                  <c:v>6.0376028665148324E-2</c:v>
                </c:pt>
                <c:pt idx="69">
                  <c:v>6.1290273763175196E-2</c:v>
                </c:pt>
                <c:pt idx="70">
                  <c:v>6.2205357865796063E-2</c:v>
                </c:pt>
                <c:pt idx="71">
                  <c:v>6.3121280973010951E-2</c:v>
                </c:pt>
                <c:pt idx="72">
                  <c:v>6.4038043084819835E-2</c:v>
                </c:pt>
                <c:pt idx="73">
                  <c:v>6.4955644201222754E-2</c:v>
                </c:pt>
                <c:pt idx="74">
                  <c:v>6.5874084322219639E-2</c:v>
                </c:pt>
                <c:pt idx="75">
                  <c:v>6.6793363447810533E-2</c:v>
                </c:pt>
                <c:pt idx="76">
                  <c:v>6.7713481577995463E-2</c:v>
                </c:pt>
                <c:pt idx="77">
                  <c:v>6.8634438712774387E-2</c:v>
                </c:pt>
                <c:pt idx="78">
                  <c:v>6.9556234852147306E-2</c:v>
                </c:pt>
                <c:pt idx="79">
                  <c:v>7.0478869996114232E-2</c:v>
                </c:pt>
                <c:pt idx="80">
                  <c:v>7.1402344144675167E-2</c:v>
                </c:pt>
                <c:pt idx="81">
                  <c:v>7.232665729783011E-2</c:v>
                </c:pt>
                <c:pt idx="82">
                  <c:v>7.3251809455579076E-2</c:v>
                </c:pt>
                <c:pt idx="83">
                  <c:v>7.4177800617922021E-2</c:v>
                </c:pt>
                <c:pt idx="84">
                  <c:v>7.5104630784858975E-2</c:v>
                </c:pt>
                <c:pt idx="85">
                  <c:v>7.6032299956389951E-2</c:v>
                </c:pt>
                <c:pt idx="86">
                  <c:v>7.6960808132514935E-2</c:v>
                </c:pt>
                <c:pt idx="87">
                  <c:v>7.7890155313233914E-2</c:v>
                </c:pt>
                <c:pt idx="88">
                  <c:v>7.8820341498546886E-2</c:v>
                </c:pt>
                <c:pt idx="89">
                  <c:v>7.9751366688453895E-2</c:v>
                </c:pt>
                <c:pt idx="90">
                  <c:v>8.0683230882954898E-2</c:v>
                </c:pt>
                <c:pt idx="91">
                  <c:v>8.1615934082049896E-2</c:v>
                </c:pt>
                <c:pt idx="92">
                  <c:v>8.2549476285738915E-2</c:v>
                </c:pt>
                <c:pt idx="93">
                  <c:v>8.3483857494021915E-2</c:v>
                </c:pt>
                <c:pt idx="94">
                  <c:v>8.4419077706898951E-2</c:v>
                </c:pt>
                <c:pt idx="95">
                  <c:v>8.5355136924369968E-2</c:v>
                </c:pt>
                <c:pt idx="96">
                  <c:v>8.6292035146435006E-2</c:v>
                </c:pt>
                <c:pt idx="97">
                  <c:v>8.7229772373094067E-2</c:v>
                </c:pt>
                <c:pt idx="98">
                  <c:v>8.8168348604347094E-2</c:v>
                </c:pt>
                <c:pt idx="99">
                  <c:v>8.9107763840194157E-2</c:v>
                </c:pt>
                <c:pt idx="100">
                  <c:v>9.0048018080635242E-2</c:v>
                </c:pt>
                <c:pt idx="101">
                  <c:v>9.0989111325670266E-2</c:v>
                </c:pt>
                <c:pt idx="102">
                  <c:v>9.1931043575299382E-2</c:v>
                </c:pt>
                <c:pt idx="103">
                  <c:v>9.287381482952245E-2</c:v>
                </c:pt>
                <c:pt idx="104">
                  <c:v>9.381742508833954E-2</c:v>
                </c:pt>
                <c:pt idx="105">
                  <c:v>9.4761874351750652E-2</c:v>
                </c:pt>
                <c:pt idx="106">
                  <c:v>9.5707162619755717E-2</c:v>
                </c:pt>
                <c:pt idx="107">
                  <c:v>9.6653289892354818E-2</c:v>
                </c:pt>
                <c:pt idx="108">
                  <c:v>9.7600256169547928E-2</c:v>
                </c:pt>
                <c:pt idx="109">
                  <c:v>9.8548061451335031E-2</c:v>
                </c:pt>
                <c:pt idx="110">
                  <c:v>9.9496705737716171E-2</c:v>
                </c:pt>
                <c:pt idx="111">
                  <c:v>0.10044618902869132</c:v>
                </c:pt>
                <c:pt idx="112">
                  <c:v>0.10139651132426042</c:v>
                </c:pt>
                <c:pt idx="113">
                  <c:v>0.10234767262442358</c:v>
                </c:pt>
                <c:pt idx="114">
                  <c:v>0.10329967292918071</c:v>
                </c:pt>
                <c:pt idx="115">
                  <c:v>0.10425251223853185</c:v>
                </c:pt>
                <c:pt idx="116">
                  <c:v>0.10520619055247704</c:v>
                </c:pt>
                <c:pt idx="117">
                  <c:v>0.10616070787101621</c:v>
                </c:pt>
                <c:pt idx="118">
                  <c:v>0.10711606419414935</c:v>
                </c:pt>
                <c:pt idx="119">
                  <c:v>0.10807225952187655</c:v>
                </c:pt>
                <c:pt idx="120">
                  <c:v>0.10902929385419771</c:v>
                </c:pt>
                <c:pt idx="121">
                  <c:v>0.10998716719111291</c:v>
                </c:pt>
                <c:pt idx="122">
                  <c:v>0.11094587953262211</c:v>
                </c:pt>
                <c:pt idx="123">
                  <c:v>0.11190543087872531</c:v>
                </c:pt>
                <c:pt idx="124">
                  <c:v>0.11286582122942254</c:v>
                </c:pt>
                <c:pt idx="125">
                  <c:v>0.11382705058471375</c:v>
                </c:pt>
                <c:pt idx="126">
                  <c:v>0.11478911894459895</c:v>
                </c:pt>
                <c:pt idx="127">
                  <c:v>0.11575202630907817</c:v>
                </c:pt>
                <c:pt idx="128">
                  <c:v>0.11671577267815139</c:v>
                </c:pt>
                <c:pt idx="129">
                  <c:v>0.11768035805181866</c:v>
                </c:pt>
                <c:pt idx="130">
                  <c:v>0.11864578243007992</c:v>
                </c:pt>
                <c:pt idx="131">
                  <c:v>0.11961204581293514</c:v>
                </c:pt>
                <c:pt idx="132">
                  <c:v>0.12057914820038441</c:v>
                </c:pt>
                <c:pt idx="133">
                  <c:v>0.1215470895924277</c:v>
                </c:pt>
                <c:pt idx="134">
                  <c:v>0.12251586998906491</c:v>
                </c:pt>
                <c:pt idx="135">
                  <c:v>0.12348548939029622</c:v>
                </c:pt>
                <c:pt idx="136">
                  <c:v>0.12445594779612149</c:v>
                </c:pt>
                <c:pt idx="137">
                  <c:v>0.12542724520654081</c:v>
                </c:pt>
                <c:pt idx="138">
                  <c:v>0.12639938162155409</c:v>
                </c:pt>
                <c:pt idx="139">
                  <c:v>0.12737235704116137</c:v>
                </c:pt>
                <c:pt idx="140">
                  <c:v>0.12834617146536267</c:v>
                </c:pt>
                <c:pt idx="141">
                  <c:v>0.12932082489415797</c:v>
                </c:pt>
                <c:pt idx="142">
                  <c:v>0.13029631732754732</c:v>
                </c:pt>
                <c:pt idx="143">
                  <c:v>0.13127264876553066</c:v>
                </c:pt>
                <c:pt idx="144">
                  <c:v>0.13224981920810797</c:v>
                </c:pt>
                <c:pt idx="145">
                  <c:v>0.13322782865527927</c:v>
                </c:pt>
                <c:pt idx="146">
                  <c:v>0.13420667710704468</c:v>
                </c:pt>
                <c:pt idx="147">
                  <c:v>0.13518636456340399</c:v>
                </c:pt>
                <c:pt idx="148">
                  <c:v>0.13616689102435736</c:v>
                </c:pt>
                <c:pt idx="149">
                  <c:v>0.1371482564899047</c:v>
                </c:pt>
                <c:pt idx="150">
                  <c:v>0.13813046096004608</c:v>
                </c:pt>
              </c:numCache>
            </c:numRef>
          </c:yVal>
          <c:smooth val="1"/>
          <c:extLst>
            <c:ext xmlns:c16="http://schemas.microsoft.com/office/drawing/2014/chart" uri="{C3380CC4-5D6E-409C-BE32-E72D297353CC}">
              <c16:uniqueId val="{00000001-8AEF-4CD2-9E91-5056CF00EB36}"/>
            </c:ext>
          </c:extLst>
        </c:ser>
        <c:ser>
          <c:idx val="2"/>
          <c:order val="2"/>
          <c:tx>
            <c:v>Diode</c:v>
          </c:tx>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Eff_vs_IOUT!$AN$7:$AN$157</c:f>
              <c:numCache>
                <c:formatCode>General</c:formatCode>
                <c:ptCount val="151"/>
                <c:pt idx="0">
                  <c:v>2.4552000000000001E-2</c:v>
                </c:pt>
                <c:pt idx="1">
                  <c:v>3.2285333333333333E-2</c:v>
                </c:pt>
                <c:pt idx="2">
                  <c:v>4.0018666666666668E-2</c:v>
                </c:pt>
                <c:pt idx="3">
                  <c:v>4.7752000000000003E-2</c:v>
                </c:pt>
                <c:pt idx="4">
                  <c:v>5.5485333333333331E-2</c:v>
                </c:pt>
                <c:pt idx="5">
                  <c:v>6.3218666666666659E-2</c:v>
                </c:pt>
                <c:pt idx="6">
                  <c:v>7.0952000000000001E-2</c:v>
                </c:pt>
                <c:pt idx="7">
                  <c:v>7.8685333333333329E-2</c:v>
                </c:pt>
                <c:pt idx="8">
                  <c:v>8.6418666666666671E-2</c:v>
                </c:pt>
                <c:pt idx="9">
                  <c:v>9.4152E-2</c:v>
                </c:pt>
                <c:pt idx="10">
                  <c:v>0.10188533333333333</c:v>
                </c:pt>
                <c:pt idx="11">
                  <c:v>0.10961866666666667</c:v>
                </c:pt>
                <c:pt idx="12">
                  <c:v>0.117352</c:v>
                </c:pt>
                <c:pt idx="13">
                  <c:v>0.12508533333333333</c:v>
                </c:pt>
                <c:pt idx="14">
                  <c:v>0.13281866666666667</c:v>
                </c:pt>
                <c:pt idx="15">
                  <c:v>0.14055199999999998</c:v>
                </c:pt>
                <c:pt idx="16">
                  <c:v>0.14828533333333332</c:v>
                </c:pt>
                <c:pt idx="17">
                  <c:v>0.15601866666666667</c:v>
                </c:pt>
                <c:pt idx="18">
                  <c:v>0.16375199999999998</c:v>
                </c:pt>
                <c:pt idx="19">
                  <c:v>0.17148533333333332</c:v>
                </c:pt>
                <c:pt idx="20">
                  <c:v>0.17921866666666664</c:v>
                </c:pt>
                <c:pt idx="21">
                  <c:v>0.18695200000000001</c:v>
                </c:pt>
                <c:pt idx="22">
                  <c:v>0.19468533333333332</c:v>
                </c:pt>
                <c:pt idx="23">
                  <c:v>0.20241866666666666</c:v>
                </c:pt>
                <c:pt idx="24">
                  <c:v>0.21015199999999998</c:v>
                </c:pt>
                <c:pt idx="25">
                  <c:v>0.21788533333333332</c:v>
                </c:pt>
                <c:pt idx="26">
                  <c:v>0.22561866666666666</c:v>
                </c:pt>
                <c:pt idx="27">
                  <c:v>0.233352</c:v>
                </c:pt>
                <c:pt idx="28">
                  <c:v>0.24108533333333332</c:v>
                </c:pt>
                <c:pt idx="29">
                  <c:v>0.24881866666666666</c:v>
                </c:pt>
                <c:pt idx="30">
                  <c:v>0.256552</c:v>
                </c:pt>
                <c:pt idx="31">
                  <c:v>0.26428533333333337</c:v>
                </c:pt>
                <c:pt idx="32">
                  <c:v>0.27201866666666669</c:v>
                </c:pt>
                <c:pt idx="33">
                  <c:v>0.279752</c:v>
                </c:pt>
                <c:pt idx="34">
                  <c:v>0.28748533333333337</c:v>
                </c:pt>
                <c:pt idx="35">
                  <c:v>0.29521866666666668</c:v>
                </c:pt>
                <c:pt idx="36">
                  <c:v>0.302952</c:v>
                </c:pt>
                <c:pt idx="37">
                  <c:v>0.31068533333333331</c:v>
                </c:pt>
                <c:pt idx="38">
                  <c:v>0.31841866666666668</c:v>
                </c:pt>
                <c:pt idx="39">
                  <c:v>0.326152</c:v>
                </c:pt>
                <c:pt idx="40">
                  <c:v>0.33388533333333331</c:v>
                </c:pt>
                <c:pt idx="41">
                  <c:v>0.34161866666666668</c:v>
                </c:pt>
                <c:pt idx="42">
                  <c:v>0.34935200000000005</c:v>
                </c:pt>
                <c:pt idx="43">
                  <c:v>0.35708533333333337</c:v>
                </c:pt>
                <c:pt idx="44">
                  <c:v>0.36481866666666668</c:v>
                </c:pt>
                <c:pt idx="45">
                  <c:v>0.37255200000000005</c:v>
                </c:pt>
                <c:pt idx="46">
                  <c:v>0.38028533333333336</c:v>
                </c:pt>
                <c:pt idx="47">
                  <c:v>0.38801866666666668</c:v>
                </c:pt>
                <c:pt idx="48">
                  <c:v>0.39575199999999999</c:v>
                </c:pt>
                <c:pt idx="49">
                  <c:v>0.40348533333333331</c:v>
                </c:pt>
                <c:pt idx="50">
                  <c:v>0.41121866666666668</c:v>
                </c:pt>
                <c:pt idx="51">
                  <c:v>0.41895200000000005</c:v>
                </c:pt>
                <c:pt idx="52">
                  <c:v>0.42668533333333336</c:v>
                </c:pt>
                <c:pt idx="53">
                  <c:v>0.43441866666666668</c:v>
                </c:pt>
                <c:pt idx="54">
                  <c:v>0.44215200000000004</c:v>
                </c:pt>
                <c:pt idx="55">
                  <c:v>0.44988533333333336</c:v>
                </c:pt>
                <c:pt idx="56">
                  <c:v>0.45761866666666667</c:v>
                </c:pt>
                <c:pt idx="57">
                  <c:v>0.46535199999999999</c:v>
                </c:pt>
                <c:pt idx="58">
                  <c:v>0.47308533333333336</c:v>
                </c:pt>
                <c:pt idx="59">
                  <c:v>0.48081866666666667</c:v>
                </c:pt>
                <c:pt idx="60">
                  <c:v>0.48855199999999999</c:v>
                </c:pt>
                <c:pt idx="61">
                  <c:v>0.49628533333333336</c:v>
                </c:pt>
                <c:pt idx="62">
                  <c:v>0.50401866666666673</c:v>
                </c:pt>
                <c:pt idx="63">
                  <c:v>0.51175199999999998</c:v>
                </c:pt>
                <c:pt idx="64">
                  <c:v>0.51948533333333335</c:v>
                </c:pt>
                <c:pt idx="65">
                  <c:v>0.52721866666666661</c:v>
                </c:pt>
                <c:pt idx="66">
                  <c:v>0.53495199999999998</c:v>
                </c:pt>
                <c:pt idx="67">
                  <c:v>0.54268533333333335</c:v>
                </c:pt>
                <c:pt idx="68">
                  <c:v>0.55041866666666672</c:v>
                </c:pt>
                <c:pt idx="69">
                  <c:v>0.55815199999999998</c:v>
                </c:pt>
                <c:pt idx="70">
                  <c:v>0.56588533333333335</c:v>
                </c:pt>
                <c:pt idx="71">
                  <c:v>0.57361866666666672</c:v>
                </c:pt>
                <c:pt idx="72">
                  <c:v>0.58135199999999998</c:v>
                </c:pt>
                <c:pt idx="73">
                  <c:v>0.58908533333333335</c:v>
                </c:pt>
                <c:pt idx="74">
                  <c:v>0.59681866666666661</c:v>
                </c:pt>
                <c:pt idx="75">
                  <c:v>0.60455199999999998</c:v>
                </c:pt>
                <c:pt idx="76">
                  <c:v>0.61228533333333335</c:v>
                </c:pt>
                <c:pt idx="77">
                  <c:v>0.62001866666666672</c:v>
                </c:pt>
                <c:pt idx="78">
                  <c:v>0.62775199999999998</c:v>
                </c:pt>
                <c:pt idx="79">
                  <c:v>0.63548533333333335</c:v>
                </c:pt>
                <c:pt idx="80">
                  <c:v>0.64321866666666661</c:v>
                </c:pt>
                <c:pt idx="81">
                  <c:v>0.65095199999999998</c:v>
                </c:pt>
                <c:pt idx="82">
                  <c:v>0.65868533333333334</c:v>
                </c:pt>
                <c:pt idx="83">
                  <c:v>0.6664186666666666</c:v>
                </c:pt>
                <c:pt idx="84">
                  <c:v>0.67415200000000008</c:v>
                </c:pt>
                <c:pt idx="85">
                  <c:v>0.68188533333333334</c:v>
                </c:pt>
                <c:pt idx="86">
                  <c:v>0.68961866666666671</c:v>
                </c:pt>
                <c:pt idx="87">
                  <c:v>0.69735200000000008</c:v>
                </c:pt>
                <c:pt idx="88">
                  <c:v>0.70508533333333334</c:v>
                </c:pt>
                <c:pt idx="89">
                  <c:v>0.71281866666666671</c:v>
                </c:pt>
                <c:pt idx="90">
                  <c:v>0.72055200000000008</c:v>
                </c:pt>
                <c:pt idx="91">
                  <c:v>0.72828533333333334</c:v>
                </c:pt>
                <c:pt idx="92">
                  <c:v>0.73601866666666671</c:v>
                </c:pt>
                <c:pt idx="93">
                  <c:v>0.74375199999999997</c:v>
                </c:pt>
                <c:pt idx="94">
                  <c:v>0.75148533333333334</c:v>
                </c:pt>
                <c:pt idx="95">
                  <c:v>0.75921866666666671</c:v>
                </c:pt>
                <c:pt idx="96">
                  <c:v>0.76695199999999997</c:v>
                </c:pt>
                <c:pt idx="97">
                  <c:v>0.77468533333333334</c:v>
                </c:pt>
                <c:pt idx="98">
                  <c:v>0.7824186666666666</c:v>
                </c:pt>
                <c:pt idx="99">
                  <c:v>0.79015199999999997</c:v>
                </c:pt>
                <c:pt idx="100">
                  <c:v>0.79788533333333334</c:v>
                </c:pt>
                <c:pt idx="101">
                  <c:v>0.80561866666666659</c:v>
                </c:pt>
                <c:pt idx="102">
                  <c:v>0.81335200000000007</c:v>
                </c:pt>
                <c:pt idx="103">
                  <c:v>0.82108533333333344</c:v>
                </c:pt>
                <c:pt idx="104">
                  <c:v>0.8288186666666667</c:v>
                </c:pt>
                <c:pt idx="105">
                  <c:v>0.83655200000000007</c:v>
                </c:pt>
                <c:pt idx="106">
                  <c:v>0.84428533333333333</c:v>
                </c:pt>
                <c:pt idx="107">
                  <c:v>0.8520186666666667</c:v>
                </c:pt>
                <c:pt idx="108">
                  <c:v>0.85975200000000007</c:v>
                </c:pt>
                <c:pt idx="109">
                  <c:v>0.86748533333333333</c:v>
                </c:pt>
                <c:pt idx="110">
                  <c:v>0.8752186666666667</c:v>
                </c:pt>
                <c:pt idx="111">
                  <c:v>0.88295200000000007</c:v>
                </c:pt>
                <c:pt idx="112">
                  <c:v>0.89068533333333333</c:v>
                </c:pt>
                <c:pt idx="113">
                  <c:v>0.8984186666666667</c:v>
                </c:pt>
                <c:pt idx="114">
                  <c:v>0.90615199999999996</c:v>
                </c:pt>
                <c:pt idx="115">
                  <c:v>0.91388533333333333</c:v>
                </c:pt>
                <c:pt idx="116">
                  <c:v>0.9216186666666667</c:v>
                </c:pt>
                <c:pt idx="117">
                  <c:v>0.92935199999999996</c:v>
                </c:pt>
                <c:pt idx="118">
                  <c:v>0.93708533333333333</c:v>
                </c:pt>
                <c:pt idx="119">
                  <c:v>0.94481866666666658</c:v>
                </c:pt>
                <c:pt idx="120">
                  <c:v>0.95255199999999995</c:v>
                </c:pt>
                <c:pt idx="121">
                  <c:v>0.96028533333333344</c:v>
                </c:pt>
                <c:pt idx="122">
                  <c:v>0.96801866666666669</c:v>
                </c:pt>
                <c:pt idx="123">
                  <c:v>0.97575200000000006</c:v>
                </c:pt>
                <c:pt idx="124">
                  <c:v>0.98348533333333343</c:v>
                </c:pt>
                <c:pt idx="125">
                  <c:v>0.99121866666666669</c:v>
                </c:pt>
                <c:pt idx="126">
                  <c:v>0.99895200000000006</c:v>
                </c:pt>
                <c:pt idx="127">
                  <c:v>1.0066853333333332</c:v>
                </c:pt>
                <c:pt idx="128">
                  <c:v>1.0144186666666666</c:v>
                </c:pt>
                <c:pt idx="129">
                  <c:v>1.0221519999999999</c:v>
                </c:pt>
                <c:pt idx="130">
                  <c:v>1.0298853333333331</c:v>
                </c:pt>
                <c:pt idx="131">
                  <c:v>1.0376186666666667</c:v>
                </c:pt>
                <c:pt idx="132">
                  <c:v>1.0453519999999998</c:v>
                </c:pt>
                <c:pt idx="133">
                  <c:v>1.0530853333333332</c:v>
                </c:pt>
                <c:pt idx="134">
                  <c:v>1.0608186666666666</c:v>
                </c:pt>
                <c:pt idx="135">
                  <c:v>1.0685519999999999</c:v>
                </c:pt>
                <c:pt idx="136">
                  <c:v>1.0762853333333333</c:v>
                </c:pt>
                <c:pt idx="137">
                  <c:v>1.0840186666666667</c:v>
                </c:pt>
                <c:pt idx="138">
                  <c:v>1.0917519999999998</c:v>
                </c:pt>
                <c:pt idx="139">
                  <c:v>1.0994853333333332</c:v>
                </c:pt>
                <c:pt idx="140">
                  <c:v>1.1072186666666666</c:v>
                </c:pt>
                <c:pt idx="141">
                  <c:v>1.1149519999999999</c:v>
                </c:pt>
                <c:pt idx="142">
                  <c:v>1.1226853333333333</c:v>
                </c:pt>
                <c:pt idx="143">
                  <c:v>1.1304186666666665</c:v>
                </c:pt>
                <c:pt idx="144">
                  <c:v>1.1381519999999998</c:v>
                </c:pt>
                <c:pt idx="145">
                  <c:v>1.1458853333333332</c:v>
                </c:pt>
                <c:pt idx="146">
                  <c:v>1.1536186666666666</c:v>
                </c:pt>
                <c:pt idx="147">
                  <c:v>1.1613519999999999</c:v>
                </c:pt>
                <c:pt idx="148">
                  <c:v>1.1690853333333331</c:v>
                </c:pt>
                <c:pt idx="149">
                  <c:v>1.1768186666666667</c:v>
                </c:pt>
                <c:pt idx="150">
                  <c:v>1.1845519999999998</c:v>
                </c:pt>
              </c:numCache>
            </c:numRef>
          </c:yVal>
          <c:smooth val="1"/>
          <c:extLst>
            <c:ext xmlns:c16="http://schemas.microsoft.com/office/drawing/2014/chart" uri="{C3380CC4-5D6E-409C-BE32-E72D297353CC}">
              <c16:uniqueId val="{00000002-8AEF-4CD2-9E91-5056CF00EB36}"/>
            </c:ext>
          </c:extLst>
        </c:ser>
        <c:ser>
          <c:idx val="3"/>
          <c:order val="3"/>
          <c:tx>
            <c:v>RCS</c:v>
          </c:tx>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Eff_vs_IOUT!$AO$7:$AO$157</c:f>
              <c:numCache>
                <c:formatCode>General</c:formatCode>
                <c:ptCount val="151"/>
                <c:pt idx="0">
                  <c:v>0</c:v>
                </c:pt>
                <c:pt idx="1">
                  <c:v>1.2361698415453879E-5</c:v>
                </c:pt>
                <c:pt idx="2">
                  <c:v>3.4964163106201735E-5</c:v>
                </c:pt>
                <c:pt idx="3">
                  <c:v>6.4233269170229379E-5</c:v>
                </c:pt>
                <c:pt idx="4">
                  <c:v>9.8893587323631003E-5</c:v>
                </c:pt>
                <c:pt idx="5">
                  <c:v>1.382079898715315E-4</c:v>
                </c:pt>
                <c:pt idx="6">
                  <c:v>1.8167912083220006E-4</c:v>
                </c:pt>
                <c:pt idx="7">
                  <c:v>2.2894185852770512E-4</c:v>
                </c:pt>
                <c:pt idx="8">
                  <c:v>2.7971330484961388E-4</c:v>
                </c:pt>
                <c:pt idx="9">
                  <c:v>3.3376585721725478E-4</c:v>
                </c:pt>
                <c:pt idx="10">
                  <c:v>3.9091122740928647E-4</c:v>
                </c:pt>
                <c:pt idx="11">
                  <c:v>4.5099026957150533E-4</c:v>
                </c:pt>
                <c:pt idx="12">
                  <c:v>5.1386615336183514E-4</c:v>
                </c:pt>
                <c:pt idx="13">
                  <c:v>5.7941958735363173E-4</c:v>
                </c:pt>
                <c:pt idx="14">
                  <c:v>6.4754536264956632E-4</c:v>
                </c:pt>
                <c:pt idx="15">
                  <c:v>7.1814978140837243E-4</c:v>
                </c:pt>
                <c:pt idx="16">
                  <c:v>7.9114869858904824E-4</c:v>
                </c:pt>
                <c:pt idx="17">
                  <c:v>8.6646600074209593E-4</c:v>
                </c:pt>
                <c:pt idx="18">
                  <c:v>9.4403240386744689E-4</c:v>
                </c:pt>
                <c:pt idx="19">
                  <c:v>1.0237844891063165E-3</c:v>
                </c:pt>
                <c:pt idx="20">
                  <c:v>1.105663918972252E-3</c:v>
                </c:pt>
                <c:pt idx="21">
                  <c:v>1.1896167928476945E-3</c:v>
                </c:pt>
                <c:pt idx="22">
                  <c:v>1.2755931114526423E-3</c:v>
                </c:pt>
                <c:pt idx="23">
                  <c:v>1.3635463276779282E-3</c:v>
                </c:pt>
                <c:pt idx="24">
                  <c:v>1.4534329666576007E-3</c:v>
                </c:pt>
                <c:pt idx="25">
                  <c:v>1.545212301931734E-3</c:v>
                </c:pt>
                <c:pt idx="26">
                  <c:v>1.6388460774802557E-3</c:v>
                </c:pt>
                <c:pt idx="27">
                  <c:v>1.7342982675961946E-3</c:v>
                </c:pt>
                <c:pt idx="28">
                  <c:v>1.8315348682216412E-3</c:v>
                </c:pt>
                <c:pt idx="29">
                  <c:v>1.9305237146360643E-3</c:v>
                </c:pt>
                <c:pt idx="30">
                  <c:v>2.0312343213659866E-3</c:v>
                </c:pt>
                <c:pt idx="31">
                  <c:v>2.1336377409501115E-3</c:v>
                </c:pt>
                <c:pt idx="32">
                  <c:v>2.237706438796911E-3</c:v>
                </c:pt>
                <c:pt idx="33">
                  <c:v>2.3434141818510935E-3</c:v>
                </c:pt>
                <c:pt idx="34">
                  <c:v>2.4507359391692965E-3</c:v>
                </c:pt>
                <c:pt idx="35">
                  <c:v>2.5596477928154439E-3</c:v>
                </c:pt>
                <c:pt idx="36">
                  <c:v>2.6701268577380378E-3</c:v>
                </c:pt>
                <c:pt idx="37">
                  <c:v>2.7821512094976788E-3</c:v>
                </c:pt>
                <c:pt idx="38">
                  <c:v>2.8956998188827254E-3</c:v>
                </c:pt>
                <c:pt idx="39">
                  <c:v>3.0107524925912501E-3</c:v>
                </c:pt>
                <c:pt idx="40">
                  <c:v>3.6820454437583058E-3</c:v>
                </c:pt>
                <c:pt idx="41">
                  <c:v>3.8297832092246053E-3</c:v>
                </c:pt>
                <c:pt idx="42">
                  <c:v>3.9811688207517983E-3</c:v>
                </c:pt>
                <c:pt idx="43">
                  <c:v>4.1362022783398853E-3</c:v>
                </c:pt>
                <c:pt idx="44">
                  <c:v>4.2948835819888722E-3</c:v>
                </c:pt>
                <c:pt idx="45">
                  <c:v>4.4572127316987575E-3</c:v>
                </c:pt>
                <c:pt idx="46">
                  <c:v>4.6231897274695332E-3</c:v>
                </c:pt>
                <c:pt idx="47">
                  <c:v>4.792814569301208E-3</c:v>
                </c:pt>
                <c:pt idx="48">
                  <c:v>4.9660872571937785E-3</c:v>
                </c:pt>
                <c:pt idx="49">
                  <c:v>5.1430077911472482E-3</c:v>
                </c:pt>
                <c:pt idx="50">
                  <c:v>5.3235761711616101E-3</c:v>
                </c:pt>
                <c:pt idx="51">
                  <c:v>5.5077923972368693E-3</c:v>
                </c:pt>
                <c:pt idx="52">
                  <c:v>5.695656469373026E-3</c:v>
                </c:pt>
                <c:pt idx="53">
                  <c:v>5.8871683875700758E-3</c:v>
                </c:pt>
                <c:pt idx="54">
                  <c:v>6.0823281518280273E-3</c:v>
                </c:pt>
                <c:pt idx="55">
                  <c:v>6.281135762146871E-3</c:v>
                </c:pt>
                <c:pt idx="56">
                  <c:v>6.4835912185266121E-3</c:v>
                </c:pt>
                <c:pt idx="57">
                  <c:v>6.6896945209672489E-3</c:v>
                </c:pt>
                <c:pt idx="58">
                  <c:v>6.8994456694687822E-3</c:v>
                </c:pt>
                <c:pt idx="59">
                  <c:v>7.1128446640312121E-3</c:v>
                </c:pt>
                <c:pt idx="60">
                  <c:v>7.3298915046545367E-3</c:v>
                </c:pt>
                <c:pt idx="61">
                  <c:v>7.5505861913387571E-3</c:v>
                </c:pt>
                <c:pt idx="62">
                  <c:v>7.7749287240838818E-3</c:v>
                </c:pt>
                <c:pt idx="63">
                  <c:v>8.0029191028898935E-3</c:v>
                </c:pt>
                <c:pt idx="64">
                  <c:v>8.2345573277568043E-3</c:v>
                </c:pt>
                <c:pt idx="65">
                  <c:v>8.4698433986846091E-3</c:v>
                </c:pt>
                <c:pt idx="66">
                  <c:v>8.7087773156733182E-3</c:v>
                </c:pt>
                <c:pt idx="67">
                  <c:v>8.9513590787229074E-3</c:v>
                </c:pt>
                <c:pt idx="68">
                  <c:v>9.1975886878334096E-3</c:v>
                </c:pt>
                <c:pt idx="69">
                  <c:v>9.447466143004804E-3</c:v>
                </c:pt>
                <c:pt idx="70">
                  <c:v>9.7009914442370906E-3</c:v>
                </c:pt>
                <c:pt idx="71">
                  <c:v>9.9581645915302799E-3</c:v>
                </c:pt>
                <c:pt idx="72">
                  <c:v>1.0218985584884351E-2</c:v>
                </c:pt>
                <c:pt idx="73">
                  <c:v>1.0483454424299333E-2</c:v>
                </c:pt>
                <c:pt idx="74">
                  <c:v>1.0751571109775204E-2</c:v>
                </c:pt>
                <c:pt idx="75">
                  <c:v>1.1023335641311967E-2</c:v>
                </c:pt>
                <c:pt idx="76">
                  <c:v>1.1298748018909637E-2</c:v>
                </c:pt>
                <c:pt idx="77">
                  <c:v>1.1577808242568209E-2</c:v>
                </c:pt>
                <c:pt idx="78">
                  <c:v>1.1860516312287661E-2</c:v>
                </c:pt>
                <c:pt idx="79">
                  <c:v>1.2146872228068015E-2</c:v>
                </c:pt>
                <c:pt idx="80">
                  <c:v>1.2436875989909264E-2</c:v>
                </c:pt>
                <c:pt idx="81">
                  <c:v>1.2730527597811408E-2</c:v>
                </c:pt>
                <c:pt idx="82">
                  <c:v>1.302782705177445E-2</c:v>
                </c:pt>
                <c:pt idx="83">
                  <c:v>1.3328774351798385E-2</c:v>
                </c:pt>
                <c:pt idx="84">
                  <c:v>1.3633369497883224E-2</c:v>
                </c:pt>
                <c:pt idx="85">
                  <c:v>1.3941612490028945E-2</c:v>
                </c:pt>
                <c:pt idx="86">
                  <c:v>1.4253503328235587E-2</c:v>
                </c:pt>
                <c:pt idx="87">
                  <c:v>1.4569042012503114E-2</c:v>
                </c:pt>
                <c:pt idx="88">
                  <c:v>1.4888228542831528E-2</c:v>
                </c:pt>
                <c:pt idx="89">
                  <c:v>1.5211062919220846E-2</c:v>
                </c:pt>
                <c:pt idx="90">
                  <c:v>1.5537545141671058E-2</c:v>
                </c:pt>
                <c:pt idx="91">
                  <c:v>1.5867675210182161E-2</c:v>
                </c:pt>
                <c:pt idx="92">
                  <c:v>1.620145312475417E-2</c:v>
                </c:pt>
                <c:pt idx="93">
                  <c:v>1.6538878885387073E-2</c:v>
                </c:pt>
                <c:pt idx="94">
                  <c:v>1.6879952492080873E-2</c:v>
                </c:pt>
                <c:pt idx="95">
                  <c:v>1.722467394483557E-2</c:v>
                </c:pt>
                <c:pt idx="96">
                  <c:v>1.7573043243651151E-2</c:v>
                </c:pt>
                <c:pt idx="97">
                  <c:v>1.792506038852764E-2</c:v>
                </c:pt>
                <c:pt idx="98">
                  <c:v>1.8280725379465023E-2</c:v>
                </c:pt>
                <c:pt idx="99">
                  <c:v>1.864003821646331E-2</c:v>
                </c:pt>
                <c:pt idx="100">
                  <c:v>1.9002998899522484E-2</c:v>
                </c:pt>
                <c:pt idx="101">
                  <c:v>1.9369607428642546E-2</c:v>
                </c:pt>
                <c:pt idx="102">
                  <c:v>1.9739863803823518E-2</c:v>
                </c:pt>
                <c:pt idx="103">
                  <c:v>2.0113768025065384E-2</c:v>
                </c:pt>
                <c:pt idx="104">
                  <c:v>2.0491320092368141E-2</c:v>
                </c:pt>
                <c:pt idx="105">
                  <c:v>2.0872520005731796E-2</c:v>
                </c:pt>
                <c:pt idx="106">
                  <c:v>2.1257367765156344E-2</c:v>
                </c:pt>
                <c:pt idx="107">
                  <c:v>2.16458633706418E-2</c:v>
                </c:pt>
                <c:pt idx="108">
                  <c:v>2.2038006822188146E-2</c:v>
                </c:pt>
                <c:pt idx="109">
                  <c:v>2.243379811979538E-2</c:v>
                </c:pt>
                <c:pt idx="110">
                  <c:v>2.2833237263463514E-2</c:v>
                </c:pt>
                <c:pt idx="111">
                  <c:v>2.3236324253192553E-2</c:v>
                </c:pt>
                <c:pt idx="112">
                  <c:v>2.3643059088982479E-2</c:v>
                </c:pt>
                <c:pt idx="113">
                  <c:v>2.4053441770833305E-2</c:v>
                </c:pt>
                <c:pt idx="114">
                  <c:v>2.4467472298745029E-2</c:v>
                </c:pt>
                <c:pt idx="115">
                  <c:v>2.4885150672717647E-2</c:v>
                </c:pt>
                <c:pt idx="116">
                  <c:v>2.5306476892751173E-2</c:v>
                </c:pt>
                <c:pt idx="117">
                  <c:v>2.5731450958845582E-2</c:v>
                </c:pt>
                <c:pt idx="118">
                  <c:v>2.6160072871000879E-2</c:v>
                </c:pt>
                <c:pt idx="119">
                  <c:v>2.6592342629217086E-2</c:v>
                </c:pt>
                <c:pt idx="120">
                  <c:v>2.7028260233494174E-2</c:v>
                </c:pt>
                <c:pt idx="121">
                  <c:v>2.7467825683832183E-2</c:v>
                </c:pt>
                <c:pt idx="122">
                  <c:v>2.7911038980231066E-2</c:v>
                </c:pt>
                <c:pt idx="123">
                  <c:v>2.8357900122690866E-2</c:v>
                </c:pt>
                <c:pt idx="124">
                  <c:v>2.880840911121155E-2</c:v>
                </c:pt>
                <c:pt idx="125">
                  <c:v>2.9262565945793132E-2</c:v>
                </c:pt>
                <c:pt idx="126">
                  <c:v>2.9720370626435601E-2</c:v>
                </c:pt>
                <c:pt idx="127">
                  <c:v>3.0181823153138984E-2</c:v>
                </c:pt>
                <c:pt idx="128">
                  <c:v>3.0646923525903237E-2</c:v>
                </c:pt>
                <c:pt idx="129">
                  <c:v>3.1115671744728415E-2</c:v>
                </c:pt>
                <c:pt idx="130">
                  <c:v>3.1588067809614484E-2</c:v>
                </c:pt>
                <c:pt idx="131">
                  <c:v>3.2064111720561436E-2</c:v>
                </c:pt>
                <c:pt idx="132">
                  <c:v>3.2543803477569293E-2</c:v>
                </c:pt>
                <c:pt idx="133">
                  <c:v>3.302714308063804E-2</c:v>
                </c:pt>
                <c:pt idx="134">
                  <c:v>3.3514130529767677E-2</c:v>
                </c:pt>
                <c:pt idx="135">
                  <c:v>3.4004765824958233E-2</c:v>
                </c:pt>
                <c:pt idx="136">
                  <c:v>3.4499048966209651E-2</c:v>
                </c:pt>
                <c:pt idx="137">
                  <c:v>3.4996979953522009E-2</c:v>
                </c:pt>
                <c:pt idx="138">
                  <c:v>3.5498558786895236E-2</c:v>
                </c:pt>
                <c:pt idx="139">
                  <c:v>3.600378546632936E-2</c:v>
                </c:pt>
                <c:pt idx="140">
                  <c:v>3.6512659991824389E-2</c:v>
                </c:pt>
                <c:pt idx="141">
                  <c:v>3.7025182363380309E-2</c:v>
                </c:pt>
                <c:pt idx="142">
                  <c:v>3.7541352580997125E-2</c:v>
                </c:pt>
                <c:pt idx="143">
                  <c:v>3.806117064467484E-2</c:v>
                </c:pt>
                <c:pt idx="144">
                  <c:v>3.8584636554413444E-2</c:v>
                </c:pt>
                <c:pt idx="145">
                  <c:v>3.9111750310212939E-2</c:v>
                </c:pt>
                <c:pt idx="146">
                  <c:v>3.9642511912073346E-2</c:v>
                </c:pt>
                <c:pt idx="147">
                  <c:v>4.0176921359994643E-2</c:v>
                </c:pt>
                <c:pt idx="148">
                  <c:v>4.0714978653976844E-2</c:v>
                </c:pt>
                <c:pt idx="149">
                  <c:v>4.1256683794019915E-2</c:v>
                </c:pt>
                <c:pt idx="150">
                  <c:v>4.1802036780123918E-2</c:v>
                </c:pt>
              </c:numCache>
            </c:numRef>
          </c:yVal>
          <c:smooth val="1"/>
          <c:extLst>
            <c:ext xmlns:c16="http://schemas.microsoft.com/office/drawing/2014/chart" uri="{C3380CC4-5D6E-409C-BE32-E72D297353CC}">
              <c16:uniqueId val="{00000003-8AEF-4CD2-9E91-5056CF00EB36}"/>
            </c:ext>
          </c:extLst>
        </c:ser>
        <c:dLbls>
          <c:showLegendKey val="0"/>
          <c:showVal val="0"/>
          <c:showCatName val="0"/>
          <c:showSerName val="0"/>
          <c:showPercent val="0"/>
          <c:showBubbleSize val="0"/>
        </c:dLbls>
        <c:axId val="145058432"/>
        <c:axId val="145056896"/>
      </c:scatterChart>
      <c:valAx>
        <c:axId val="145036800"/>
        <c:scaling>
          <c:orientation val="minMax"/>
        </c:scaling>
        <c:delete val="0"/>
        <c:axPos val="b"/>
        <c:majorGridlines/>
        <c:numFmt formatCode="General" sourceLinked="1"/>
        <c:majorTickMark val="out"/>
        <c:minorTickMark val="none"/>
        <c:tickLblPos val="nextTo"/>
        <c:crossAx val="145038336"/>
        <c:crosses val="autoZero"/>
        <c:crossBetween val="midCat"/>
      </c:valAx>
      <c:valAx>
        <c:axId val="145038336"/>
        <c:scaling>
          <c:orientation val="minMax"/>
          <c:max val="10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145036800"/>
        <c:crosses val="autoZero"/>
        <c:crossBetween val="midCat"/>
      </c:valAx>
      <c:valAx>
        <c:axId val="145056896"/>
        <c:scaling>
          <c:orientation val="minMax"/>
        </c:scaling>
        <c:delete val="0"/>
        <c:axPos val="r"/>
        <c:numFmt formatCode="General" sourceLinked="1"/>
        <c:majorTickMark val="out"/>
        <c:minorTickMark val="none"/>
        <c:tickLblPos val="nextTo"/>
        <c:crossAx val="145058432"/>
        <c:crosses val="max"/>
        <c:crossBetween val="midCat"/>
      </c:valAx>
      <c:valAx>
        <c:axId val="145058432"/>
        <c:scaling>
          <c:orientation val="minMax"/>
        </c:scaling>
        <c:delete val="1"/>
        <c:axPos val="b"/>
        <c:numFmt formatCode="General" sourceLinked="1"/>
        <c:majorTickMark val="out"/>
        <c:minorTickMark val="none"/>
        <c:tickLblPos val="nextTo"/>
        <c:crossAx val="145056896"/>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16.760110317078201</c:v>
                </c:pt>
                <c:pt idx="1">
                  <c:v>16.760057449762947</c:v>
                </c:pt>
                <c:pt idx="2">
                  <c:v>16.760002091577658</c:v>
                </c:pt>
                <c:pt idx="3">
                  <c:v>16.759944125197798</c:v>
                </c:pt>
                <c:pt idx="4">
                  <c:v>16.759883427775897</c:v>
                </c:pt>
                <c:pt idx="5">
                  <c:v>16.759819870681838</c:v>
                </c:pt>
                <c:pt idx="6">
                  <c:v>16.759753319231148</c:v>
                </c:pt>
                <c:pt idx="7">
                  <c:v>16.759683632400296</c:v>
                </c:pt>
                <c:pt idx="8">
                  <c:v>16.759610662528793</c:v>
                </c:pt>
                <c:pt idx="9">
                  <c:v>16.759534255007274</c:v>
                </c:pt>
                <c:pt idx="10">
                  <c:v>16.75945424795103</c:v>
                </c:pt>
                <c:pt idx="11">
                  <c:v>16.759370471858141</c:v>
                </c:pt>
                <c:pt idx="12">
                  <c:v>16.759282749251728</c:v>
                </c:pt>
                <c:pt idx="13">
                  <c:v>16.759190894305377</c:v>
                </c:pt>
                <c:pt idx="14">
                  <c:v>16.759094712451073</c:v>
                </c:pt>
                <c:pt idx="15">
                  <c:v>16.758993999968702</c:v>
                </c:pt>
                <c:pt idx="16">
                  <c:v>16.758888543556466</c:v>
                </c:pt>
                <c:pt idx="17">
                  <c:v>16.758778119881232</c:v>
                </c:pt>
                <c:pt idx="18">
                  <c:v>16.758662495107746</c:v>
                </c:pt>
                <c:pt idx="19">
                  <c:v>16.758541424405962</c:v>
                </c:pt>
                <c:pt idx="20">
                  <c:v>16.758414651435299</c:v>
                </c:pt>
                <c:pt idx="21">
                  <c:v>16.75828190780485</c:v>
                </c:pt>
                <c:pt idx="22">
                  <c:v>16.758142912508532</c:v>
                </c:pt>
                <c:pt idx="23">
                  <c:v>16.757997371333623</c:v>
                </c:pt>
                <c:pt idx="24">
                  <c:v>16.757844976242019</c:v>
                </c:pt>
                <c:pt idx="25">
                  <c:v>16.757685404722519</c:v>
                </c:pt>
                <c:pt idx="26">
                  <c:v>16.757518319113036</c:v>
                </c:pt>
                <c:pt idx="27">
                  <c:v>16.757343365891099</c:v>
                </c:pt>
                <c:pt idx="28">
                  <c:v>16.757160174931713</c:v>
                </c:pt>
                <c:pt idx="29">
                  <c:v>16.75696835873034</c:v>
                </c:pt>
                <c:pt idx="30">
                  <c:v>16.756767511590045</c:v>
                </c:pt>
                <c:pt idx="31">
                  <c:v>16.756557208770928</c:v>
                </c:pt>
                <c:pt idx="32">
                  <c:v>16.756337005600013</c:v>
                </c:pt>
                <c:pt idx="33">
                  <c:v>16.75610643653987</c:v>
                </c:pt>
                <c:pt idx="34">
                  <c:v>16.755865014214297</c:v>
                </c:pt>
                <c:pt idx="35">
                  <c:v>16.755612228388838</c:v>
                </c:pt>
                <c:pt idx="36">
                  <c:v>16.755347544904119</c:v>
                </c:pt>
                <c:pt idx="37">
                  <c:v>16.755070404560048</c:v>
                </c:pt>
                <c:pt idx="38">
                  <c:v>16.754780221948501</c:v>
                </c:pt>
                <c:pt idx="39">
                  <c:v>16.754476384232312</c:v>
                </c:pt>
                <c:pt idx="40">
                  <c:v>16.754158249867871</c:v>
                </c:pt>
                <c:pt idx="41">
                  <c:v>16.753825147269218</c:v>
                </c:pt>
                <c:pt idx="42">
                  <c:v>16.75347637341072</c:v>
                </c:pt>
                <c:pt idx="43">
                  <c:v>16.753111192365562</c:v>
                </c:pt>
                <c:pt idx="44">
                  <c:v>16.752728833777503</c:v>
                </c:pt>
                <c:pt idx="45">
                  <c:v>16.752328491262574</c:v>
                </c:pt>
                <c:pt idx="46">
                  <c:v>16.751909320737887</c:v>
                </c:pt>
                <c:pt idx="47">
                  <c:v>16.751470438674161</c:v>
                </c:pt>
                <c:pt idx="48">
                  <c:v>16.751010920268801</c:v>
                </c:pt>
                <c:pt idx="49">
                  <c:v>16.750529797535826</c:v>
                </c:pt>
                <c:pt idx="50">
                  <c:v>16.750026057309235</c:v>
                </c:pt>
                <c:pt idx="51">
                  <c:v>16.749498639155878</c:v>
                </c:pt>
                <c:pt idx="52">
                  <c:v>16.748946433194124</c:v>
                </c:pt>
                <c:pt idx="53">
                  <c:v>16.748368277813992</c:v>
                </c:pt>
                <c:pt idx="54">
                  <c:v>16.747762957294746</c:v>
                </c:pt>
                <c:pt idx="55">
                  <c:v>16.74712919931557</c:v>
                </c:pt>
                <c:pt idx="56">
                  <c:v>16.746465672354617</c:v>
                </c:pt>
                <c:pt idx="57">
                  <c:v>16.745770982971859</c:v>
                </c:pt>
                <c:pt idx="58">
                  <c:v>16.745043672970926</c:v>
                </c:pt>
                <c:pt idx="59">
                  <c:v>16.744282216434648</c:v>
                </c:pt>
                <c:pt idx="60">
                  <c:v>16.743485016629418</c:v>
                </c:pt>
                <c:pt idx="61">
                  <c:v>16.742650402772568</c:v>
                </c:pt>
                <c:pt idx="62">
                  <c:v>16.741776626657508</c:v>
                </c:pt>
                <c:pt idx="63">
                  <c:v>16.740861859130781</c:v>
                </c:pt>
                <c:pt idx="64">
                  <c:v>16.739904186414961</c:v>
                </c:pt>
                <c:pt idx="65">
                  <c:v>16.738901606271323</c:v>
                </c:pt>
                <c:pt idx="66">
                  <c:v>16.737852023996069</c:v>
                </c:pt>
                <c:pt idx="67">
                  <c:v>16.736753248243538</c:v>
                </c:pt>
                <c:pt idx="68">
                  <c:v>16.735602986669576</c:v>
                </c:pt>
                <c:pt idx="69">
                  <c:v>16.734398841388376</c:v>
                </c:pt>
                <c:pt idx="70">
                  <c:v>16.733138304235869</c:v>
                </c:pt>
                <c:pt idx="71">
                  <c:v>16.73181875183208</c:v>
                </c:pt>
                <c:pt idx="72">
                  <c:v>16.730437440435352</c:v>
                </c:pt>
                <c:pt idx="73">
                  <c:v>16.7289915005809</c:v>
                </c:pt>
                <c:pt idx="74">
                  <c:v>16.727477931495937</c:v>
                </c:pt>
                <c:pt idx="75">
                  <c:v>16.725893595283601</c:v>
                </c:pt>
                <c:pt idx="76">
                  <c:v>16.724235210867743</c:v>
                </c:pt>
                <c:pt idx="77">
                  <c:v>16.722499347690583</c:v>
                </c:pt>
                <c:pt idx="78">
                  <c:v>16.720682419155001</c:v>
                </c:pt>
                <c:pt idx="79">
                  <c:v>16.718780675803536</c:v>
                </c:pt>
                <c:pt idx="80">
                  <c:v>16.716790198225503</c:v>
                </c:pt>
                <c:pt idx="81">
                  <c:v>16.714706889684233</c:v>
                </c:pt>
                <c:pt idx="82">
                  <c:v>16.712526468456318</c:v>
                </c:pt>
                <c:pt idx="83">
                  <c:v>16.710244459874325</c:v>
                </c:pt>
                <c:pt idx="84">
                  <c:v>16.707856188065314</c:v>
                </c:pt>
                <c:pt idx="85">
                  <c:v>16.705356767376959</c:v>
                </c:pt>
                <c:pt idx="86">
                  <c:v>16.70274109348362</c:v>
                </c:pt>
                <c:pt idx="87">
                  <c:v>16.700003834164892</c:v>
                </c:pt>
                <c:pt idx="88">
                  <c:v>16.697139419749398</c:v>
                </c:pt>
                <c:pt idx="89">
                  <c:v>16.694142033217013</c:v>
                </c:pt>
                <c:pt idx="90">
                  <c:v>16.691005599953108</c:v>
                </c:pt>
                <c:pt idx="91">
                  <c:v>16.687723777149021</c:v>
                </c:pt>
                <c:pt idx="92">
                  <c:v>16.684289942843517</c:v>
                </c:pt>
                <c:pt idx="93">
                  <c:v>16.680697184600518</c:v>
                </c:pt>
                <c:pt idx="94">
                  <c:v>16.676938287819809</c:v>
                </c:pt>
                <c:pt idx="95">
                  <c:v>16.67300572367752</c:v>
                </c:pt>
                <c:pt idx="96">
                  <c:v>16.668891636694955</c:v>
                </c:pt>
                <c:pt idx="97">
                  <c:v>16.664587831935304</c:v>
                </c:pt>
                <c:pt idx="98">
                  <c:v>16.660085761828604</c:v>
                </c:pt>
                <c:pt idx="99">
                  <c:v>16.655376512628269</c:v>
                </c:pt>
                <c:pt idx="100">
                  <c:v>16.650450790502013</c:v>
                </c:pt>
                <c:pt idx="101">
                  <c:v>16.645298907264245</c:v>
                </c:pt>
                <c:pt idx="102">
                  <c:v>16.639910765756941</c:v>
                </c:pt>
                <c:pt idx="103">
                  <c:v>16.634275844889913</c:v>
                </c:pt>
                <c:pt idx="104">
                  <c:v>16.628383184352838</c:v>
                </c:pt>
                <c:pt idx="105">
                  <c:v>16.622221369014639</c:v>
                </c:pt>
                <c:pt idx="106">
                  <c:v>16.61577851302863</c:v>
                </c:pt>
                <c:pt idx="107">
                  <c:v>16.609042243665275</c:v>
                </c:pt>
                <c:pt idx="108">
                  <c:v>16.601999684897567</c:v>
                </c:pt>
                <c:pt idx="109">
                  <c:v>16.594637440768217</c:v>
                </c:pt>
                <c:pt idx="110">
                  <c:v>16.586941578571931</c:v>
                </c:pt>
                <c:pt idx="111">
                  <c:v>16.578897611890046</c:v>
                </c:pt>
                <c:pt idx="112">
                  <c:v>16.570490483520434</c:v>
                </c:pt>
                <c:pt idx="113">
                  <c:v>16.561704548349486</c:v>
                </c:pt>
                <c:pt idx="114">
                  <c:v>16.552523556219739</c:v>
                </c:pt>
                <c:pt idx="115">
                  <c:v>16.54293063485116</c:v>
                </c:pt>
                <c:pt idx="116">
                  <c:v>16.532908272881425</c:v>
                </c:pt>
                <c:pt idx="117">
                  <c:v>16.522438303096024</c:v>
                </c:pt>
                <c:pt idx="118">
                  <c:v>16.511501885926233</c:v>
                </c:pt>
                <c:pt idx="119">
                  <c:v>16.500079493300277</c:v>
                </c:pt>
                <c:pt idx="120">
                  <c:v>16.488150892939856</c:v>
                </c:pt>
                <c:pt idx="121">
                  <c:v>16.475695133202287</c:v>
                </c:pt>
                <c:pt idx="122">
                  <c:v>16.462690528576534</c:v>
                </c:pt>
                <c:pt idx="123">
                  <c:v>16.449114645948914</c:v>
                </c:pt>
                <c:pt idx="124">
                  <c:v>16.434944291763344</c:v>
                </c:pt>
                <c:pt idx="125">
                  <c:v>16.420155500208924</c:v>
                </c:pt>
                <c:pt idx="126">
                  <c:v>16.404723522575956</c:v>
                </c:pt>
                <c:pt idx="127">
                  <c:v>16.388622817930646</c:v>
                </c:pt>
                <c:pt idx="128">
                  <c:v>16.37182704526597</c:v>
                </c:pt>
                <c:pt idx="129">
                  <c:v>16.354309057295318</c:v>
                </c:pt>
                <c:pt idx="130">
                  <c:v>16.336040896062528</c:v>
                </c:pt>
                <c:pt idx="131">
                  <c:v>16.316993790549397</c:v>
                </c:pt>
                <c:pt idx="132">
                  <c:v>16.297138156468996</c:v>
                </c:pt>
                <c:pt idx="133">
                  <c:v>16.276443598438096</c:v>
                </c:pt>
                <c:pt idx="134">
                  <c:v>16.254878914727776</c:v>
                </c:pt>
                <c:pt idx="135">
                  <c:v>16.232412104795465</c:v>
                </c:pt>
                <c:pt idx="136">
                  <c:v>16.20901037980331</c:v>
                </c:pt>
                <c:pt idx="137">
                  <c:v>16.184640176330422</c:v>
                </c:pt>
                <c:pt idx="138">
                  <c:v>16.159267173484952</c:v>
                </c:pt>
                <c:pt idx="139">
                  <c:v>16.132856313620461</c:v>
                </c:pt>
                <c:pt idx="140">
                  <c:v>16.105371826856022</c:v>
                </c:pt>
                <c:pt idx="141">
                  <c:v>16.076777259593513</c:v>
                </c:pt>
                <c:pt idx="142">
                  <c:v>16.047035507215814</c:v>
                </c:pt>
                <c:pt idx="143">
                  <c:v>16.016108851137695</c:v>
                </c:pt>
                <c:pt idx="144">
                  <c:v>15.983959000367031</c:v>
                </c:pt>
                <c:pt idx="145">
                  <c:v>15.950547137715066</c:v>
                </c:pt>
                <c:pt idx="146">
                  <c:v>15.915833970774379</c:v>
                </c:pt>
                <c:pt idx="147">
                  <c:v>15.879779787757965</c:v>
                </c:pt>
                <c:pt idx="148">
                  <c:v>15.842344518265541</c:v>
                </c:pt>
                <c:pt idx="149">
                  <c:v>15.803487799011659</c:v>
                </c:pt>
                <c:pt idx="150">
                  <c:v>15.763169044515417</c:v>
                </c:pt>
                <c:pt idx="151">
                  <c:v>15.721347522714309</c:v>
                </c:pt>
                <c:pt idx="152">
                  <c:v>15.677982435422248</c:v>
                </c:pt>
                <c:pt idx="153">
                  <c:v>15.633033003509</c:v>
                </c:pt>
                <c:pt idx="154">
                  <c:v>15.586458556630697</c:v>
                </c:pt>
                <c:pt idx="155">
                  <c:v>15.538218627292181</c:v>
                </c:pt>
                <c:pt idx="156">
                  <c:v>15.488273048971015</c:v>
                </c:pt>
                <c:pt idx="157">
                  <c:v>15.436582057980369</c:v>
                </c:pt>
                <c:pt idx="158">
                  <c:v>15.383106398696055</c:v>
                </c:pt>
                <c:pt idx="159">
                  <c:v>15.327807431718515</c:v>
                </c:pt>
                <c:pt idx="160">
                  <c:v>15.270647244489391</c:v>
                </c:pt>
                <c:pt idx="161">
                  <c:v>15.211588763831529</c:v>
                </c:pt>
                <c:pt idx="162">
                  <c:v>15.150595869832387</c:v>
                </c:pt>
                <c:pt idx="163">
                  <c:v>15.087633510446183</c:v>
                </c:pt>
                <c:pt idx="164">
                  <c:v>15.022667816149839</c:v>
                </c:pt>
                <c:pt idx="165">
                  <c:v>14.955666213950982</c:v>
                </c:pt>
                <c:pt idx="166">
                  <c:v>14.886597540017657</c:v>
                </c:pt>
                <c:pt idx="167">
                  <c:v>14.815432150176022</c:v>
                </c:pt>
                <c:pt idx="168">
                  <c:v>14.742142027506882</c:v>
                </c:pt>
                <c:pt idx="169">
                  <c:v>14.666700886265678</c:v>
                </c:pt>
                <c:pt idx="170">
                  <c:v>14.589084271351236</c:v>
                </c:pt>
                <c:pt idx="171">
                  <c:v>14.509269652560551</c:v>
                </c:pt>
                <c:pt idx="172">
                  <c:v>14.427236512887045</c:v>
                </c:pt>
                <c:pt idx="173">
                  <c:v>14.342966430149563</c:v>
                </c:pt>
                <c:pt idx="174">
                  <c:v>14.256443151280012</c:v>
                </c:pt>
                <c:pt idx="175">
                  <c:v>14.16765265864486</c:v>
                </c:pt>
                <c:pt idx="176">
                  <c:v>14.076583227835329</c:v>
                </c:pt>
                <c:pt idx="177">
                  <c:v>13.983225476425336</c:v>
                </c:pt>
                <c:pt idx="178">
                  <c:v>13.887572403270404</c:v>
                </c:pt>
                <c:pt idx="179">
                  <c:v>13.789619418000127</c:v>
                </c:pt>
                <c:pt idx="180">
                  <c:v>13.689364360441441</c:v>
                </c:pt>
                <c:pt idx="181">
                  <c:v>13.586807509798717</c:v>
                </c:pt>
                <c:pt idx="182">
                  <c:v>13.481951583509197</c:v>
                </c:pt>
                <c:pt idx="183">
                  <c:v>13.374801725782524</c:v>
                </c:pt>
                <c:pt idx="184">
                  <c:v>13.265365485929433</c:v>
                </c:pt>
                <c:pt idx="185">
                  <c:v>13.153652786672318</c:v>
                </c:pt>
                <c:pt idx="186">
                  <c:v>13.039675882719667</c:v>
                </c:pt>
                <c:pt idx="187">
                  <c:v>12.923449309971231</c:v>
                </c:pt>
                <c:pt idx="188">
                  <c:v>12.80498982579701</c:v>
                </c:pt>
                <c:pt idx="189">
                  <c:v>12.684316340906474</c:v>
                </c:pt>
                <c:pt idx="190">
                  <c:v>12.561449843387472</c:v>
                </c:pt>
                <c:pt idx="191">
                  <c:v>12.436413315550269</c:v>
                </c:pt>
                <c:pt idx="192">
                  <c:v>12.309231644260155</c:v>
                </c:pt>
                <c:pt idx="193">
                  <c:v>12.179931525477592</c:v>
                </c:pt>
                <c:pt idx="194">
                  <c:v>12.048541363754651</c:v>
                </c:pt>
                <c:pt idx="195">
                  <c:v>11.915091167453802</c:v>
                </c:pt>
                <c:pt idx="196">
                  <c:v>11.779612440464529</c:v>
                </c:pt>
                <c:pt idx="197">
                  <c:v>11.642138071193163</c:v>
                </c:pt>
                <c:pt idx="198">
                  <c:v>11.502702219591804</c:v>
                </c:pt>
                <c:pt idx="199">
                  <c:v>11.361340202975676</c:v>
                </c:pt>
                <c:pt idx="200">
                  <c:v>11.218088381353752</c:v>
                </c:pt>
                <c:pt idx="201">
                  <c:v>11.072984042966391</c:v>
                </c:pt>
                <c:pt idx="202">
                  <c:v>10.926065290686402</c:v>
                </c:pt>
                <c:pt idx="203">
                  <c:v>10.777370929899028</c:v>
                </c:pt>
                <c:pt idx="204">
                  <c:v>10.626940358429744</c:v>
                </c:pt>
                <c:pt idx="205">
                  <c:v>10.47481345904008</c:v>
                </c:pt>
                <c:pt idx="206">
                  <c:v>10.321030494960862</c:v>
                </c:pt>
                <c:pt idx="207">
                  <c:v>10.165632008879452</c:v>
                </c:pt>
                <c:pt idx="208">
                  <c:v>10.008658725744649</c:v>
                </c:pt>
                <c:pt idx="209">
                  <c:v>9.8501514596999051</c:v>
                </c:pt>
                <c:pt idx="210">
                  <c:v>9.6901510254038463</c:v>
                </c:pt>
                <c:pt idx="211">
                  <c:v>9.5286981539463973</c:v>
                </c:pt>
                <c:pt idx="212">
                  <c:v>9.3658334135192494</c:v>
                </c:pt>
                <c:pt idx="213">
                  <c:v>9.2015971349549766</c:v>
                </c:pt>
                <c:pt idx="214">
                  <c:v>9.0360293422043938</c:v>
                </c:pt>
                <c:pt idx="215">
                  <c:v>8.8691696877806674</c:v>
                </c:pt>
                <c:pt idx="216">
                  <c:v>8.7010573931637971</c:v>
                </c:pt>
                <c:pt idx="217">
                  <c:v>8.5317311941221163</c:v>
                </c:pt>
                <c:pt idx="218">
                  <c:v>8.3612292908793346</c:v>
                </c:pt>
                <c:pt idx="219">
                  <c:v>8.1895893030276987</c:v>
                </c:pt>
                <c:pt idx="220">
                  <c:v>8.0168482290643457</c:v>
                </c:pt>
                <c:pt idx="221">
                  <c:v>7.8430424104065155</c:v>
                </c:pt>
                <c:pt idx="222">
                  <c:v>7.6682074997266714</c:v>
                </c:pt>
                <c:pt idx="223">
                  <c:v>7.4923784334312362</c:v>
                </c:pt>
                <c:pt idx="224">
                  <c:v>7.3155894080977752</c:v>
                </c:pt>
                <c:pt idx="225">
                  <c:v>7.1378738606762475</c:v>
                </c:pt>
                <c:pt idx="226">
                  <c:v>6.9592644522521976</c:v>
                </c:pt>
                <c:pt idx="227">
                  <c:v>6.7797930551694527</c:v>
                </c:pt>
                <c:pt idx="228">
                  <c:v>6.5994907433039103</c:v>
                </c:pt>
                <c:pt idx="229">
                  <c:v>6.4183877852822659</c:v>
                </c:pt>
                <c:pt idx="230">
                  <c:v>6.2365136404425661</c:v>
                </c:pt>
                <c:pt idx="231">
                  <c:v>6.0538969573314416</c:v>
                </c:pt>
                <c:pt idx="232">
                  <c:v>5.8705655745444769</c:v>
                </c:pt>
                <c:pt idx="233">
                  <c:v>5.6865465237131509</c:v>
                </c:pt>
                <c:pt idx="234">
                  <c:v>5.5018660344558414</c:v>
                </c:pt>
                <c:pt idx="235">
                  <c:v>5.3165495411115193</c:v>
                </c:pt>
                <c:pt idx="236">
                  <c:v>5.1306216910845031</c:v>
                </c:pt>
                <c:pt idx="237">
                  <c:v>4.9441063546369861</c:v>
                </c:pt>
                <c:pt idx="238">
                  <c:v>4.7570266359728999</c:v>
                </c:pt>
                <c:pt idx="239">
                  <c:v>4.5694048854654365</c:v>
                </c:pt>
                <c:pt idx="240">
                  <c:v>4.3812627128896784</c:v>
                </c:pt>
                <c:pt idx="241">
                  <c:v>4.1926210015295222</c:v>
                </c:pt>
                <c:pt idx="242">
                  <c:v>4.003499923035938</c:v>
                </c:pt>
                <c:pt idx="243">
                  <c:v>3.8139189529238129</c:v>
                </c:pt>
                <c:pt idx="244">
                  <c:v>3.6238968866011492</c:v>
                </c:pt>
                <c:pt idx="245">
                  <c:v>3.4334518558315565</c:v>
                </c:pt>
                <c:pt idx="246">
                  <c:v>3.2426013455414826</c:v>
                </c:pt>
                <c:pt idx="247">
                  <c:v>3.0513622108880556</c:v>
                </c:pt>
                <c:pt idx="248">
                  <c:v>2.8597506945119</c:v>
                </c:pt>
                <c:pt idx="249">
                  <c:v>2.6677824439054283</c:v>
                </c:pt>
                <c:pt idx="250">
                  <c:v>2.4754725288347159</c:v>
                </c:pt>
                <c:pt idx="251">
                  <c:v>2.2828354587570705</c:v>
                </c:pt>
                <c:pt idx="252">
                  <c:v>2.0898852001841313</c:v>
                </c:pt>
                <c:pt idx="253">
                  <c:v>1.8966351939442649</c:v>
                </c:pt>
                <c:pt idx="254">
                  <c:v>1.7030983723035729</c:v>
                </c:pt>
                <c:pt idx="255">
                  <c:v>1.5092871759108717</c:v>
                </c:pt>
                <c:pt idx="256">
                  <c:v>1.315213570533083</c:v>
                </c:pt>
                <c:pt idx="257">
                  <c:v>1.1208890635556099</c:v>
                </c:pt>
                <c:pt idx="258">
                  <c:v>0.92632472022246848</c:v>
                </c:pt>
                <c:pt idx="259">
                  <c:v>0.73153117959747105</c:v>
                </c:pt>
                <c:pt idx="260">
                  <c:v>0.53651867022799782</c:v>
                </c:pt>
                <c:pt idx="261">
                  <c:v>0.34129702549911484</c:v>
                </c:pt>
                <c:pt idx="262">
                  <c:v>0.14587569866579983</c:v>
                </c:pt>
                <c:pt idx="263">
                  <c:v>-4.973622244598818E-2</c:v>
                </c:pt>
                <c:pt idx="264">
                  <c:v>-0.2455300010741335</c:v>
                </c:pt>
                <c:pt idx="265">
                  <c:v>-0.44149723749710107</c:v>
                </c:pt>
                <c:pt idx="266">
                  <c:v>-0.63762985535431627</c:v>
                </c:pt>
                <c:pt idx="267">
                  <c:v>-0.83392008831129583</c:v>
                </c:pt>
                <c:pt idx="268">
                  <c:v>-1.0303604670687261</c:v>
                </c:pt>
                <c:pt idx="269">
                  <c:v>-1.2269438067135117</c:v>
                </c:pt>
                <c:pt idx="270">
                  <c:v>-1.4236631944085425</c:v>
                </c:pt>
                <c:pt idx="271">
                  <c:v>-1.6205119774169641</c:v>
                </c:pt>
                <c:pt idx="272">
                  <c:v>-1.8174837514550679</c:v>
                </c:pt>
                <c:pt idx="273">
                  <c:v>-2.0145723493686352</c:v>
                </c:pt>
                <c:pt idx="274">
                  <c:v>-2.2117718301245559</c:v>
                </c:pt>
                <c:pt idx="275">
                  <c:v>-2.4090764681113837</c:v>
                </c:pt>
                <c:pt idx="276">
                  <c:v>-2.6064807427398948</c:v>
                </c:pt>
                <c:pt idx="277">
                  <c:v>-2.8039793283348042</c:v>
                </c:pt>
                <c:pt idx="278">
                  <c:v>-3.0015670843096904</c:v>
                </c:pt>
                <c:pt idx="279">
                  <c:v>-3.1992390456143758</c:v>
                </c:pt>
                <c:pt idx="280">
                  <c:v>-3.3969904134458977</c:v>
                </c:pt>
                <c:pt idx="281">
                  <c:v>-3.594816546212706</c:v>
                </c:pt>
                <c:pt idx="282">
                  <c:v>-3.7927129507420676</c:v>
                </c:pt>
                <c:pt idx="283">
                  <c:v>-3.9906752737202282</c:v>
                </c:pt>
                <c:pt idx="284">
                  <c:v>-4.1886992933551612</c:v>
                </c:pt>
                <c:pt idx="285">
                  <c:v>-4.3867809112502512</c:v>
                </c:pt>
                <c:pt idx="286">
                  <c:v>-4.5849161444804984</c:v>
                </c:pt>
                <c:pt idx="287">
                  <c:v>-4.7831011178579752</c:v>
                </c:pt>
                <c:pt idx="288">
                  <c:v>-4.9813320563778625</c:v>
                </c:pt>
                <c:pt idx="289">
                  <c:v>-5.179605277832958</c:v>
                </c:pt>
                <c:pt idx="290">
                  <c:v>-5.3779171855877985</c:v>
                </c:pt>
                <c:pt idx="291">
                  <c:v>-5.5762642614991194</c:v>
                </c:pt>
                <c:pt idx="292">
                  <c:v>-5.7746430589755882</c:v>
                </c:pt>
                <c:pt idx="293">
                  <c:v>-5.9730501961627205</c:v>
                </c:pt>
                <c:pt idx="294">
                  <c:v>-6.1714823492454416</c:v>
                </c:pt>
                <c:pt idx="295">
                  <c:v>-6.3699362458560591</c:v>
                </c:pt>
                <c:pt idx="296">
                  <c:v>-6.5684086585790542</c:v>
                </c:pt>
                <c:pt idx="297">
                  <c:v>-6.7668963985407267</c:v>
                </c:pt>
                <c:pt idx="298">
                  <c:v>-6.9653963090753814</c:v>
                </c:pt>
                <c:pt idx="299">
                  <c:v>-7.1639052594572732</c:v>
                </c:pt>
                <c:pt idx="300">
                  <c:v>-7.3624201386885275</c:v>
                </c:pt>
                <c:pt idx="301">
                  <c:v>-7.5609378493336763</c:v>
                </c:pt>
                <c:pt idx="302">
                  <c:v>-7.7594553013914833</c:v>
                </c:pt>
                <c:pt idx="303">
                  <c:v>-7.9579694061940209</c:v>
                </c:pt>
                <c:pt idx="304">
                  <c:v>-8.156477070324117</c:v>
                </c:pt>
                <c:pt idx="305">
                  <c:v>-8.3549751895428823</c:v>
                </c:pt>
                <c:pt idx="306">
                  <c:v>-8.5534606427171465</c:v>
                </c:pt>
                <c:pt idx="307">
                  <c:v>-8.7519302857388599</c:v>
                </c:pt>
                <c:pt idx="308">
                  <c:v>-8.9503809454281367</c:v>
                </c:pt>
                <c:pt idx="309">
                  <c:v>-9.1488094134114615</c:v>
                </c:pt>
                <c:pt idx="310">
                  <c:v>-9.34721243996675</c:v>
                </c:pt>
                <c:pt idx="311">
                  <c:v>-9.5455867278279474</c:v>
                </c:pt>
                <c:pt idx="312">
                  <c:v>-9.7439289259418675</c:v>
                </c:pt>
                <c:pt idx="313">
                  <c:v>-9.9422356231694184</c:v>
                </c:pt>
                <c:pt idx="314">
                  <c:v>-10.140503341925003</c:v>
                </c:pt>
                <c:pt idx="315">
                  <c:v>-10.338728531747481</c:v>
                </c:pt>
                <c:pt idx="316">
                  <c:v>-10.536907562796955</c:v>
                </c:pt>
                <c:pt idx="317">
                  <c:v>-10.735036719271093</c:v>
                </c:pt>
                <c:pt idx="318">
                  <c:v>-10.933112192737209</c:v>
                </c:pt>
                <c:pt idx="319">
                  <c:v>-11.131130075374054</c:v>
                </c:pt>
                <c:pt idx="320">
                  <c:v>-11.329086353121276</c:v>
                </c:pt>
                <c:pt idx="321">
                  <c:v>-11.526976898732189</c:v>
                </c:pt>
                <c:pt idx="322">
                  <c:v>-11.724797464727816</c:v>
                </c:pt>
                <c:pt idx="323">
                  <c:v>-11.922543676250751</c:v>
                </c:pt>
                <c:pt idx="324">
                  <c:v>-12.120211023819063</c:v>
                </c:pt>
                <c:pt idx="325">
                  <c:v>-12.317794855979546</c:v>
                </c:pt>
                <c:pt idx="326">
                  <c:v>-12.515290371862516</c:v>
                </c:pt>
                <c:pt idx="327">
                  <c:v>-12.712692613641963</c:v>
                </c:pt>
                <c:pt idx="328">
                  <c:v>-12.909996458904063</c:v>
                </c:pt>
                <c:pt idx="329">
                  <c:v>-13.107196612931894</c:v>
                </c:pt>
                <c:pt idx="330">
                  <c:v>-13.304287600911781</c:v>
                </c:pt>
                <c:pt idx="331">
                  <c:v>-13.501263760073448</c:v>
                </c:pt>
                <c:pt idx="332">
                  <c:v>-13.698119231773397</c:v>
                </c:pt>
                <c:pt idx="333">
                  <c:v>-13.894847953538079</c:v>
                </c:pt>
                <c:pt idx="334">
                  <c:v>-14.091443651080615</c:v>
                </c:pt>
                <c:pt idx="335">
                  <c:v>-14.287899830313449</c:v>
                </c:pt>
                <c:pt idx="336">
                  <c:v>-14.484209769376555</c:v>
                </c:pt>
                <c:pt idx="337">
                  <c:v>-14.680366510709424</c:v>
                </c:pt>
                <c:pt idx="338">
                  <c:v>-14.87636285319425</c:v>
                </c:pt>
                <c:pt idx="339">
                  <c:v>-15.072191344405041</c:v>
                </c:pt>
                <c:pt idx="340">
                  <c:v>-15.267844272998804</c:v>
                </c:pt>
                <c:pt idx="341">
                  <c:v>-15.463313661292881</c:v>
                </c:pt>
                <c:pt idx="342">
                  <c:v>-15.658591258074459</c:v>
                </c:pt>
                <c:pt idx="343">
                  <c:v>-15.853668531694815</c:v>
                </c:pt>
                <c:pt idx="344">
                  <c:v>-16.04853666350887</c:v>
                </c:pt>
                <c:pt idx="345">
                  <c:v>-16.24318654172302</c:v>
                </c:pt>
                <c:pt idx="346">
                  <c:v>-16.437608755724945</c:v>
                </c:pt>
                <c:pt idx="347">
                  <c:v>-16.631793590973743</c:v>
                </c:pt>
                <c:pt idx="348">
                  <c:v>-16.825731024539053</c:v>
                </c:pt>
                <c:pt idx="349">
                  <c:v>-17.01941072138424</c:v>
                </c:pt>
                <c:pt idx="350">
                  <c:v>-17.212822031499087</c:v>
                </c:pt>
                <c:pt idx="351">
                  <c:v>-17.405953987997933</c:v>
                </c:pt>
                <c:pt idx="352">
                  <c:v>-17.598795306306602</c:v>
                </c:pt>
                <c:pt idx="353">
                  <c:v>-17.791334384577205</c:v>
                </c:pt>
                <c:pt idx="354">
                  <c:v>-17.983559305476721</c:v>
                </c:pt>
                <c:pt idx="355">
                  <c:v>-18.175457839511264</c:v>
                </c:pt>
                <c:pt idx="356">
                  <c:v>-18.367017450059006</c:v>
                </c:pt>
                <c:pt idx="357">
                  <c:v>-18.558225300299796</c:v>
                </c:pt>
                <c:pt idx="358">
                  <c:v>-18.749068262241693</c:v>
                </c:pt>
                <c:pt idx="359">
                  <c:v>-18.939532928062601</c:v>
                </c:pt>
                <c:pt idx="360">
                  <c:v>-19.129605623997776</c:v>
                </c:pt>
                <c:pt idx="361">
                  <c:v>-19.319272427021239</c:v>
                </c:pt>
                <c:pt idx="362">
                  <c:v>-19.50851918458611</c:v>
                </c:pt>
                <c:pt idx="363">
                  <c:v>-19.697331537703931</c:v>
                </c:pt>
                <c:pt idx="364">
                  <c:v>-19.885694947661278</c:v>
                </c:pt>
                <c:pt idx="365">
                  <c:v>-20.073594726687869</c:v>
                </c:pt>
                <c:pt idx="366">
                  <c:v>-20.261016072908753</c:v>
                </c:pt>
                <c:pt idx="367">
                  <c:v>-20.447944109926741</c:v>
                </c:pt>
                <c:pt idx="368">
                  <c:v>-20.634363931400902</c:v>
                </c:pt>
                <c:pt idx="369">
                  <c:v>-20.820260650998307</c:v>
                </c:pt>
                <c:pt idx="370">
                  <c:v>-21.005619458112399</c:v>
                </c:pt>
                <c:pt idx="371">
                  <c:v>-21.190425679752735</c:v>
                </c:pt>
                <c:pt idx="372">
                  <c:v>-21.374664849021098</c:v>
                </c:pt>
                <c:pt idx="373">
                  <c:v>-21.558322780596498</c:v>
                </c:pt>
                <c:pt idx="374">
                  <c:v>-21.741385653656536</c:v>
                </c:pt>
                <c:pt idx="375">
                  <c:v>-21.923840102663448</c:v>
                </c:pt>
                <c:pt idx="376">
                  <c:v>-22.105673316439372</c:v>
                </c:pt>
                <c:pt idx="377">
                  <c:v>-22.286873145947009</c:v>
                </c:pt>
                <c:pt idx="378">
                  <c:v>-22.467428221176466</c:v>
                </c:pt>
                <c:pt idx="379">
                  <c:v>-22.647328077518445</c:v>
                </c:pt>
                <c:pt idx="380">
                  <c:v>-22.826563291972278</c:v>
                </c:pt>
                <c:pt idx="381">
                  <c:v>-23.005125629499361</c:v>
                </c:pt>
                <c:pt idx="382">
                  <c:v>-23.183008199782687</c:v>
                </c:pt>
                <c:pt idx="383">
                  <c:v>-23.36020562459116</c:v>
                </c:pt>
                <c:pt idx="384">
                  <c:v>-23.536714215872525</c:v>
                </c:pt>
                <c:pt idx="385">
                  <c:v>-23.712532164609389</c:v>
                </c:pt>
                <c:pt idx="386">
                  <c:v>-23.887659740367255</c:v>
                </c:pt>
                <c:pt idx="387">
                  <c:v>-24.062099501338071</c:v>
                </c:pt>
                <c:pt idx="388">
                  <c:v>-24.235856514540441</c:v>
                </c:pt>
                <c:pt idx="389">
                  <c:v>-24.408938585671503</c:v>
                </c:pt>
                <c:pt idx="390">
                  <c:v>-24.581356497919376</c:v>
                </c:pt>
                <c:pt idx="391">
                  <c:v>-24.753124258830294</c:v>
                </c:pt>
                <c:pt idx="392">
                  <c:v>-24.924259354088729</c:v>
                </c:pt>
                <c:pt idx="393">
                  <c:v>-25.094783006802981</c:v>
                </c:pt>
                <c:pt idx="394">
                  <c:v>-25.26472044059734</c:v>
                </c:pt>
                <c:pt idx="395">
                  <c:v>-25.434101144491979</c:v>
                </c:pt>
                <c:pt idx="396">
                  <c:v>-25.602959137204969</c:v>
                </c:pt>
                <c:pt idx="397">
                  <c:v>-25.771333228140051</c:v>
                </c:pt>
                <c:pt idx="398">
                  <c:v>-25.93926727192525</c:v>
                </c:pt>
                <c:pt idx="399">
                  <c:v>-26.106810412955102</c:v>
                </c:pt>
                <c:pt idx="400">
                  <c:v>-26.27401731595603</c:v>
                </c:pt>
                <c:pt idx="401">
                  <c:v>-26.44094837815782</c:v>
                </c:pt>
                <c:pt idx="402">
                  <c:v>-26.607669918214039</c:v>
                </c:pt>
                <c:pt idx="403">
                  <c:v>-26.774254336588005</c:v>
                </c:pt>
                <c:pt idx="404">
                  <c:v>-26.940780241718368</c:v>
                </c:pt>
                <c:pt idx="405">
                  <c:v>-27.10733253591405</c:v>
                </c:pt>
                <c:pt idx="406">
                  <c:v>-27.274002454625666</c:v>
                </c:pt>
                <c:pt idx="407">
                  <c:v>-27.44088755251234</c:v>
                </c:pt>
                <c:pt idx="408">
                  <c:v>-27.608091629602754</c:v>
                </c:pt>
                <c:pt idx="409">
                  <c:v>-27.775724590851066</c:v>
                </c:pt>
                <c:pt idx="410">
                  <c:v>-27.943902232547199</c:v>
                </c:pt>
                <c:pt idx="411">
                  <c:v>-28.112745949382273</c:v>
                </c:pt>
                <c:pt idx="412">
                  <c:v>-28.282382356514745</c:v>
                </c:pt>
                <c:pt idx="413">
                  <c:v>-28.452942821765074</c:v>
                </c:pt>
                <c:pt idx="414">
                  <c:v>-28.624562904095615</c:v>
                </c:pt>
                <c:pt idx="415">
                  <c:v>-28.797381695835952</c:v>
                </c:pt>
                <c:pt idx="416">
                  <c:v>-28.971541067683077</c:v>
                </c:pt>
                <c:pt idx="417">
                  <c:v>-29.14718481735212</c:v>
                </c:pt>
                <c:pt idx="418">
                  <c:v>-29.324457724849498</c:v>
                </c:pt>
                <c:pt idx="419">
                  <c:v>-29.503504519659071</c:v>
                </c:pt>
                <c:pt idx="420">
                  <c:v>-29.684468767630282</c:v>
                </c:pt>
                <c:pt idx="421">
                  <c:v>-29.867491687964325</c:v>
                </c:pt>
                <c:pt idx="422">
                  <c:v>-30.05271091333325</c:v>
                </c:pt>
                <c:pt idx="423">
                  <c:v>-30.240259208754448</c:v>
                </c:pt>
                <c:pt idx="424">
                  <c:v>-30.430263167243773</c:v>
                </c:pt>
                <c:pt idx="425">
                  <c:v>-30.622841902410745</c:v>
                </c:pt>
                <c:pt idx="426">
                  <c:v>-30.818105759883228</c:v>
                </c:pt>
                <c:pt idx="427">
                  <c:v>-31.016155070675218</c:v>
                </c:pt>
                <c:pt idx="428">
                  <c:v>-31.217078970220903</c:v>
                </c:pt>
                <c:pt idx="429">
                  <c:v>-31.420954306725566</c:v>
                </c:pt>
                <c:pt idx="430">
                  <c:v>-31.627844661659879</c:v>
                </c:pt>
                <c:pt idx="431">
                  <c:v>-31.837799503649073</c:v>
                </c:pt>
                <c:pt idx="432">
                  <c:v>-32.050853494675643</c:v>
                </c:pt>
                <c:pt idx="433">
                  <c:v>-32.267025964500796</c:v>
                </c:pt>
                <c:pt idx="434">
                  <c:v>-32.486320565589637</c:v>
                </c:pt>
                <c:pt idx="435">
                  <c:v>-32.708725116741974</c:v>
                </c:pt>
                <c:pt idx="436">
                  <c:v>-32.934211639224557</c:v>
                </c:pt>
                <c:pt idx="437">
                  <c:v>-33.162736584655747</c:v>
                </c:pt>
                <c:pt idx="438">
                  <c:v>-33.394241249387512</c:v>
                </c:pt>
                <c:pt idx="439">
                  <c:v>-33.628652365836793</c:v>
                </c:pt>
                <c:pt idx="440">
                  <c:v>-33.865882857314695</c:v>
                </c:pt>
                <c:pt idx="441">
                  <c:v>-34.105832739519641</c:v>
                </c:pt>
                <c:pt idx="442">
                  <c:v>-34.348390149114906</c:v>
                </c:pt>
                <c:pt idx="443">
                  <c:v>-34.59343247778029</c:v>
                </c:pt>
                <c:pt idx="444">
                  <c:v>-34.840827588844554</c:v>
                </c:pt>
                <c:pt idx="445">
                  <c:v>-35.090435093066908</c:v>
                </c:pt>
                <c:pt idx="446">
                  <c:v>-35.342107660315733</c:v>
                </c:pt>
                <c:pt idx="447">
                  <c:v>-35.595692344715673</c:v>
                </c:pt>
                <c:pt idx="448">
                  <c:v>-35.851031902213805</c:v>
                </c:pt>
                <c:pt idx="449">
                  <c:v>-36.107966081355173</c:v>
                </c:pt>
                <c:pt idx="450">
                  <c:v>-36.366332870230224</c:v>
                </c:pt>
                <c:pt idx="451">
                  <c:v>-36.625969684966286</c:v>
                </c:pt>
                <c:pt idx="452">
                  <c:v>-36.886714487655851</c:v>
                </c:pt>
                <c:pt idx="453">
                  <c:v>-37.14840682416142</c:v>
                </c:pt>
                <c:pt idx="454">
                  <c:v>-37.410888774714003</c:v>
                </c:pt>
                <c:pt idx="455">
                  <c:v>-37.674005812570016</c:v>
                </c:pt>
                <c:pt idx="456">
                  <c:v>-37.93760756814229</c:v>
                </c:pt>
                <c:pt idx="457">
                  <c:v>-38.201548497956892</c:v>
                </c:pt>
                <c:pt idx="458">
                  <c:v>-38.465688459460708</c:v>
                </c:pt>
                <c:pt idx="459">
                  <c:v>-38.729893194131513</c:v>
                </c:pt>
                <c:pt idx="460">
                  <c:v>-38.994034722504686</c:v>
                </c:pt>
                <c:pt idx="461">
                  <c:v>-39.257991655648404</c:v>
                </c:pt>
                <c:pt idx="462">
                  <c:v>-39.521649428309331</c:v>
                </c:pt>
                <c:pt idx="463">
                  <c:v>-39.784900459429871</c:v>
                </c:pt>
                <c:pt idx="464">
                  <c:v>-40.04764424603686</c:v>
                </c:pt>
                <c:pt idx="465">
                  <c:v>-40.309787396638711</c:v>
                </c:pt>
                <c:pt idx="466">
                  <c:v>-40.571243610278096</c:v>
                </c:pt>
                <c:pt idx="467">
                  <c:v>-40.831933607281329</c:v>
                </c:pt>
                <c:pt idx="468">
                  <c:v>-41.091785017560099</c:v>
                </c:pt>
                <c:pt idx="469">
                  <c:v>-41.350732232068061</c:v>
                </c:pt>
                <c:pt idx="470">
                  <c:v>-41.608716222709823</c:v>
                </c:pt>
                <c:pt idx="471">
                  <c:v>-41.865684335669712</c:v>
                </c:pt>
                <c:pt idx="472">
                  <c:v>-42.121590062768675</c:v>
                </c:pt>
                <c:pt idx="473">
                  <c:v>-42.376392795099072</c:v>
                </c:pt>
                <c:pt idx="474">
                  <c:v>-42.630057562817889</c:v>
                </c:pt>
                <c:pt idx="475">
                  <c:v>-42.882554764623833</c:v>
                </c:pt>
                <c:pt idx="476">
                  <c:v>-43.133859890093909</c:v>
                </c:pt>
                <c:pt idx="477">
                  <c:v>-43.383953237721855</c:v>
                </c:pt>
                <c:pt idx="478">
                  <c:v>-43.632819631185555</c:v>
                </c:pt>
                <c:pt idx="479">
                  <c:v>-43.880448136070449</c:v>
                </c:pt>
                <c:pt idx="480">
                  <c:v>-44.126831778999716</c:v>
                </c:pt>
                <c:pt idx="481">
                  <c:v>-44.371967270861447</c:v>
                </c:pt>
                <c:pt idx="482">
                  <c:v>-44.615854735584968</c:v>
                </c:pt>
                <c:pt idx="483">
                  <c:v>-44.858497445698298</c:v>
                </c:pt>
                <c:pt idx="484">
                  <c:v>-45.09990156569738</c:v>
                </c:pt>
                <c:pt idx="485">
                  <c:v>-45.340075904073977</c:v>
                </c:pt>
                <c:pt idx="486">
                  <c:v>-45.579031674684032</c:v>
                </c:pt>
                <c:pt idx="487">
                  <c:v>-45.816782267985481</c:v>
                </c:pt>
                <c:pt idx="488">
                  <c:v>-46.05334303254115</c:v>
                </c:pt>
                <c:pt idx="489">
                  <c:v>-46.288731067060453</c:v>
                </c:pt>
                <c:pt idx="490">
                  <c:v>-46.522965023144636</c:v>
                </c:pt>
                <c:pt idx="491">
                  <c:v>-46.756064918805997</c:v>
                </c:pt>
                <c:pt idx="492">
                  <c:v>-46.988051962746376</c:v>
                </c:pt>
                <c:pt idx="493">
                  <c:v>-47.218948389306263</c:v>
                </c:pt>
                <c:pt idx="494">
                  <c:v>-47.44877730393226</c:v>
                </c:pt>
                <c:pt idx="495">
                  <c:v>-47.677562538956806</c:v>
                </c:pt>
                <c:pt idx="496">
                  <c:v>-47.9053285194354</c:v>
                </c:pt>
                <c:pt idx="497">
                  <c:v>-48.132100138748079</c:v>
                </c:pt>
                <c:pt idx="498">
                  <c:v>-48.357902643644088</c:v>
                </c:pt>
                <c:pt idx="499">
                  <c:v>-48.582761528374647</c:v>
                </c:pt>
                <c:pt idx="500">
                  <c:v>-48.806702437548395</c:v>
                </c:pt>
                <c:pt idx="501">
                  <c:v>-49.02975107732162</c:v>
                </c:pt>
                <c:pt idx="502">
                  <c:v>-49.251933134530404</c:v>
                </c:pt>
                <c:pt idx="503">
                  <c:v>-49.473274203363715</c:v>
                </c:pt>
                <c:pt idx="504">
                  <c:v>-49.693799719173782</c:v>
                </c:pt>
                <c:pt idx="505">
                  <c:v>-49.913534899023077</c:v>
                </c:pt>
                <c:pt idx="506">
                  <c:v>-50.132504688569085</c:v>
                </c:pt>
                <c:pt idx="507">
                  <c:v>-50.350733714895462</c:v>
                </c:pt>
                <c:pt idx="508">
                  <c:v>-50.568246244905531</c:v>
                </c:pt>
                <c:pt idx="509">
                  <c:v>-50.785066148905528</c:v>
                </c:pt>
                <c:pt idx="510">
                  <c:v>-51.001216869014002</c:v>
                </c:pt>
                <c:pt idx="511">
                  <c:v>-51.216721392049791</c:v>
                </c:pt>
                <c:pt idx="512">
                  <c:v>-51.431602226560486</c:v>
                </c:pt>
                <c:pt idx="513">
                  <c:v>-51.645881383671721</c:v>
                </c:pt>
                <c:pt idx="514">
                  <c:v>-51.859580361448351</c:v>
                </c:pt>
                <c:pt idx="515">
                  <c:v>-52.072720132476263</c:v>
                </c:pt>
                <c:pt idx="516">
                  <c:v>-52.285321134388013</c:v>
                </c:pt>
                <c:pt idx="517">
                  <c:v>-52.497403263069529</c:v>
                </c:pt>
                <c:pt idx="518">
                  <c:v>-52.708985868301639</c:v>
                </c:pt>
                <c:pt idx="519">
                  <c:v>-52.920087751603909</c:v>
                </c:pt>
                <c:pt idx="520">
                  <c:v>-53.130727166063814</c:v>
                </c:pt>
                <c:pt idx="521">
                  <c:v>-53.340921817946779</c:v>
                </c:pt>
                <c:pt idx="522">
                  <c:v>-53.550688869898096</c:v>
                </c:pt>
                <c:pt idx="523">
                  <c:v>-53.760044945559386</c:v>
                </c:pt>
                <c:pt idx="524">
                  <c:v>-53.969006135437155</c:v>
                </c:pt>
                <c:pt idx="525">
                  <c:v>-54.177588003869673</c:v>
                </c:pt>
                <c:pt idx="526">
                  <c:v>-54.385805596954057</c:v>
                </c:pt>
                <c:pt idx="527">
                  <c:v>-54.593673451302607</c:v>
                </c:pt>
                <c:pt idx="528">
                  <c:v>-54.801205603511306</c:v>
                </c:pt>
                <c:pt idx="529">
                  <c:v>-55.008415600231899</c:v>
                </c:pt>
                <c:pt idx="530">
                  <c:v>-55.215316508745573</c:v>
                </c:pt>
                <c:pt idx="531">
                  <c:v>-55.42192092795122</c:v>
                </c:pt>
                <c:pt idx="532">
                  <c:v>-55.628240999682973</c:v>
                </c:pt>
                <c:pt idx="533">
                  <c:v>-55.834288420283855</c:v>
                </c:pt>
                <c:pt idx="534">
                  <c:v>-56.04007445236747</c:v>
                </c:pt>
                <c:pt idx="535">
                  <c:v>-56.245609936706167</c:v>
                </c:pt>
                <c:pt idx="536">
                  <c:v>-56.450905304191828</c:v>
                </c:pt>
                <c:pt idx="537">
                  <c:v>-56.655970587820832</c:v>
                </c:pt>
                <c:pt idx="538">
                  <c:v>-56.860815434657603</c:v>
                </c:pt>
                <c:pt idx="539">
                  <c:v>-57.065449117739533</c:v>
                </c:pt>
                <c:pt idx="540">
                  <c:v>-57.269880547888981</c:v>
                </c:pt>
                <c:pt idx="541">
                  <c:v>-57.474118285401786</c:v>
                </c:pt>
              </c:numCache>
            </c:numRef>
          </c:yVal>
          <c:smooth val="1"/>
          <c:extLst>
            <c:ext xmlns:c16="http://schemas.microsoft.com/office/drawing/2014/chart" uri="{C3380CC4-5D6E-409C-BE32-E72D297353CC}">
              <c16:uniqueId val="{00000000-B561-4C80-890B-643E0BF90D63}"/>
            </c:ext>
          </c:extLst>
        </c:ser>
        <c:dLbls>
          <c:showLegendKey val="0"/>
          <c:showVal val="0"/>
          <c:showCatName val="0"/>
          <c:showSerName val="0"/>
          <c:showPercent val="0"/>
          <c:showBubbleSize val="0"/>
        </c:dLbls>
        <c:axId val="162497664"/>
        <c:axId val="162499584"/>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-0.92762414990117104</c:v>
                </c:pt>
                <c:pt idx="1">
                  <c:v>-0.94922746815755243</c:v>
                </c:pt>
                <c:pt idx="2">
                  <c:v>-0.97133371891743181</c:v>
                </c:pt>
                <c:pt idx="3">
                  <c:v>-0.99395459743626635</c:v>
                </c:pt>
                <c:pt idx="4">
                  <c:v>-1.0171020699898874</c:v>
                </c:pt>
                <c:pt idx="5">
                  <c:v>-1.0407883800875903</c:v>
                </c:pt>
                <c:pt idx="6">
                  <c:v>-1.065026054822773</c:v>
                </c:pt>
                <c:pt idx="7">
                  <c:v>-1.0898279113639016</c:v>
                </c:pt>
                <c:pt idx="8">
                  <c:v>-1.1152070635885103</c:v>
                </c:pt>
                <c:pt idx="9">
                  <c:v>-1.1411769288628861</c:v>
                </c:pt>
                <c:pt idx="10">
                  <c:v>-1.167751234970396</c:v>
                </c:pt>
                <c:pt idx="11">
                  <c:v>-1.1949440271910541</c:v>
                </c:pt>
                <c:pt idx="12">
                  <c:v>-1.2227696755352988</c:v>
                </c:pt>
                <c:pt idx="13">
                  <c:v>-1.2512428821346451</c:v>
                </c:pt>
                <c:pt idx="14">
                  <c:v>-1.2803786887922382</c:v>
                </c:pt>
                <c:pt idx="15">
                  <c:v>-1.3101924846959419</c:v>
                </c:pt>
                <c:pt idx="16">
                  <c:v>-1.3407000142970114</c:v>
                </c:pt>
                <c:pt idx="17">
                  <c:v>-1.3719173853569708</c:v>
                </c:pt>
                <c:pt idx="18">
                  <c:v>-1.403861077165792</c:v>
                </c:pt>
                <c:pt idx="19">
                  <c:v>-1.4365479489340232</c:v>
                </c:pt>
                <c:pt idx="20">
                  <c:v>-1.4699952483616745</c:v>
                </c:pt>
                <c:pt idx="21">
                  <c:v>-1.5042206203868047</c:v>
                </c:pt>
                <c:pt idx="22">
                  <c:v>-1.5392421161164243</c:v>
                </c:pt>
                <c:pt idx="23">
                  <c:v>-1.5750782019425287</c:v>
                </c:pt>
                <c:pt idx="24">
                  <c:v>-1.611747768845849</c:v>
                </c:pt>
                <c:pt idx="25">
                  <c:v>-1.6492701418901279</c:v>
                </c:pt>
                <c:pt idx="26">
                  <c:v>-1.68766508990923</c:v>
                </c:pt>
                <c:pt idx="27">
                  <c:v>-1.7269528353898926</c:v>
                </c:pt>
                <c:pt idx="28">
                  <c:v>-1.7671540645522132</c:v>
                </c:pt>
                <c:pt idx="29">
                  <c:v>-1.8082899376304526</c:v>
                </c:pt>
                <c:pt idx="30">
                  <c:v>-1.8503820993562359</c:v>
                </c:pt>
                <c:pt idx="31">
                  <c:v>-1.8934526896462669</c:v>
                </c:pt>
                <c:pt idx="32">
                  <c:v>-1.9375243544964664</c:v>
                </c:pt>
                <c:pt idx="33">
                  <c:v>-1.9826202570845037</c:v>
                </c:pt>
                <c:pt idx="34">
                  <c:v>-2.0287640890821153</c:v>
                </c:pt>
                <c:pt idx="35">
                  <c:v>-2.0759800821788392</c:v>
                </c:pt>
                <c:pt idx="36">
                  <c:v>-2.1242930198183889</c:v>
                </c:pt>
                <c:pt idx="37">
                  <c:v>-2.1737282491485135</c:v>
                </c:pt>
                <c:pt idx="38">
                  <c:v>-2.224311693185407</c:v>
                </c:pt>
                <c:pt idx="39">
                  <c:v>-2.2760698631927809</c:v>
                </c:pt>
                <c:pt idx="40">
                  <c:v>-2.3290298712761075</c:v>
                </c:pt>
                <c:pt idx="41">
                  <c:v>-2.3832194431916847</c:v>
                </c:pt>
                <c:pt idx="42">
                  <c:v>-2.438666931370066</c:v>
                </c:pt>
                <c:pt idx="43">
                  <c:v>-2.4954013281529681</c:v>
                </c:pt>
                <c:pt idx="44">
                  <c:v>-2.5534522792422014</c:v>
                </c:pt>
                <c:pt idx="45">
                  <c:v>-2.6128500973590527</c:v>
                </c:pt>
                <c:pt idx="46">
                  <c:v>-2.6736257761114666</c:v>
                </c:pt>
                <c:pt idx="47">
                  <c:v>-2.7358110040664854</c:v>
                </c:pt>
                <c:pt idx="48">
                  <c:v>-2.7994381790241776</c:v>
                </c:pt>
                <c:pt idx="49">
                  <c:v>-2.8645404224891773</c:v>
                </c:pt>
                <c:pt idx="50">
                  <c:v>-2.931151594334835</c:v>
                </c:pt>
                <c:pt idx="51">
                  <c:v>-2.9993063076545665</c:v>
                </c:pt>
                <c:pt idx="52">
                  <c:v>-3.0690399437936486</c:v>
                </c:pt>
                <c:pt idx="53">
                  <c:v>-3.1403886675547983</c:v>
                </c:pt>
                <c:pt idx="54">
                  <c:v>-3.213389442568567</c:v>
                </c:pt>
                <c:pt idx="55">
                  <c:v>-3.2880800468198119</c:v>
                </c:pt>
                <c:pt idx="56">
                  <c:v>-3.3644990883196355</c:v>
                </c:pt>
                <c:pt idx="57">
                  <c:v>-3.4426860209113661</c:v>
                </c:pt>
                <c:pt idx="58">
                  <c:v>-3.5226811601975236</c:v>
                </c:pt>
                <c:pt idx="59">
                  <c:v>-3.6045256995737827</c:v>
                </c:pt>
                <c:pt idx="60">
                  <c:v>-3.688261726354177</c:v>
                </c:pt>
                <c:pt idx="61">
                  <c:v>-3.7739322379702096</c:v>
                </c:pt>
                <c:pt idx="62">
                  <c:v>-3.8615811582249626</c:v>
                </c:pt>
                <c:pt idx="63">
                  <c:v>-3.9512533535815173</c:v>
                </c:pt>
                <c:pt idx="64">
                  <c:v>-4.0429946494628126</c:v>
                </c:pt>
                <c:pt idx="65">
                  <c:v>-4.1368518465381863</c:v>
                </c:pt>
                <c:pt idx="66">
                  <c:v>-4.2328727369697887</c:v>
                </c:pt>
                <c:pt idx="67">
                  <c:v>-4.3311061205891317</c:v>
                </c:pt>
                <c:pt idx="68">
                  <c:v>-4.4316018209721895</c:v>
                </c:pt>
                <c:pt idx="69">
                  <c:v>-4.5344107013782287</c:v>
                </c:pt>
                <c:pt idx="70">
                  <c:v>-4.6395846805149761</c:v>
                </c:pt>
                <c:pt idx="71">
                  <c:v>-4.7471767480895002</c:v>
                </c:pt>
                <c:pt idx="72">
                  <c:v>-4.857240980100924</c:v>
                </c:pt>
                <c:pt idx="73">
                  <c:v>-4.9698325538279482</c:v>
                </c:pt>
                <c:pt idx="74">
                  <c:v>-5.0850077624597416</c:v>
                </c:pt>
                <c:pt idx="75">
                  <c:v>-5.2028240293157113</c:v>
                </c:pt>
                <c:pt idx="76">
                  <c:v>-5.3233399215947346</c:v>
                </c:pt>
                <c:pt idx="77">
                  <c:v>-5.4466151635906792</c:v>
                </c:pt>
                <c:pt idx="78">
                  <c:v>-5.572710649305761</c:v>
                </c:pt>
                <c:pt idx="79">
                  <c:v>-5.7016884543888313</c:v>
                </c:pt>
                <c:pt idx="80">
                  <c:v>-5.8336118473202498</c:v>
                </c:pt>
                <c:pt idx="81">
                  <c:v>-5.9685452997591861</c:v>
                </c:pt>
                <c:pt idx="82">
                  <c:v>-6.1065544959643683</c:v>
                </c:pt>
                <c:pt idx="83">
                  <c:v>-6.2477063411916109</c:v>
                </c:pt>
                <c:pt idx="84">
                  <c:v>-6.3920689689664458</c:v>
                </c:pt>
                <c:pt idx="85">
                  <c:v>-6.5397117471223449</c:v>
                </c:pt>
                <c:pt idx="86">
                  <c:v>-6.6907052824890449</c:v>
                </c:pt>
                <c:pt idx="87">
                  <c:v>-6.845121424106221</c:v>
                </c:pt>
                <c:pt idx="88">
                  <c:v>-7.0030332648322515</c:v>
                </c:pt>
                <c:pt idx="89">
                  <c:v>-7.1645151412068859</c:v>
                </c:pt>
                <c:pt idx="90">
                  <c:v>-7.3296426314211738</c:v>
                </c:pt>
                <c:pt idx="91">
                  <c:v>-7.4984925512367262</c:v>
                </c:pt>
                <c:pt idx="92">
                  <c:v>-7.6711429476877342</c:v>
                </c:pt>
                <c:pt idx="93">
                  <c:v>-7.8476730903904306</c:v>
                </c:pt>
                <c:pt idx="94">
                  <c:v>-8.0281634602737935</c:v>
                </c:pt>
                <c:pt idx="95">
                  <c:v>-8.2126957355361458</c:v>
                </c:pt>
                <c:pt idx="96">
                  <c:v>-8.4013527746197649</c:v>
                </c:pt>
                <c:pt idx="97">
                  <c:v>-8.5942185959877868</c:v>
                </c:pt>
                <c:pt idx="98">
                  <c:v>-8.7913783544742383</c:v>
                </c:pt>
                <c:pt idx="99">
                  <c:v>-8.9929183139676176</c:v>
                </c:pt>
                <c:pt idx="100">
                  <c:v>-9.1989258161772369</c:v>
                </c:pt>
                <c:pt idx="101">
                  <c:v>-9.4094892452208274</c:v>
                </c:pt>
                <c:pt idx="102">
                  <c:v>-9.6246979877576706</c:v>
                </c:pt>
                <c:pt idx="103">
                  <c:v>-9.8446423883845426</c:v>
                </c:pt>
                <c:pt idx="104">
                  <c:v>-10.069413699994925</c:v>
                </c:pt>
                <c:pt idx="105">
                  <c:v>-10.299104028796391</c:v>
                </c:pt>
                <c:pt idx="106">
                  <c:v>-10.533806273665578</c:v>
                </c:pt>
                <c:pt idx="107">
                  <c:v>-10.773614059513626</c:v>
                </c:pt>
                <c:pt idx="108">
                  <c:v>-11.018621664321165</c:v>
                </c:pt>
                <c:pt idx="109">
                  <c:v>-11.268923939498247</c:v>
                </c:pt>
                <c:pt idx="110">
                  <c:v>-11.52461622321005</c:v>
                </c:pt>
                <c:pt idx="111">
                  <c:v>-11.785794246308615</c:v>
                </c:pt>
                <c:pt idx="112">
                  <c:v>-12.052554030500211</c:v>
                </c:pt>
                <c:pt idx="113">
                  <c:v>-12.324991778376949</c:v>
                </c:pt>
                <c:pt idx="114">
                  <c:v>-12.603203754937356</c:v>
                </c:pt>
                <c:pt idx="115">
                  <c:v>-12.88728616022097</c:v>
                </c:pt>
                <c:pt idx="116">
                  <c:v>-13.177334992683658</c:v>
                </c:pt>
                <c:pt idx="117">
                  <c:v>-13.473445902946544</c:v>
                </c:pt>
                <c:pt idx="118">
                  <c:v>-13.775714037557085</c:v>
                </c:pt>
                <c:pt idx="119">
                  <c:v>-14.084233872413511</c:v>
                </c:pt>
                <c:pt idx="120">
                  <c:v>-14.399099035519377</c:v>
                </c:pt>
                <c:pt idx="121">
                  <c:v>-14.72040211875208</c:v>
                </c:pt>
                <c:pt idx="122">
                  <c:v>-15.048234478353901</c:v>
                </c:pt>
                <c:pt idx="123">
                  <c:v>-15.382686023884293</c:v>
                </c:pt>
                <c:pt idx="124">
                  <c:v>-15.723844995402777</c:v>
                </c:pt>
                <c:pt idx="125">
                  <c:v>-16.071797728695383</c:v>
                </c:pt>
                <c:pt idx="126">
                  <c:v>-16.426628408401122</c:v>
                </c:pt>
                <c:pt idx="127">
                  <c:v>-16.788418808948599</c:v>
                </c:pt>
                <c:pt idx="128">
                  <c:v>-17.157248023273503</c:v>
                </c:pt>
                <c:pt idx="129">
                  <c:v>-17.533192179355716</c:v>
                </c:pt>
                <c:pt idx="130">
                  <c:v>-17.916324144686346</c:v>
                </c:pt>
                <c:pt idx="131">
                  <c:v>-18.306713218865049</c:v>
                </c:pt>
                <c:pt idx="132">
                  <c:v>-18.704424814612118</c:v>
                </c:pt>
                <c:pt idx="133">
                  <c:v>-19.109520127588276</c:v>
                </c:pt>
                <c:pt idx="134">
                  <c:v>-19.522055795516845</c:v>
                </c:pt>
                <c:pt idx="135">
                  <c:v>-19.942083547225142</c:v>
                </c:pt>
                <c:pt idx="136">
                  <c:v>-20.369649842347435</c:v>
                </c:pt>
                <c:pt idx="137">
                  <c:v>-20.804795502564598</c:v>
                </c:pt>
                <c:pt idx="138">
                  <c:v>-21.247555335397333</c:v>
                </c:pt>
                <c:pt idx="139">
                  <c:v>-21.697957751723013</c:v>
                </c:pt>
                <c:pt idx="140">
                  <c:v>-22.15602437833504</c:v>
                </c:pt>
                <c:pt idx="141">
                  <c:v>-22.621769667030701</c:v>
                </c:pt>
                <c:pt idx="142">
                  <c:v>-23.095200501872906</c:v>
                </c:pt>
                <c:pt idx="143">
                  <c:v>-23.576315806442476</c:v>
                </c:pt>
                <c:pt idx="144">
                  <c:v>-24.065106153063905</c:v>
                </c:pt>
                <c:pt idx="145">
                  <c:v>-24.561553376153928</c:v>
                </c:pt>
                <c:pt idx="146">
                  <c:v>-25.065630192007397</c:v>
                </c:pt>
                <c:pt idx="147">
                  <c:v>-25.577299827493349</c:v>
                </c:pt>
                <c:pt idx="148">
                  <c:v>-26.096515660280438</c:v>
                </c:pt>
                <c:pt idx="149">
                  <c:v>-26.623220873354075</c:v>
                </c:pt>
                <c:pt idx="150">
                  <c:v>-27.157348126707632</c:v>
                </c:pt>
                <c:pt idx="151">
                  <c:v>-27.698819249198223</c:v>
                </c:pt>
                <c:pt idx="152">
                  <c:v>-28.2475449536425</c:v>
                </c:pt>
                <c:pt idx="153">
                  <c:v>-28.803424578291612</c:v>
                </c:pt>
                <c:pt idx="154">
                  <c:v>-29.366345857853769</c:v>
                </c:pt>
                <c:pt idx="155">
                  <c:v>-29.93618472724124</c:v>
                </c:pt>
                <c:pt idx="156">
                  <c:v>-30.512805161185124</c:v>
                </c:pt>
                <c:pt idx="157">
                  <c:v>-31.096059052796011</c:v>
                </c:pt>
                <c:pt idx="158">
                  <c:v>-31.685786134040985</c:v>
                </c:pt>
                <c:pt idx="159">
                  <c:v>-32.281813940961726</c:v>
                </c:pt>
                <c:pt idx="160">
                  <c:v>-32.883957826271065</c:v>
                </c:pt>
                <c:pt idx="161">
                  <c:v>-33.49202102172773</c:v>
                </c:pt>
                <c:pt idx="162">
                  <c:v>-34.105794752419563</c:v>
                </c:pt>
                <c:pt idx="163">
                  <c:v>-34.725058404762372</c:v>
                </c:pt>
                <c:pt idx="164">
                  <c:v>-35.349579749663029</c:v>
                </c:pt>
                <c:pt idx="165">
                  <c:v>-35.979115221897388</c:v>
                </c:pt>
                <c:pt idx="166">
                  <c:v>-36.613410256318161</c:v>
                </c:pt>
                <c:pt idx="167">
                  <c:v>-37.252199681042619</c:v>
                </c:pt>
                <c:pt idx="168">
                  <c:v>-37.895208167278113</c:v>
                </c:pt>
                <c:pt idx="169">
                  <c:v>-38.542150734928761</c:v>
                </c:pt>
                <c:pt idx="170">
                  <c:v>-39.192733312602783</c:v>
                </c:pt>
                <c:pt idx="171">
                  <c:v>-39.846653350104624</c:v>
                </c:pt>
                <c:pt idx="172">
                  <c:v>-40.503600480964778</c:v>
                </c:pt>
                <c:pt idx="173">
                  <c:v>-41.163257232038184</c:v>
                </c:pt>
                <c:pt idx="174">
                  <c:v>-41.825299776696156</c:v>
                </c:pt>
                <c:pt idx="175">
                  <c:v>-42.489398727661786</c:v>
                </c:pt>
                <c:pt idx="176">
                  <c:v>-43.155219965090083</c:v>
                </c:pt>
                <c:pt idx="177">
                  <c:v>-43.822425495096759</c:v>
                </c:pt>
                <c:pt idx="178">
                  <c:v>-44.490674333586192</c:v>
                </c:pt>
                <c:pt idx="179">
                  <c:v>-45.159623409933218</c:v>
                </c:pt>
                <c:pt idx="180">
                  <c:v>-45.828928484840532</c:v>
                </c:pt>
                <c:pt idx="181">
                  <c:v>-46.49824507652221</c:v>
                </c:pt>
                <c:pt idx="182">
                  <c:v>-47.167229389267781</c:v>
                </c:pt>
                <c:pt idx="183">
                  <c:v>-47.835539238416835</c:v>
                </c:pt>
                <c:pt idx="184">
                  <c:v>-48.502834965805803</c:v>
                </c:pt>
                <c:pt idx="185">
                  <c:v>-49.168780339877536</c:v>
                </c:pt>
                <c:pt idx="186">
                  <c:v>-49.833043434822244</c:v>
                </c:pt>
                <c:pt idx="187">
                  <c:v>-50.495297483360396</c:v>
                </c:pt>
                <c:pt idx="188">
                  <c:v>-51.155221698097954</c:v>
                </c:pt>
                <c:pt idx="189">
                  <c:v>-51.812502056740207</c:v>
                </c:pt>
                <c:pt idx="190">
                  <c:v>-52.466832046864276</c:v>
                </c:pt>
                <c:pt idx="191">
                  <c:v>-53.117913366406604</c:v>
                </c:pt>
                <c:pt idx="192">
                  <c:v>-53.765456576496256</c:v>
                </c:pt>
                <c:pt idx="193">
                  <c:v>-54.409181703788263</c:v>
                </c:pt>
                <c:pt idx="194">
                  <c:v>-55.048818789963363</c:v>
                </c:pt>
                <c:pt idx="195">
                  <c:v>-55.684108386603633</c:v>
                </c:pt>
                <c:pt idx="196">
                  <c:v>-56.314801994179959</c:v>
                </c:pt>
                <c:pt idx="197">
                  <c:v>-56.940662444411913</c:v>
                </c:pt>
                <c:pt idx="198">
                  <c:v>-57.561464225773321</c:v>
                </c:pt>
                <c:pt idx="199">
                  <c:v>-58.176993752400122</c:v>
                </c:pt>
                <c:pt idx="200">
                  <c:v>-58.787049577116129</c:v>
                </c:pt>
                <c:pt idx="201">
                  <c:v>-59.391442549723287</c:v>
                </c:pt>
                <c:pt idx="202">
                  <c:v>-59.989995922087004</c:v>
                </c:pt>
                <c:pt idx="203">
                  <c:v>-60.582545401905101</c:v>
                </c:pt>
                <c:pt idx="204">
                  <c:v>-61.168939157350479</c:v>
                </c:pt>
                <c:pt idx="205">
                  <c:v>-61.749037775053132</c:v>
                </c:pt>
                <c:pt idx="206">
                  <c:v>-62.322714174099261</c:v>
                </c:pt>
                <c:pt idx="207">
                  <c:v>-62.88985347891348</c:v>
                </c:pt>
                <c:pt idx="208">
                  <c:v>-63.450352854024146</c:v>
                </c:pt>
                <c:pt idx="209">
                  <c:v>-64.00412130380964</c:v>
                </c:pt>
                <c:pt idx="210">
                  <c:v>-64.551079440378487</c:v>
                </c:pt>
                <c:pt idx="211">
                  <c:v>-65.091159222766578</c:v>
                </c:pt>
                <c:pt idx="212">
                  <c:v>-65.6243036706162</c:v>
                </c:pt>
                <c:pt idx="213">
                  <c:v>-66.150466555468228</c:v>
                </c:pt>
                <c:pt idx="214">
                  <c:v>-66.669612072722813</c:v>
                </c:pt>
                <c:pt idx="215">
                  <c:v>-67.181714497245508</c:v>
                </c:pt>
                <c:pt idx="216">
                  <c:v>-67.686757825473123</c:v>
                </c:pt>
                <c:pt idx="217">
                  <c:v>-68.184735406756189</c:v>
                </c:pt>
                <c:pt idx="218">
                  <c:v>-68.67564956652437</c:v>
                </c:pt>
                <c:pt idx="219">
                  <c:v>-69.159511223720585</c:v>
                </c:pt>
                <c:pt idx="220">
                  <c:v>-69.636339504778547</c:v>
                </c:pt>
                <c:pt idx="221">
                  <c:v>-70.106161356263286</c:v>
                </c:pt>
                <c:pt idx="222">
                  <c:v>-70.569011158120674</c:v>
                </c:pt>
                <c:pt idx="223">
                  <c:v>-71.024930339319141</c:v>
                </c:pt>
                <c:pt idx="224">
                  <c:v>-71.473966997492823</c:v>
                </c:pt>
                <c:pt idx="225">
                  <c:v>-71.916175524040469</c:v>
                </c:pt>
                <c:pt idx="226">
                  <c:v>-72.351616235968294</c:v>
                </c:pt>
                <c:pt idx="227">
                  <c:v>-72.780355015612102</c:v>
                </c:pt>
                <c:pt idx="228">
                  <c:v>-73.202462959228455</c:v>
                </c:pt>
                <c:pt idx="229">
                  <c:v>-73.618016035306411</c:v>
                </c:pt>
                <c:pt idx="230">
                  <c:v>-74.02709475330991</c:v>
                </c:pt>
                <c:pt idx="231">
                  <c:v>-74.429783843448817</c:v>
                </c:pt>
                <c:pt idx="232">
                  <c:v>-74.82617194795148</c:v>
                </c:pt>
                <c:pt idx="233">
                  <c:v>-75.216351324210919</c:v>
                </c:pt>
                <c:pt idx="234">
                  <c:v>-75.600417560072927</c:v>
                </c:pt>
                <c:pt idx="235">
                  <c:v>-75.978469301450076</c:v>
                </c:pt>
                <c:pt idx="236">
                  <c:v>-76.350607992359457</c:v>
                </c:pt>
                <c:pt idx="237">
                  <c:v>-76.716937627410971</c:v>
                </c:pt>
                <c:pt idx="238">
                  <c:v>-77.077564516707781</c:v>
                </c:pt>
                <c:pt idx="239">
                  <c:v>-77.432597063058822</c:v>
                </c:pt>
                <c:pt idx="240">
                  <c:v>-77.782145551356763</c:v>
                </c:pt>
                <c:pt idx="241">
                  <c:v>-78.126321949927373</c:v>
                </c:pt>
                <c:pt idx="242">
                  <c:v>-78.465239723616818</c:v>
                </c:pt>
                <c:pt idx="243">
                  <c:v>-78.79901365835353</c:v>
                </c:pt>
                <c:pt idx="244">
                  <c:v>-79.127759696892696</c:v>
                </c:pt>
                <c:pt idx="245">
                  <c:v>-79.451594785427915</c:v>
                </c:pt>
                <c:pt idx="246">
                  <c:v>-79.770636730737593</c:v>
                </c:pt>
                <c:pt idx="247">
                  <c:v>-80.085004067519776</c:v>
                </c:pt>
                <c:pt idx="248">
                  <c:v>-80.394815935558199</c:v>
                </c:pt>
                <c:pt idx="249">
                  <c:v>-80.700191966355732</c:v>
                </c:pt>
                <c:pt idx="250">
                  <c:v>-81.001252178867418</c:v>
                </c:pt>
                <c:pt idx="251">
                  <c:v>-81.298116883963104</c:v>
                </c:pt>
                <c:pt idx="252">
                  <c:v>-81.590906597251475</c:v>
                </c:pt>
                <c:pt idx="253">
                  <c:v>-81.879741959899505</c:v>
                </c:pt>
                <c:pt idx="254">
                  <c:v>-82.164743667086299</c:v>
                </c:pt>
                <c:pt idx="255">
                  <c:v>-82.446032403736012</c:v>
                </c:pt>
                <c:pt idx="256">
                  <c:v>-82.723728787181685</c:v>
                </c:pt>
                <c:pt idx="257">
                  <c:v>-82.997953316421814</c:v>
                </c:pt>
                <c:pt idx="258">
                  <c:v>-83.268826327638195</c:v>
                </c:pt>
                <c:pt idx="259">
                  <c:v>-83.536467955655567</c:v>
                </c:pt>
                <c:pt idx="260">
                  <c:v>-83.800998101033997</c:v>
                </c:pt>
                <c:pt idx="261">
                  <c:v>-84.06253640249399</c:v>
                </c:pt>
                <c:pt idx="262">
                  <c:v>-84.321202214388677</c:v>
                </c:pt>
                <c:pt idx="263">
                  <c:v>-84.577114588946174</c:v>
                </c:pt>
                <c:pt idx="264">
                  <c:v>-84.8303922630177</c:v>
                </c:pt>
                <c:pt idx="265">
                  <c:v>-85.081153649079511</c:v>
                </c:pt>
                <c:pt idx="266">
                  <c:v>-85.32951683024659</c:v>
                </c:pt>
                <c:pt idx="267">
                  <c:v>-85.575599559068607</c:v>
                </c:pt>
                <c:pt idx="268">
                  <c:v>-85.819519259889617</c:v>
                </c:pt>
                <c:pt idx="269">
                  <c:v>-86.061393034563295</c:v>
                </c:pt>
                <c:pt idx="270">
                  <c:v>-86.301337671327786</c:v>
                </c:pt>
                <c:pt idx="271">
                  <c:v>-86.539469656652784</c:v>
                </c:pt>
                <c:pt idx="272">
                  <c:v>-86.775905189882963</c:v>
                </c:pt>
                <c:pt idx="273">
                  <c:v>-87.010760200511712</c:v>
                </c:pt>
                <c:pt idx="274">
                  <c:v>-87.24415036792729</c:v>
                </c:pt>
                <c:pt idx="275">
                  <c:v>-87.476191143484897</c:v>
                </c:pt>
                <c:pt idx="276">
                  <c:v>-87.706997774764289</c:v>
                </c:pt>
                <c:pt idx="277">
                  <c:v>-87.936685331882984</c:v>
                </c:pt>
                <c:pt idx="278">
                  <c:v>-88.165368735742675</c:v>
                </c:pt>
                <c:pt idx="279">
                  <c:v>-88.393162788093008</c:v>
                </c:pt>
                <c:pt idx="280">
                  <c:v>-88.620182203306229</c:v>
                </c:pt>
                <c:pt idx="281">
                  <c:v>-88.846541641760567</c:v>
                </c:pt>
                <c:pt idx="282">
                  <c:v>-89.072355744739539</c:v>
                </c:pt>
                <c:pt idx="283">
                  <c:v>-89.297739170758163</c:v>
                </c:pt>
                <c:pt idx="284">
                  <c:v>-89.522806633234467</c:v>
                </c:pt>
                <c:pt idx="285">
                  <c:v>-89.747672939429478</c:v>
                </c:pt>
                <c:pt idx="286">
                  <c:v>-89.972453030584475</c:v>
                </c:pt>
                <c:pt idx="287">
                  <c:v>-90.197262023188699</c:v>
                </c:pt>
                <c:pt idx="288">
                  <c:v>-90.422215251315649</c:v>
                </c:pt>
                <c:pt idx="289">
                  <c:v>-90.647428309969854</c:v>
                </c:pt>
                <c:pt idx="290">
                  <c:v>-90.873017099391049</c:v>
                </c:pt>
                <c:pt idx="291">
                  <c:v>-91.099097870264075</c:v>
                </c:pt>
                <c:pt idx="292">
                  <c:v>-91.325787269789529</c:v>
                </c:pt>
                <c:pt idx="293">
                  <c:v>-91.553202388569289</c:v>
                </c:pt>
                <c:pt idx="294">
                  <c:v>-91.781460808267511</c:v>
                </c:pt>
                <c:pt idx="295">
                  <c:v>-92.010680650007458</c:v>
                </c:pt>
                <c:pt idx="296">
                  <c:v>-92.240980623468758</c:v>
                </c:pt>
                <c:pt idx="297">
                  <c:v>-92.472480076649944</c:v>
                </c:pt>
                <c:pt idx="298">
                  <c:v>-92.705299046264628</c:v>
                </c:pt>
                <c:pt idx="299">
                  <c:v>-92.939558308739649</c:v>
                </c:pt>
                <c:pt idx="300">
                  <c:v>-93.175379431785998</c:v>
                </c:pt>
                <c:pt idx="301">
                  <c:v>-93.412884826513206</c:v>
                </c:pt>
                <c:pt idx="302">
                  <c:v>-93.652197800059795</c:v>
                </c:pt>
                <c:pt idx="303">
                  <c:v>-93.893442608712164</c:v>
                </c:pt>
                <c:pt idx="304">
                  <c:v>-94.136744511484821</c:v>
                </c:pt>
                <c:pt idx="305">
                  <c:v>-94.382229824134967</c:v>
                </c:pt>
                <c:pt idx="306">
                  <c:v>-94.630025973584281</c:v>
                </c:pt>
                <c:pt idx="307">
                  <c:v>-94.880261552720242</c:v>
                </c:pt>
                <c:pt idx="308">
                  <c:v>-95.133066375548964</c:v>
                </c:pt>
                <c:pt idx="309">
                  <c:v>-95.388571532670156</c:v>
                </c:pt>
                <c:pt idx="310">
                  <c:v>-95.646909447044123</c:v>
                </c:pt>
                <c:pt idx="311">
                  <c:v>-95.908213930018945</c:v>
                </c:pt>
                <c:pt idx="312">
                  <c:v>-96.172620237585065</c:v>
                </c:pt>
                <c:pt idx="313">
                  <c:v>-96.440265126821416</c:v>
                </c:pt>
                <c:pt idx="314">
                  <c:v>-96.711286912496533</c:v>
                </c:pt>
                <c:pt idx="315">
                  <c:v>-96.985825523783632</c:v>
                </c:pt>
                <c:pt idx="316">
                  <c:v>-97.264022561048904</c:v>
                </c:pt>
                <c:pt idx="317">
                  <c:v>-97.546021352665491</c:v>
                </c:pt>
                <c:pt idx="318">
                  <c:v>-97.83196701180654</c:v>
                </c:pt>
                <c:pt idx="319">
                  <c:v>-98.122006493162104</c:v>
                </c:pt>
                <c:pt idx="320">
                  <c:v>-98.416288649526791</c:v>
                </c:pt>
                <c:pt idx="321">
                  <c:v>-98.71496428819475</c:v>
                </c:pt>
                <c:pt idx="322">
                  <c:v>-99.018186227097956</c:v>
                </c:pt>
                <c:pt idx="323">
                  <c:v>-99.326109350618097</c:v>
                </c:pt>
                <c:pt idx="324">
                  <c:v>-99.638890664995969</c:v>
                </c:pt>
                <c:pt idx="325">
                  <c:v>-99.956689353257019</c:v>
                </c:pt>
                <c:pt idx="326">
                  <c:v>-100.27966682956615</c:v>
                </c:pt>
                <c:pt idx="327">
                  <c:v>-100.60798679291973</c:v>
                </c:pt>
                <c:pt idx="328">
                  <c:v>-100.9418152800708</c:v>
                </c:pt>
                <c:pt idx="329">
                  <c:v>-101.28132071758495</c:v>
                </c:pt>
                <c:pt idx="330">
                  <c:v>-101.62667397290544</c:v>
                </c:pt>
                <c:pt idx="331">
                  <c:v>-101.97804840431053</c:v>
                </c:pt>
                <c:pt idx="332">
                  <c:v>-102.33561990962448</c:v>
                </c:pt>
                <c:pt idx="333">
                  <c:v>-102.69956697354851</c:v>
                </c:pt>
                <c:pt idx="334">
                  <c:v>-103.07007071345322</c:v>
                </c:pt>
                <c:pt idx="335">
                  <c:v>-103.44731492347971</c:v>
                </c:pt>
                <c:pt idx="336">
                  <c:v>-103.83148611677169</c:v>
                </c:pt>
                <c:pt idx="337">
                  <c:v>-104.22277356566245</c:v>
                </c:pt>
                <c:pt idx="338">
                  <c:v>-104.62136933961902</c:v>
                </c:pt>
                <c:pt idx="339">
                  <c:v>-105.02746834074151</c:v>
                </c:pt>
                <c:pt idx="340">
                  <c:v>-105.44126833659648</c:v>
                </c:pt>
                <c:pt idx="341">
                  <c:v>-105.86296999015741</c:v>
                </c:pt>
                <c:pt idx="342">
                  <c:v>-106.29277688660567</c:v>
                </c:pt>
                <c:pt idx="343">
                  <c:v>-106.73089555673282</c:v>
                </c:pt>
                <c:pt idx="344">
                  <c:v>-107.17753549667439</c:v>
                </c:pt>
                <c:pt idx="345">
                  <c:v>-107.63290918368472</c:v>
                </c:pt>
                <c:pt idx="346">
                  <c:v>-108.09723208764977</c:v>
                </c:pt>
                <c:pt idx="347">
                  <c:v>-108.57072267801729</c:v>
                </c:pt>
                <c:pt idx="348">
                  <c:v>-109.05360242581007</c:v>
                </c:pt>
                <c:pt idx="349">
                  <c:v>-109.54609580036502</c:v>
                </c:pt>
                <c:pt idx="350">
                  <c:v>-110.04843026042694</c:v>
                </c:pt>
                <c:pt idx="351">
                  <c:v>-110.56083623920873</c:v>
                </c:pt>
                <c:pt idx="352">
                  <c:v>-111.08354712300293</c:v>
                </c:pt>
                <c:pt idx="353">
                  <c:v>-111.61679922292025</c:v>
                </c:pt>
                <c:pt idx="354">
                  <c:v>-112.16083173929968</c:v>
                </c:pt>
                <c:pt idx="355">
                  <c:v>-112.71588671831968</c:v>
                </c:pt>
                <c:pt idx="356">
                  <c:v>-113.28220900031536</c:v>
                </c:pt>
                <c:pt idx="357">
                  <c:v>-113.86004615928275</c:v>
                </c:pt>
                <c:pt idx="358">
                  <c:v>-114.4496484330254</c:v>
                </c:pt>
                <c:pt idx="359">
                  <c:v>-115.05126864337336</c:v>
                </c:pt>
                <c:pt idx="360">
                  <c:v>-115.66516210587989</c:v>
                </c:pt>
                <c:pt idx="361">
                  <c:v>-116.29158652835915</c:v>
                </c:pt>
                <c:pt idx="362">
                  <c:v>-116.93080189761501</c:v>
                </c:pt>
                <c:pt idx="363">
                  <c:v>-117.58307035365783</c:v>
                </c:pt>
                <c:pt idx="364">
                  <c:v>-118.24865605067774</c:v>
                </c:pt>
                <c:pt idx="365">
                  <c:v>-118.92782500399954</c:v>
                </c:pt>
                <c:pt idx="366">
                  <c:v>-119.62084492219854</c:v>
                </c:pt>
                <c:pt idx="367">
                  <c:v>-120.32798502350114</c:v>
                </c:pt>
                <c:pt idx="368">
                  <c:v>-121.04951583554278</c:v>
                </c:pt>
                <c:pt idx="369">
                  <c:v>-121.78570897748881</c:v>
                </c:pt>
                <c:pt idx="370">
                  <c:v>-122.53683692344983</c:v>
                </c:pt>
                <c:pt idx="371">
                  <c:v>-123.30317274604667</c:v>
                </c:pt>
                <c:pt idx="372">
                  <c:v>-124.08498983888461</c:v>
                </c:pt>
                <c:pt idx="373">
                  <c:v>-124.88256161659321</c:v>
                </c:pt>
                <c:pt idx="374">
                  <c:v>-125.69616119097346</c:v>
                </c:pt>
                <c:pt idx="375">
                  <c:v>-126.52606102166018</c:v>
                </c:pt>
                <c:pt idx="376">
                  <c:v>-127.37253253955787</c:v>
                </c:pt>
                <c:pt idx="377">
                  <c:v>-128.23584574114426</c:v>
                </c:pt>
                <c:pt idx="378">
                  <c:v>-129.11626875154286</c:v>
                </c:pt>
                <c:pt idx="379">
                  <c:v>-130.01406735406434</c:v>
                </c:pt>
                <c:pt idx="380">
                  <c:v>-130.92950448367401</c:v>
                </c:pt>
                <c:pt idx="381">
                  <c:v>-131.86283968159438</c:v>
                </c:pt>
                <c:pt idx="382">
                  <c:v>-132.81432850796489</c:v>
                </c:pt>
                <c:pt idx="383">
                  <c:v>-133.7842219091722</c:v>
                </c:pt>
                <c:pt idx="384">
                  <c:v>-134.7727655361351</c:v>
                </c:pt>
                <c:pt idx="385">
                  <c:v>-135.78019900946359</c:v>
                </c:pt>
                <c:pt idx="386">
                  <c:v>-136.80675512704454</c:v>
                </c:pt>
                <c:pt idx="387">
                  <c:v>-137.85265900919839</c:v>
                </c:pt>
                <c:pt idx="388">
                  <c:v>-138.91812717615582</c:v>
                </c:pt>
                <c:pt idx="389">
                  <c:v>-140.00336655218422</c:v>
                </c:pt>
                <c:pt idx="390">
                  <c:v>-141.10857339029809</c:v>
                </c:pt>
                <c:pt idx="391">
                  <c:v>-142.23393211110331</c:v>
                </c:pt>
                <c:pt idx="392">
                  <c:v>-143.37961404897604</c:v>
                </c:pt>
                <c:pt idx="393">
                  <c:v>-144.54577609850173</c:v>
                </c:pt>
                <c:pt idx="394">
                  <c:v>-145.73255925388725</c:v>
                </c:pt>
                <c:pt idx="395">
                  <c:v>-146.94008703397398</c:v>
                </c:pt>
                <c:pt idx="396">
                  <c:v>-148.16846378553481</c:v>
                </c:pt>
                <c:pt idx="397">
                  <c:v>-149.41777285778053</c:v>
                </c:pt>
                <c:pt idx="398">
                  <c:v>-150.68807464147503</c:v>
                </c:pt>
                <c:pt idx="399">
                  <c:v>-151.9794044667988</c:v>
                </c:pt>
                <c:pt idx="400">
                  <c:v>-153.29177035519709</c:v>
                </c:pt>
                <c:pt idx="401">
                  <c:v>-154.62515062188871</c:v>
                </c:pt>
                <c:pt idx="402">
                  <c:v>-155.97949132763853</c:v>
                </c:pt>
                <c:pt idx="403">
                  <c:v>-157.35470358078101</c:v>
                </c:pt>
                <c:pt idx="404">
                  <c:v>-158.7506606934376</c:v>
                </c:pt>
                <c:pt idx="405">
                  <c:v>-160.1671951994112</c:v>
                </c:pt>
                <c:pt idx="406">
                  <c:v>-161.60409574540628</c:v>
                </c:pt>
                <c:pt idx="407">
                  <c:v>-163.06110387203555</c:v>
                </c:pt>
                <c:pt idx="408">
                  <c:v>-164.53791070654225</c:v>
                </c:pt>
                <c:pt idx="409">
                  <c:v>-166.03415359522259</c:v>
                </c:pt>
                <c:pt idx="410">
                  <c:v>-167.54941271016455</c:v>
                </c:pt>
                <c:pt idx="411">
                  <c:v>-169.08320767199888</c:v>
                </c:pt>
                <c:pt idx="412">
                  <c:v>-170.63499423773305</c:v>
                </c:pt>
                <c:pt idx="413">
                  <c:v>-172.20416111024224</c:v>
                </c:pt>
                <c:pt idx="414">
                  <c:v>-173.790026933364</c:v>
                </c:pt>
                <c:pt idx="415">
                  <c:v>-175.39183754349597</c:v>
                </c:pt>
                <c:pt idx="416">
                  <c:v>-177.00876355478468</c:v>
                </c:pt>
                <c:pt idx="417">
                  <c:v>-178.63989836005172</c:v>
                </c:pt>
                <c:pt idx="418">
                  <c:v>179.7157433668865</c:v>
                </c:pt>
                <c:pt idx="419">
                  <c:v>178.05922658029749</c:v>
                </c:pt>
                <c:pt idx="420">
                  <c:v>176.39169609662613</c:v>
                </c:pt>
                <c:pt idx="421">
                  <c:v>174.71437607075708</c:v>
                </c:pt>
                <c:pt idx="422">
                  <c:v>173.02856863821211</c:v>
                </c:pt>
                <c:pt idx="423">
                  <c:v>171.33565165685192</c:v>
                </c:pt>
                <c:pt idx="424">
                  <c:v>169.6370754948411</c:v>
                </c:pt>
                <c:pt idx="425">
                  <c:v>167.93435882801751</c:v>
                </c:pt>
                <c:pt idx="426">
                  <c:v>166.22908342923452</c:v>
                </c:pt>
                <c:pt idx="427">
                  <c:v>164.52288795422498</c:v>
                </c:pt>
                <c:pt idx="428">
                  <c:v>162.81746075248304</c:v>
                </c:pt>
                <c:pt idx="429">
                  <c:v>161.11453175677096</c:v>
                </c:pt>
                <c:pt idx="430">
                  <c:v>159.41586353026844</c:v>
                </c:pt>
                <c:pt idx="431">
                  <c:v>157.72324157495638</c:v>
                </c:pt>
                <c:pt idx="432">
                  <c:v>156.03846402766439</c:v>
                </c:pt>
                <c:pt idx="433">
                  <c:v>154.36333089011498</c:v>
                </c:pt>
                <c:pt idx="434">
                  <c:v>152.69963295545685</c:v>
                </c:pt>
                <c:pt idx="435">
                  <c:v>151.04914060527469</c:v>
                </c:pt>
                <c:pt idx="436">
                  <c:v>149.41359265740354</c:v>
                </c:pt>
                <c:pt idx="437">
                  <c:v>147.79468544565435</c:v>
                </c:pt>
                <c:pt idx="438">
                  <c:v>146.19406230774351</c:v>
                </c:pt>
                <c:pt idx="439">
                  <c:v>144.61330364751149</c:v>
                </c:pt>
                <c:pt idx="440">
                  <c:v>143.05391772240904</c:v>
                </c:pt>
                <c:pt idx="441">
                  <c:v>141.51733228791466</c:v>
                </c:pt>
                <c:pt idx="442">
                  <c:v>140.00488720795229</c:v>
                </c:pt>
                <c:pt idx="443">
                  <c:v>138.51782811545615</c:v>
                </c:pt>
                <c:pt idx="444">
                  <c:v>137.0573011811104</c:v>
                </c:pt>
                <c:pt idx="445">
                  <c:v>135.62434902197705</c:v>
                </c:pt>
                <c:pt idx="446">
                  <c:v>134.21990775623038</c:v>
                </c:pt>
                <c:pt idx="447">
                  <c:v>132.8448051863723</c:v>
                </c:pt>
                <c:pt idx="448">
                  <c:v>131.49976007186015</c:v>
                </c:pt>
                <c:pt idx="449">
                  <c:v>130.18538243350409</c:v>
                </c:pt>
                <c:pt idx="450">
                  <c:v>128.90217481668228</c:v>
                </c:pt>
                <c:pt idx="451">
                  <c:v>127.65053442852027</c:v>
                </c:pt>
                <c:pt idx="452">
                  <c:v>126.43075605565755</c:v>
                </c:pt>
                <c:pt idx="453">
                  <c:v>125.24303566397653</c:v>
                </c:pt>
                <c:pt idx="454">
                  <c:v>124.08747457942353</c:v>
                </c:pt>
                <c:pt idx="455">
                  <c:v>122.96408414945655</c:v>
                </c:pt>
                <c:pt idx="456">
                  <c:v>121.87279078734396</c:v>
                </c:pt>
                <c:pt idx="457">
                  <c:v>120.81344130607555</c:v>
                </c:pt>
                <c:pt idx="458">
                  <c:v>119.78580845464145</c:v>
                </c:pt>
                <c:pt idx="459">
                  <c:v>118.78959657646151</c:v>
                </c:pt>
                <c:pt idx="460">
                  <c:v>117.8244473174649</c:v>
                </c:pt>
                <c:pt idx="461">
                  <c:v>116.88994531939601</c:v>
                </c:pt>
                <c:pt idx="462">
                  <c:v>115.98562384207753</c:v>
                </c:pt>
                <c:pt idx="463">
                  <c:v>115.11097026638566</c:v>
                </c:pt>
                <c:pt idx="464">
                  <c:v>114.26543143739758</c:v>
                </c:pt>
                <c:pt idx="465">
                  <c:v>113.44841881442076</c:v>
                </c:pt>
                <c:pt idx="466">
                  <c:v>112.65931340133446</c:v>
                </c:pt>
                <c:pt idx="467">
                  <c:v>111.89747043679111</c:v>
                </c:pt>
                <c:pt idx="468">
                  <c:v>111.16222382932622</c:v>
                </c:pt>
                <c:pt idx="469">
                  <c:v>110.45289032729005</c:v>
                </c:pt>
                <c:pt idx="470">
                  <c:v>109.76877341778912</c:v>
                </c:pt>
                <c:pt idx="471">
                  <c:v>109.10916695248699</c:v>
                </c:pt>
                <c:pt idx="472">
                  <c:v>108.47335850126886</c:v>
                </c:pt>
                <c:pt idx="473">
                  <c:v>107.86063243738916</c:v>
                </c:pt>
                <c:pt idx="474">
                  <c:v>107.27027275992087</c:v>
                </c:pt>
                <c:pt idx="475">
                  <c:v>106.7015656610742</c:v>
                </c:pt>
                <c:pt idx="476">
                  <c:v>106.1538018473933</c:v>
                </c:pt>
                <c:pt idx="477">
                  <c:v>105.62627862490399</c:v>
                </c:pt>
                <c:pt idx="478">
                  <c:v>105.11830175912499</c:v>
                </c:pt>
                <c:pt idx="479">
                  <c:v>104.62918712142793</c:v>
                </c:pt>
                <c:pt idx="480">
                  <c:v>104.15826213360356</c:v>
                </c:pt>
                <c:pt idx="481">
                  <c:v>103.7048670227023</c:v>
                </c:pt>
                <c:pt idx="482">
                  <c:v>103.26835589826503</c:v>
                </c:pt>
                <c:pt idx="483">
                  <c:v>102.84809766399913</c:v>
                </c:pt>
                <c:pt idx="484">
                  <c:v>102.44347677578047</c:v>
                </c:pt>
                <c:pt idx="485">
                  <c:v>102.05389385761512</c:v>
                </c:pt>
                <c:pt idx="486">
                  <c:v>101.67876618686846</c:v>
                </c:pt>
                <c:pt idx="487">
                  <c:v>101.31752805969532</c:v>
                </c:pt>
                <c:pt idx="488">
                  <c:v>100.96963104718886</c:v>
                </c:pt>
                <c:pt idx="489">
                  <c:v>100.63454415230996</c:v>
                </c:pt>
                <c:pt idx="490">
                  <c:v>100.31175387718959</c:v>
                </c:pt>
                <c:pt idx="491">
                  <c:v>100.00076420989885</c:v>
                </c:pt>
                <c:pt idx="492">
                  <c:v>99.701096539281906</c:v>
                </c:pt>
                <c:pt idx="493">
                  <c:v>99.412289505945324</c:v>
                </c:pt>
                <c:pt idx="494">
                  <c:v>99.133898796983004</c:v>
                </c:pt>
                <c:pt idx="495">
                  <c:v>98.865496891519456</c:v>
                </c:pt>
                <c:pt idx="496">
                  <c:v>98.60667276366263</c:v>
                </c:pt>
                <c:pt idx="497">
                  <c:v>98.357031548971989</c:v>
                </c:pt>
                <c:pt idx="498">
                  <c:v>98.1161941800748</c:v>
                </c:pt>
                <c:pt idx="499">
                  <c:v>97.883796996622351</c:v>
                </c:pt>
                <c:pt idx="500">
                  <c:v>97.659491334325821</c:v>
                </c:pt>
                <c:pt idx="501">
                  <c:v>97.442943097408815</c:v>
                </c:pt>
                <c:pt idx="502">
                  <c:v>97.233832318402591</c:v>
                </c:pt>
                <c:pt idx="503">
                  <c:v>97.031852708841214</c:v>
                </c:pt>
                <c:pt idx="504">
                  <c:v>96.836711204052648</c:v>
                </c:pt>
                <c:pt idx="505">
                  <c:v>96.648127504906554</c:v>
                </c:pt>
                <c:pt idx="506">
                  <c:v>96.465833619062465</c:v>
                </c:pt>
                <c:pt idx="507">
                  <c:v>96.289573403971829</c:v>
                </c:pt>
                <c:pt idx="508">
                  <c:v>96.119102113608633</c:v>
                </c:pt>
                <c:pt idx="509">
                  <c:v>95.954185950652416</c:v>
                </c:pt>
                <c:pt idx="510">
                  <c:v>95.794601625613581</c:v>
                </c:pt>
                <c:pt idx="511">
                  <c:v>95.640135924172142</c:v>
                </c:pt>
                <c:pt idx="512">
                  <c:v>95.490585283809011</c:v>
                </c:pt>
                <c:pt idx="513">
                  <c:v>95.34575538062262</c:v>
                </c:pt>
                <c:pt idx="514">
                  <c:v>95.205460727066153</c:v>
                </c:pt>
                <c:pt idx="515">
                  <c:v>95.069524281188237</c:v>
                </c:pt>
                <c:pt idx="516">
                  <c:v>94.937777067828804</c:v>
                </c:pt>
                <c:pt idx="517">
                  <c:v>94.810057812102357</c:v>
                </c:pt>
                <c:pt idx="518">
                  <c:v>94.686212585393349</c:v>
                </c:pt>
                <c:pt idx="519">
                  <c:v>94.566094463996137</c:v>
                </c:pt>
                <c:pt idx="520">
                  <c:v>94.449563200442995</c:v>
                </c:pt>
                <c:pt idx="521">
                  <c:v>94.336484907499369</c:v>
                </c:pt>
                <c:pt idx="522">
                  <c:v>94.226731754732441</c:v>
                </c:pt>
                <c:pt idx="523">
                  <c:v>94.120181677512946</c:v>
                </c:pt>
                <c:pt idx="524">
                  <c:v>94.016718098252738</c:v>
                </c:pt>
                <c:pt idx="525">
                  <c:v>93.916229659653524</c:v>
                </c:pt>
                <c:pt idx="526">
                  <c:v>93.818609969695828</c:v>
                </c:pt>
                <c:pt idx="527">
                  <c:v>93.72375735808042</c:v>
                </c:pt>
                <c:pt idx="528">
                  <c:v>93.631574643804214</c:v>
                </c:pt>
                <c:pt idx="529">
                  <c:v>93.541968913540472</c:v>
                </c:pt>
                <c:pt idx="530">
                  <c:v>93.454851310478631</c:v>
                </c:pt>
                <c:pt idx="531">
                  <c:v>93.370136833266585</c:v>
                </c:pt>
                <c:pt idx="532">
                  <c:v>93.287744144696845</c:v>
                </c:pt>
                <c:pt idx="533">
                  <c:v>93.2075953897711</c:v>
                </c:pt>
                <c:pt idx="534">
                  <c:v>93.129616022777967</c:v>
                </c:pt>
                <c:pt idx="535">
                  <c:v>93.053734643021201</c:v>
                </c:pt>
                <c:pt idx="536">
                  <c:v>92.979882838837767</c:v>
                </c:pt>
                <c:pt idx="537">
                  <c:v>92.907995039548609</c:v>
                </c:pt>
                <c:pt idx="538">
                  <c:v>92.838008374995539</c:v>
                </c:pt>
                <c:pt idx="539">
                  <c:v>92.769862542320908</c:v>
                </c:pt>
                <c:pt idx="540">
                  <c:v>92.703499679656559</c:v>
                </c:pt>
                <c:pt idx="541">
                  <c:v>92.638864246397631</c:v>
                </c:pt>
              </c:numCache>
            </c:numRef>
          </c:yVal>
          <c:smooth val="1"/>
          <c:extLst>
            <c:ext xmlns:c16="http://schemas.microsoft.com/office/drawing/2014/chart" uri="{C3380CC4-5D6E-409C-BE32-E72D297353CC}">
              <c16:uniqueId val="{00000001-B561-4C80-890B-643E0BF90D63}"/>
            </c:ext>
          </c:extLst>
        </c:ser>
        <c:dLbls>
          <c:showLegendKey val="0"/>
          <c:showVal val="0"/>
          <c:showCatName val="0"/>
          <c:showSerName val="0"/>
          <c:showPercent val="0"/>
          <c:showBubbleSize val="0"/>
        </c:dLbls>
        <c:axId val="162527872"/>
        <c:axId val="162526336"/>
      </c:scatterChart>
      <c:valAx>
        <c:axId val="1624976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2499584"/>
        <c:crosses val="autoZero"/>
        <c:crossBetween val="midCat"/>
      </c:valAx>
      <c:valAx>
        <c:axId val="1624995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62497664"/>
        <c:crosses val="autoZero"/>
        <c:crossBetween val="midCat"/>
        <c:majorUnit val="20"/>
        <c:minorUnit val="10"/>
      </c:valAx>
      <c:valAx>
        <c:axId val="162526336"/>
        <c:scaling>
          <c:orientation val="minMax"/>
          <c:max val="180"/>
          <c:min val="-180"/>
        </c:scaling>
        <c:delete val="0"/>
        <c:axPos val="r"/>
        <c:numFmt formatCode="General" sourceLinked="1"/>
        <c:majorTickMark val="out"/>
        <c:minorTickMark val="none"/>
        <c:tickLblPos val="nextTo"/>
        <c:crossAx val="162527872"/>
        <c:crosses val="max"/>
        <c:crossBetween val="midCat"/>
        <c:majorUnit val="90"/>
        <c:minorUnit val="45"/>
      </c:valAx>
      <c:valAx>
        <c:axId val="162527872"/>
        <c:scaling>
          <c:logBase val="10"/>
          <c:orientation val="minMax"/>
        </c:scaling>
        <c:delete val="1"/>
        <c:axPos val="b"/>
        <c:numFmt formatCode="0.00" sourceLinked="1"/>
        <c:majorTickMark val="out"/>
        <c:minorTickMark val="none"/>
        <c:tickLblPos val="nextTo"/>
        <c:crossAx val="16252633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35.13990906476517</c:v>
                </c:pt>
                <c:pt idx="1">
                  <c:v>34.939961337378747</c:v>
                </c:pt>
                <c:pt idx="2">
                  <c:v>34.740016072850295</c:v>
                </c:pt>
                <c:pt idx="3">
                  <c:v>34.540073387185615</c:v>
                </c:pt>
                <c:pt idx="4">
                  <c:v>34.340133401851475</c:v>
                </c:pt>
                <c:pt idx="5">
                  <c:v>34.140196244032374</c:v>
                </c:pt>
                <c:pt idx="6">
                  <c:v>33.94026204689925</c:v>
                </c:pt>
                <c:pt idx="7">
                  <c:v>33.74033094989084</c:v>
                </c:pt>
                <c:pt idx="8">
                  <c:v>33.5404030990085</c:v>
                </c:pt>
                <c:pt idx="9">
                  <c:v>33.340478647124485</c:v>
                </c:pt>
                <c:pt idx="10">
                  <c:v>33.140557754304609</c:v>
                </c:pt>
                <c:pt idx="11">
                  <c:v>32.940640588146557</c:v>
                </c:pt>
                <c:pt idx="12">
                  <c:v>32.740727324133594</c:v>
                </c:pt>
                <c:pt idx="13">
                  <c:v>32.540818146004796</c:v>
                </c:pt>
                <c:pt idx="14">
                  <c:v>32.340913246142861</c:v>
                </c:pt>
                <c:pt idx="15">
                  <c:v>32.141012825979985</c:v>
                </c:pt>
                <c:pt idx="16">
                  <c:v>31.941117096422587</c:v>
                </c:pt>
                <c:pt idx="17">
                  <c:v>31.741226278296118</c:v>
                </c:pt>
                <c:pt idx="18">
                  <c:v>31.541340602810379</c:v>
                </c:pt>
                <c:pt idx="19">
                  <c:v>31.341460312046856</c:v>
                </c:pt>
                <c:pt idx="20">
                  <c:v>31.141585659468642</c:v>
                </c:pt>
                <c:pt idx="21">
                  <c:v>30.941716910454193</c:v>
                </c:pt>
                <c:pt idx="22">
                  <c:v>30.741854342855966</c:v>
                </c:pt>
                <c:pt idx="23">
                  <c:v>30.541998247585251</c:v>
                </c:pt>
                <c:pt idx="24">
                  <c:v>30.342148929223896</c:v>
                </c:pt>
                <c:pt idx="25">
                  <c:v>30.142306706665099</c:v>
                </c:pt>
                <c:pt idx="26">
                  <c:v>29.942471913783525</c:v>
                </c:pt>
                <c:pt idx="27">
                  <c:v>29.742644900136682</c:v>
                </c:pt>
                <c:pt idx="28">
                  <c:v>29.542826031699306</c:v>
                </c:pt>
                <c:pt idx="29">
                  <c:v>29.343015691631308</c:v>
                </c:pt>
                <c:pt idx="30">
                  <c:v>29.143214281081896</c:v>
                </c:pt>
                <c:pt idx="31">
                  <c:v>28.943422220030563</c:v>
                </c:pt>
                <c:pt idx="32">
                  <c:v>28.74363994816742</c:v>
                </c:pt>
                <c:pt idx="33">
                  <c:v>28.543867925814315</c:v>
                </c:pt>
                <c:pt idx="34">
                  <c:v>28.344106634888139</c:v>
                </c:pt>
                <c:pt idx="35">
                  <c:v>28.144356579909356</c:v>
                </c:pt>
                <c:pt idx="36">
                  <c:v>27.94461828905667</c:v>
                </c:pt>
                <c:pt idx="37">
                  <c:v>27.7448923152707</c:v>
                </c:pt>
                <c:pt idx="38">
                  <c:v>27.545179237408156</c:v>
                </c:pt>
                <c:pt idx="39">
                  <c:v>27.345479661449819</c:v>
                </c:pt>
                <c:pt idx="40">
                  <c:v>27.145794221763431</c:v>
                </c:pt>
                <c:pt idx="41">
                  <c:v>26.946123582425365</c:v>
                </c:pt>
                <c:pt idx="42">
                  <c:v>26.746468438602285</c:v>
                </c:pt>
                <c:pt idx="43">
                  <c:v>26.546829517996876</c:v>
                </c:pt>
                <c:pt idx="44">
                  <c:v>26.347207582359186</c:v>
                </c:pt>
                <c:pt idx="45">
                  <c:v>26.147603429067559</c:v>
                </c:pt>
                <c:pt idx="46">
                  <c:v>25.948017892781646</c:v>
                </c:pt>
                <c:pt idx="47">
                  <c:v>25.748451847170713</c:v>
                </c:pt>
                <c:pt idx="48">
                  <c:v>25.548906206720705</c:v>
                </c:pt>
                <c:pt idx="49">
                  <c:v>25.349381928623778</c:v>
                </c:pt>
                <c:pt idx="50">
                  <c:v>25.149880014752952</c:v>
                </c:pt>
                <c:pt idx="51">
                  <c:v>24.950401513726884</c:v>
                </c:pt>
                <c:pt idx="52">
                  <c:v>24.750947523067538</c:v>
                </c:pt>
                <c:pt idx="53">
                  <c:v>24.55151919145559</c:v>
                </c:pt>
                <c:pt idx="54">
                  <c:v>24.352117721087172</c:v>
                </c:pt>
                <c:pt idx="55">
                  <c:v>24.152744370136197</c:v>
                </c:pt>
                <c:pt idx="56">
                  <c:v>23.953400455327976</c:v>
                </c:pt>
                <c:pt idx="57">
                  <c:v>23.754087354626936</c:v>
                </c:pt>
                <c:pt idx="58">
                  <c:v>23.554806510044621</c:v>
                </c:pt>
                <c:pt idx="59">
                  <c:v>23.355559430572718</c:v>
                </c:pt>
                <c:pt idx="60">
                  <c:v>23.156347695245927</c:v>
                </c:pt>
                <c:pt idx="61">
                  <c:v>22.957172956340301</c:v>
                </c:pt>
                <c:pt idx="62">
                  <c:v>22.758036942712629</c:v>
                </c:pt>
                <c:pt idx="63">
                  <c:v>22.558941463286434</c:v>
                </c:pt>
                <c:pt idx="64">
                  <c:v>22.35988841069064</c:v>
                </c:pt>
                <c:pt idx="65">
                  <c:v>22.160879765056585</c:v>
                </c:pt>
                <c:pt idx="66">
                  <c:v>21.961917597980801</c:v>
                </c:pt>
                <c:pt idx="67">
                  <c:v>21.763004076658223</c:v>
                </c:pt>
                <c:pt idx="68">
                  <c:v>21.56414146819397</c:v>
                </c:pt>
                <c:pt idx="69">
                  <c:v>21.365332144100027</c:v>
                </c:pt>
                <c:pt idx="70">
                  <c:v>21.166578584983565</c:v>
                </c:pt>
                <c:pt idx="71">
                  <c:v>20.967883385434526</c:v>
                </c:pt>
                <c:pt idx="72">
                  <c:v>20.769249259119388</c:v>
                </c:pt>
                <c:pt idx="73">
                  <c:v>20.570679044088742</c:v>
                </c:pt>
                <c:pt idx="74">
                  <c:v>20.372175708306433</c:v>
                </c:pt>
                <c:pt idx="75">
                  <c:v>20.17374235540823</c:v>
                </c:pt>
                <c:pt idx="76">
                  <c:v>19.975382230697214</c:v>
                </c:pt>
                <c:pt idx="77">
                  <c:v>19.777098727384342</c:v>
                </c:pt>
                <c:pt idx="78">
                  <c:v>19.57889539308275</c:v>
                </c:pt>
                <c:pt idx="79">
                  <c:v>19.380775936563222</c:v>
                </c:pt>
                <c:pt idx="80">
                  <c:v>19.182744234778866</c:v>
                </c:pt>
                <c:pt idx="81">
                  <c:v>18.984804340168612</c:v>
                </c:pt>
                <c:pt idx="82">
                  <c:v>18.786960488246013</c:v>
                </c:pt>
                <c:pt idx="83">
                  <c:v>18.589217105482685</c:v>
                </c:pt>
                <c:pt idx="84">
                  <c:v>18.391578817493858</c:v>
                </c:pt>
                <c:pt idx="85">
                  <c:v>18.194050457534864</c:v>
                </c:pt>
                <c:pt idx="86">
                  <c:v>17.996637075315249</c:v>
                </c:pt>
                <c:pt idx="87">
                  <c:v>17.799343946138467</c:v>
                </c:pt>
                <c:pt idx="88">
                  <c:v>17.602176580375179</c:v>
                </c:pt>
                <c:pt idx="89">
                  <c:v>17.405140733275697</c:v>
                </c:pt>
                <c:pt idx="90">
                  <c:v>17.208242415129767</c:v>
                </c:pt>
                <c:pt idx="91">
                  <c:v>17.011487901777521</c:v>
                </c:pt>
                <c:pt idx="92">
                  <c:v>16.814883745479282</c:v>
                </c:pt>
                <c:pt idx="93">
                  <c:v>16.61843678614742</c:v>
                </c:pt>
                <c:pt idx="94">
                  <c:v>16.422154162944331</c:v>
                </c:pt>
                <c:pt idx="95">
                  <c:v>16.226043326250352</c:v>
                </c:pt>
                <c:pt idx="96">
                  <c:v>16.030112050002437</c:v>
                </c:pt>
                <c:pt idx="97">
                  <c:v>15.834368444405786</c:v>
                </c:pt>
                <c:pt idx="98">
                  <c:v>15.638820969015967</c:v>
                </c:pt>
                <c:pt idx="99">
                  <c:v>15.443478446192081</c:v>
                </c:pt>
                <c:pt idx="100">
                  <c:v>15.248350074914665</c:v>
                </c:pt>
                <c:pt idx="101">
                  <c:v>15.05344544496522</c:v>
                </c:pt>
                <c:pt idx="102">
                  <c:v>14.858774551458358</c:v>
                </c:pt>
                <c:pt idx="103">
                  <c:v>14.66434780971753</c:v>
                </c:pt>
                <c:pt idx="104">
                  <c:v>14.470176070482246</c:v>
                </c:pt>
                <c:pt idx="105">
                  <c:v>14.27627063543186</c:v>
                </c:pt>
                <c:pt idx="106">
                  <c:v>14.082643273008273</c:v>
                </c:pt>
                <c:pt idx="107">
                  <c:v>13.889306234516399</c:v>
                </c:pt>
                <c:pt idx="108">
                  <c:v>13.696272270478858</c:v>
                </c:pt>
                <c:pt idx="109">
                  <c:v>13.503554647215445</c:v>
                </c:pt>
                <c:pt idx="110">
                  <c:v>13.311167163616481</c:v>
                </c:pt>
                <c:pt idx="111">
                  <c:v>13.119124168073064</c:v>
                </c:pt>
                <c:pt idx="112">
                  <c:v>12.927440575522887</c:v>
                </c:pt>
                <c:pt idx="113">
                  <c:v>12.736131884565392</c:v>
                </c:pt>
                <c:pt idx="114">
                  <c:v>12.545214194595204</c:v>
                </c:pt>
                <c:pt idx="115">
                  <c:v>12.354704222896071</c:v>
                </c:pt>
                <c:pt idx="116">
                  <c:v>12.1646193216325</c:v>
                </c:pt>
                <c:pt idx="117">
                  <c:v>11.974977494669012</c:v>
                </c:pt>
                <c:pt idx="118">
                  <c:v>11.785797414140935</c:v>
                </c:pt>
                <c:pt idx="119">
                  <c:v>11.597098436693816</c:v>
                </c:pt>
                <c:pt idx="120">
                  <c:v>11.408900619299921</c:v>
                </c:pt>
                <c:pt idx="121">
                  <c:v>11.221224734554248</c:v>
                </c:pt>
                <c:pt idx="122">
                  <c:v>11.034092285343789</c:v>
                </c:pt>
                <c:pt idx="123">
                  <c:v>10.847525518775601</c:v>
                </c:pt>
                <c:pt idx="124">
                  <c:v>10.661547439241534</c:v>
                </c:pt>
                <c:pt idx="125">
                  <c:v>10.476181820488344</c:v>
                </c:pt>
                <c:pt idx="126">
                  <c:v>10.291453216554462</c:v>
                </c:pt>
                <c:pt idx="127">
                  <c:v>10.107386971425317</c:v>
                </c:pt>
                <c:pt idx="128">
                  <c:v>9.92400922725108</c:v>
                </c:pt>
                <c:pt idx="129">
                  <c:v>9.7413469309629299</c:v>
                </c:pt>
                <c:pt idx="130">
                  <c:v>9.5594278391156156</c:v>
                </c:pt>
                <c:pt idx="131">
                  <c:v>9.3782805207768583</c:v>
                </c:pt>
                <c:pt idx="132">
                  <c:v>9.197934358277454</c:v>
                </c:pt>
                <c:pt idx="133">
                  <c:v>9.0184195456293264</c:v>
                </c:pt>
                <c:pt idx="134">
                  <c:v>8.8397670844138094</c:v>
                </c:pt>
                <c:pt idx="135">
                  <c:v>8.6620087769386096</c:v>
                </c:pt>
                <c:pt idx="136">
                  <c:v>8.4851772164573163</c:v>
                </c:pt>
                <c:pt idx="137">
                  <c:v>8.3093057742460736</c:v>
                </c:pt>
                <c:pt idx="138">
                  <c:v>8.1344285833295338</c:v>
                </c:pt>
                <c:pt idx="139">
                  <c:v>7.9605805186518168</c:v>
                </c:pt>
                <c:pt idx="140">
                  <c:v>7.7877971734912474</c:v>
                </c:pt>
                <c:pt idx="141">
                  <c:v>7.6161148319239977</c:v>
                </c:pt>
                <c:pt idx="142">
                  <c:v>7.4455704371500522</c:v>
                </c:pt>
                <c:pt idx="143">
                  <c:v>7.2762015555061748</c:v>
                </c:pt>
                <c:pt idx="144">
                  <c:v>7.1080463360056543</c:v>
                </c:pt>
                <c:pt idx="145">
                  <c:v>6.9411434652597324</c:v>
                </c:pt>
                <c:pt idx="146">
                  <c:v>6.7755321176576633</c:v>
                </c:pt>
                <c:pt idx="147">
                  <c:v>6.6112519007055228</c:v>
                </c:pt>
                <c:pt idx="148">
                  <c:v>6.4483427954501904</c:v>
                </c:pt>
                <c:pt idx="149">
                  <c:v>6.2868450919465513</c:v>
                </c:pt>
                <c:pt idx="150">
                  <c:v>6.126799319758228</c:v>
                </c:pt>
                <c:pt idx="151">
                  <c:v>5.9682461735212815</c:v>
                </c:pt>
                <c:pt idx="152">
                  <c:v>5.811226433638903</c:v>
                </c:pt>
                <c:pt idx="153">
                  <c:v>5.6557808822200153</c:v>
                </c:pt>
                <c:pt idx="154">
                  <c:v>5.5019502144195256</c:v>
                </c:pt>
                <c:pt idx="155">
                  <c:v>5.3497749453877619</c:v>
                </c:pt>
                <c:pt idx="156">
                  <c:v>5.1992953130868873</c:v>
                </c:pt>
                <c:pt idx="157">
                  <c:v>5.0505511772833298</c:v>
                </c:pt>
                <c:pt idx="158">
                  <c:v>4.9035819150788553</c:v>
                </c:pt>
                <c:pt idx="159">
                  <c:v>4.7584263133958835</c:v>
                </c:pt>
                <c:pt idx="160">
                  <c:v>4.6151224588854651</c:v>
                </c:pt>
                <c:pt idx="161">
                  <c:v>4.4737076257756048</c:v>
                </c:pt>
                <c:pt idx="162">
                  <c:v>4.334218162230151</c:v>
                </c:pt>
                <c:pt idx="163">
                  <c:v>4.196689375830462</c:v>
                </c:pt>
                <c:pt idx="164">
                  <c:v>4.0611554188363028</c:v>
                </c:pt>
                <c:pt idx="165">
                  <c:v>3.9276491739192316</c:v>
                </c:pt>
                <c:pt idx="166">
                  <c:v>3.7962021410920204</c:v>
                </c:pt>
                <c:pt idx="167">
                  <c:v>3.6668443265826971</c:v>
                </c:pt>
                <c:pt idx="168">
                  <c:v>3.5396041344197893</c:v>
                </c:pt>
                <c:pt idx="169">
                  <c:v>3.4145082615024869</c:v>
                </c:pt>
                <c:pt idx="170">
                  <c:v>3.2915815969323332</c:v>
                </c:pt>
                <c:pt idx="171">
                  <c:v>3.1708471263719575</c:v>
                </c:pt>
                <c:pt idx="172">
                  <c:v>3.0523258421796662</c:v>
                </c:pt>
                <c:pt idx="173">
                  <c:v>2.9360366600405321</c:v>
                </c:pt>
                <c:pt idx="174">
                  <c:v>2.8219963427768313</c:v>
                </c:pt>
                <c:pt idx="175">
                  <c:v>2.7102194319745436</c:v>
                </c:pt>
                <c:pt idx="176">
                  <c:v>2.6007181880066672</c:v>
                </c:pt>
                <c:pt idx="177">
                  <c:v>2.4935025389705707</c:v>
                </c:pt>
                <c:pt idx="178">
                  <c:v>2.3885800389843626</c:v>
                </c:pt>
                <c:pt idx="179">
                  <c:v>2.2859558362097663</c:v>
                </c:pt>
                <c:pt idx="180">
                  <c:v>2.1856326508850463</c:v>
                </c:pt>
                <c:pt idx="181">
                  <c:v>2.0876107635639229</c:v>
                </c:pt>
                <c:pt idx="182">
                  <c:v>1.9918880136643198</c:v>
                </c:pt>
                <c:pt idx="183">
                  <c:v>1.8984598083400959</c:v>
                </c:pt>
                <c:pt idx="184">
                  <c:v>1.8073191415942382</c:v>
                </c:pt>
                <c:pt idx="185">
                  <c:v>1.7184566234614915</c:v>
                </c:pt>
                <c:pt idx="186">
                  <c:v>1.6318605189998507</c:v>
                </c:pt>
                <c:pt idx="187">
                  <c:v>1.5475167967432693</c:v>
                </c:pt>
                <c:pt idx="188">
                  <c:v>1.4654091861923466</c:v>
                </c:pt>
                <c:pt idx="189">
                  <c:v>1.3855192438408925</c:v>
                </c:pt>
                <c:pt idx="190">
                  <c:v>1.3078264271762174</c:v>
                </c:pt>
                <c:pt idx="191">
                  <c:v>1.2323081760271664</c:v>
                </c:pt>
                <c:pt idx="192">
                  <c:v>1.1589400005900692</c:v>
                </c:pt>
                <c:pt idx="193">
                  <c:v>1.08769557541937</c:v>
                </c:pt>
                <c:pt idx="194">
                  <c:v>1.0185468386408398</c:v>
                </c:pt>
                <c:pt idx="195">
                  <c:v>0.95146409562403256</c:v>
                </c:pt>
                <c:pt idx="196">
                  <c:v>0.88641612634057587</c:v>
                </c:pt>
                <c:pt idx="197">
                  <c:v>0.82337029563049868</c:v>
                </c:pt>
                <c:pt idx="198">
                  <c:v>0.76229266560833453</c:v>
                </c:pt>
                <c:pt idx="199">
                  <c:v>0.70314810945450068</c:v>
                </c:pt>
                <c:pt idx="200">
                  <c:v>0.64590042585861762</c:v>
                </c:pt>
                <c:pt idx="201">
                  <c:v>0.59051245341561498</c:v>
                </c:pt>
                <c:pt idx="202">
                  <c:v>0.53694618430468655</c:v>
                </c:pt>
                <c:pt idx="203">
                  <c:v>0.48516287662751467</c:v>
                </c:pt>
                <c:pt idx="204">
                  <c:v>0.4351231648235015</c:v>
                </c:pt>
                <c:pt idx="205">
                  <c:v>0.38678716762942744</c:v>
                </c:pt>
                <c:pt idx="206">
                  <c:v>0.34011459310140096</c:v>
                </c:pt>
                <c:pt idx="207">
                  <c:v>0.29506484026883273</c:v>
                </c:pt>
                <c:pt idx="208">
                  <c:v>0.25159709704359201</c:v>
                </c:pt>
                <c:pt idx="209">
                  <c:v>0.20967043406000282</c:v>
                </c:pt>
                <c:pt idx="210">
                  <c:v>0.16924389417371535</c:v>
                </c:pt>
                <c:pt idx="211">
                  <c:v>0.13027657739904158</c:v>
                </c:pt>
                <c:pt idx="212">
                  <c:v>9.2727721112324579E-2</c:v>
                </c:pt>
                <c:pt idx="213">
                  <c:v>5.6556775397078263E-2</c:v>
                </c:pt>
                <c:pt idx="214">
                  <c:v>2.1723473448825668E-2</c:v>
                </c:pt>
                <c:pt idx="215">
                  <c:v>-1.1812102998264176E-2</c:v>
                </c:pt>
                <c:pt idx="216">
                  <c:v>-4.4089463225586885E-2</c:v>
                </c:pt>
                <c:pt idx="217">
                  <c:v>-7.5147652032179851E-2</c:v>
                </c:pt>
                <c:pt idx="218">
                  <c:v>-0.10502519911961557</c:v>
                </c:pt>
                <c:pt idx="219">
                  <c:v>-0.13376007326787265</c:v>
                </c:pt>
                <c:pt idx="220">
                  <c:v>-0.16138964118497018</c:v>
                </c:pt>
                <c:pt idx="221">
                  <c:v>-0.18795063089311667</c:v>
                </c:pt>
                <c:pt idx="222">
                  <c:v>-0.2134790994957711</c:v>
                </c:pt>
                <c:pt idx="223">
                  <c:v>-0.23801040515363148</c:v>
                </c:pt>
                <c:pt idx="224">
                  <c:v>-0.26157918308904027</c:v>
                </c:pt>
                <c:pt idx="225">
                  <c:v>-0.28421932542545669</c:v>
                </c:pt>
                <c:pt idx="226">
                  <c:v>-0.30596396466419762</c:v>
                </c:pt>
                <c:pt idx="227">
                  <c:v>-0.32684546059689795</c:v>
                </c:pt>
                <c:pt idx="228">
                  <c:v>-0.3468953904461678</c:v>
                </c:pt>
                <c:pt idx="229">
                  <c:v>-0.36614454203103508</c:v>
                </c:pt>
                <c:pt idx="230">
                  <c:v>-0.38462290975317898</c:v>
                </c:pt>
                <c:pt idx="231">
                  <c:v>-0.40235969320043447</c:v>
                </c:pt>
                <c:pt idx="232">
                  <c:v>-0.41938329817372533</c:v>
                </c:pt>
                <c:pt idx="233">
                  <c:v>-0.43572133994123452</c:v>
                </c:pt>
                <c:pt idx="234">
                  <c:v>-0.45140064853731643</c:v>
                </c:pt>
                <c:pt idx="235">
                  <c:v>-0.46644727592379676</c:v>
                </c:pt>
                <c:pt idx="236">
                  <c:v>-0.4808865048441493</c:v>
                </c:pt>
                <c:pt idx="237">
                  <c:v>-0.49474285920377259</c:v>
                </c:pt>
                <c:pt idx="238">
                  <c:v>-0.50804011582292796</c:v>
                </c:pt>
                <c:pt idx="239">
                  <c:v>-0.52080131741209157</c:v>
                </c:pt>
                <c:pt idx="240">
                  <c:v>-0.53304878663324318</c:v>
                </c:pt>
                <c:pt idx="241">
                  <c:v>-0.54480414111370257</c:v>
                </c:pt>
                <c:pt idx="242">
                  <c:v>-0.55608830929287145</c:v>
                </c:pt>
                <c:pt idx="243">
                  <c:v>-0.56692154698631303</c:v>
                </c:pt>
                <c:pt idx="244">
                  <c:v>-0.57732345456323686</c:v>
                </c:pt>
                <c:pt idx="245">
                  <c:v>-0.58731299463863584</c:v>
                </c:pt>
                <c:pt idx="246">
                  <c:v>-0.59690851019121782</c:v>
                </c:pt>
                <c:pt idx="247">
                  <c:v>-0.60612774302517169</c:v>
                </c:pt>
                <c:pt idx="248">
                  <c:v>-0.61498785250020904</c:v>
                </c:pt>
                <c:pt idx="249">
                  <c:v>-0.62350543446253859</c:v>
                </c:pt>
                <c:pt idx="250">
                  <c:v>-0.63169654031516442</c:v>
                </c:pt>
                <c:pt idx="251">
                  <c:v>-0.63957669617273016</c:v>
                </c:pt>
                <c:pt idx="252">
                  <c:v>-0.64716092205066245</c:v>
                </c:pt>
                <c:pt idx="253">
                  <c:v>-0.65446375104661003</c:v>
                </c:pt>
                <c:pt idx="254">
                  <c:v>-0.66149924847461627</c:v>
                </c:pt>
                <c:pt idx="255">
                  <c:v>-0.66828103091875535</c:v>
                </c:pt>
                <c:pt idx="256">
                  <c:v>-0.67482228517816811</c:v>
                </c:pt>
                <c:pt idx="257">
                  <c:v>-0.68113578707772893</c:v>
                </c:pt>
                <c:pt idx="258">
                  <c:v>-0.68723392012471596</c:v>
                </c:pt>
                <c:pt idx="259">
                  <c:v>-0.69312869399469912</c:v>
                </c:pt>
                <c:pt idx="260">
                  <c:v>-0.69883176283249937</c:v>
                </c:pt>
                <c:pt idx="261">
                  <c:v>-0.70435444335828468</c:v>
                </c:pt>
                <c:pt idx="262">
                  <c:v>-0.70970773277234134</c:v>
                </c:pt>
                <c:pt idx="263">
                  <c:v>-0.7149023264518819</c:v>
                </c:pt>
                <c:pt idx="264">
                  <c:v>-0.71994863544030308</c:v>
                </c:pt>
                <c:pt idx="265">
                  <c:v>-0.72485680372640293</c:v>
                </c:pt>
                <c:pt idx="266">
                  <c:v>-0.72963672531768065</c:v>
                </c:pt>
                <c:pt idx="267">
                  <c:v>-0.73429806111054308</c:v>
                </c:pt>
                <c:pt idx="268">
                  <c:v>-0.73885025556346473</c:v>
                </c:pt>
                <c:pt idx="269">
                  <c:v>-0.74330255318054494</c:v>
                </c:pt>
                <c:pt idx="270">
                  <c:v>-0.74766401481324696</c:v>
                </c:pt>
                <c:pt idx="271">
                  <c:v>-0.75194353379151713</c:v>
                </c:pt>
                <c:pt idx="272">
                  <c:v>-0.75614985189386386</c:v>
                </c:pt>
                <c:pt idx="273">
                  <c:v>-0.76029157516903312</c:v>
                </c:pt>
                <c:pt idx="274">
                  <c:v>-0.76437718962212864</c:v>
                </c:pt>
                <c:pt idx="275">
                  <c:v>-0.76841507677842025</c:v>
                </c:pt>
                <c:pt idx="276">
                  <c:v>-0.77241352913913119</c:v>
                </c:pt>
                <c:pt idx="277">
                  <c:v>-0.77638076554422342</c:v>
                </c:pt>
                <c:pt idx="278">
                  <c:v>-0.78032494645699191</c:v>
                </c:pt>
                <c:pt idx="279">
                  <c:v>-0.78425418918706902</c:v>
                </c:pt>
                <c:pt idx="280">
                  <c:v>-0.78817658306598526</c:v>
                </c:pt>
                <c:pt idx="281">
                  <c:v>-0.79210020459363784</c:v>
                </c:pt>
                <c:pt idx="282">
                  <c:v>-0.79603313257007635</c:v>
                </c:pt>
                <c:pt idx="283">
                  <c:v>-0.79998346323037794</c:v>
                </c:pt>
                <c:pt idx="284">
                  <c:v>-0.80395932539794801</c:v>
                </c:pt>
                <c:pt idx="285">
                  <c:v>-0.80796889567298158</c:v>
                </c:pt>
                <c:pt idx="286">
                  <c:v>-0.81202041367250388</c:v>
                </c:pt>
                <c:pt idx="287">
                  <c:v>-0.81612219733721858</c:v>
                </c:pt>
                <c:pt idx="288">
                  <c:v>-0.82028265832054692</c:v>
                </c:pt>
                <c:pt idx="289">
                  <c:v>-0.82451031747605774</c:v>
                </c:pt>
                <c:pt idx="290">
                  <c:v>-0.8288138204570511</c:v>
                </c:pt>
                <c:pt idx="291">
                  <c:v>-0.83320195344251113</c:v>
                </c:pt>
                <c:pt idx="292">
                  <c:v>-0.83768365900222919</c:v>
                </c:pt>
                <c:pt idx="293">
                  <c:v>-0.84226805211484945</c:v>
                </c:pt>
                <c:pt idx="294">
                  <c:v>-0.84696443634996199</c:v>
                </c:pt>
                <c:pt idx="295">
                  <c:v>-0.85178232022367839</c:v>
                </c:pt>
                <c:pt idx="296">
                  <c:v>-0.85673143373951977</c:v>
                </c:pt>
                <c:pt idx="297">
                  <c:v>-0.86182174512030929</c:v>
                </c:pt>
                <c:pt idx="298">
                  <c:v>-0.86706347774009518</c:v>
                </c:pt>
                <c:pt idx="299">
                  <c:v>-0.872467127259139</c:v>
                </c:pt>
                <c:pt idx="300">
                  <c:v>-0.87804347896755008</c:v>
                </c:pt>
                <c:pt idx="301">
                  <c:v>-0.88380362533693924</c:v>
                </c:pt>
                <c:pt idx="302">
                  <c:v>-0.88975898378151008</c:v>
                </c:pt>
                <c:pt idx="303">
                  <c:v>-0.895921314624331</c:v>
                </c:pt>
                <c:pt idx="304">
                  <c:v>-0.902302739263666</c:v>
                </c:pt>
                <c:pt idx="305">
                  <c:v>-0.90891575853136697</c:v>
                </c:pt>
                <c:pt idx="306">
                  <c:v>-0.9157732712322062</c:v>
                </c:pt>
                <c:pt idx="307">
                  <c:v>-0.92288859284918356</c:v>
                </c:pt>
                <c:pt idx="308">
                  <c:v>-0.9302754743979329</c:v>
                </c:pt>
                <c:pt idx="309">
                  <c:v>-0.93794812140698314</c:v>
                </c:pt>
                <c:pt idx="310">
                  <c:v>-0.94592121299947096</c:v>
                </c:pt>
                <c:pt idx="311">
                  <c:v>-0.95420992104540636</c:v>
                </c:pt>
                <c:pt idx="312">
                  <c:v>-0.9628299293494027</c:v>
                </c:pt>
                <c:pt idx="313">
                  <c:v>-0.97179745283478147</c:v>
                </c:pt>
                <c:pt idx="314">
                  <c:v>-0.98112925667802675</c:v>
                </c:pt>
                <c:pt idx="315">
                  <c:v>-0.99084267534245352</c:v>
                </c:pt>
                <c:pt idx="316">
                  <c:v>-1.0009556314553612</c:v>
                </c:pt>
                <c:pt idx="317">
                  <c:v>-1.0114866544637211</c:v>
                </c:pt>
                <c:pt idx="318">
                  <c:v>-1.0224548989998219</c:v>
                </c:pt>
                <c:pt idx="319">
                  <c:v>-1.0338801628784595</c:v>
                </c:pt>
                <c:pt idx="320">
                  <c:v>-1.0457829046429954</c:v>
                </c:pt>
                <c:pt idx="321">
                  <c:v>-1.0581842605662204</c:v>
                </c:pt>
                <c:pt idx="322">
                  <c:v>-1.071106061008593</c:v>
                </c:pt>
                <c:pt idx="323">
                  <c:v>-1.0845708460236805</c:v>
                </c:pt>
                <c:pt idx="324">
                  <c:v>-1.0986018800958688</c:v>
                </c:pt>
                <c:pt idx="325">
                  <c:v>-1.1132231658854068</c:v>
                </c:pt>
                <c:pt idx="326">
                  <c:v>-1.1284594568476713</c:v>
                </c:pt>
                <c:pt idx="327">
                  <c:v>-1.1443362685842491</c:v>
                </c:pt>
                <c:pt idx="328">
                  <c:v>-1.1608798887764513</c:v>
                </c:pt>
                <c:pt idx="329">
                  <c:v>-1.178117385542288</c:v>
                </c:pt>
                <c:pt idx="330">
                  <c:v>-1.1960766140501535</c:v>
                </c:pt>
                <c:pt idx="331">
                  <c:v>-1.2147862212148994</c:v>
                </c:pt>
                <c:pt idx="332">
                  <c:v>-1.2342756482956689</c:v>
                </c:pt>
                <c:pt idx="333">
                  <c:v>-1.2545751312055731</c:v>
                </c:pt>
                <c:pt idx="334">
                  <c:v>-1.2757156983412767</c:v>
                </c:pt>
                <c:pt idx="335">
                  <c:v>-1.2977291657322119</c:v>
                </c:pt>
                <c:pt idx="336">
                  <c:v>-1.3206481293087187</c:v>
                </c:pt>
                <c:pt idx="337">
                  <c:v>-1.3445059540826156</c:v>
                </c:pt>
                <c:pt idx="338">
                  <c:v>-1.3693367600362627</c:v>
                </c:pt>
                <c:pt idx="339">
                  <c:v>-1.3951754045151521</c:v>
                </c:pt>
                <c:pt idx="340">
                  <c:v>-1.422057460921742</c:v>
                </c:pt>
                <c:pt idx="341">
                  <c:v>-1.4500191935149704</c:v>
                </c:pt>
                <c:pt idx="342">
                  <c:v>-1.4790975281253171</c:v>
                </c:pt>
                <c:pt idx="343">
                  <c:v>-1.5093300186071774</c:v>
                </c:pt>
                <c:pt idx="344">
                  <c:v>-1.5407548088612</c:v>
                </c:pt>
                <c:pt idx="345">
                  <c:v>-1.5734105902767646</c:v>
                </c:pt>
                <c:pt idx="346">
                  <c:v>-1.6073365544621641</c:v>
                </c:pt>
                <c:pt idx="347">
                  <c:v>-1.6425723411537483</c:v>
                </c:pt>
                <c:pt idx="348">
                  <c:v>-1.6791579812183812</c:v>
                </c:pt>
                <c:pt idx="349">
                  <c:v>-1.7171338346956142</c:v>
                </c:pt>
                <c:pt idx="350">
                  <c:v>-1.7565405238555012</c:v>
                </c:pt>
                <c:pt idx="351">
                  <c:v>-1.7974188612853017</c:v>
                </c:pt>
                <c:pt idx="352">
                  <c:v>-1.8398097730568082</c:v>
                </c:pt>
                <c:pt idx="353">
                  <c:v>-1.8837542170682797</c:v>
                </c:pt>
                <c:pt idx="354">
                  <c:v>-1.9292930966995545</c:v>
                </c:pt>
                <c:pt idx="355">
                  <c:v>-1.9764671699677434</c:v>
                </c:pt>
                <c:pt idx="356">
                  <c:v>-2.0253169544186136</c:v>
                </c:pt>
                <c:pt idx="357">
                  <c:v>-2.0758826280420783</c:v>
                </c:pt>
                <c:pt idx="358">
                  <c:v>-2.1282039265519623</c:v>
                </c:pt>
                <c:pt idx="359">
                  <c:v>-2.1823200374227936</c:v>
                </c:pt>
                <c:pt idx="360">
                  <c:v>-2.23826949113004</c:v>
                </c:pt>
                <c:pt idx="361">
                  <c:v>-2.2960900500916042</c:v>
                </c:pt>
                <c:pt idx="362">
                  <c:v>-2.3558185958583819</c:v>
                </c:pt>
                <c:pt idx="363">
                  <c:v>-2.4174910151488147</c:v>
                </c:pt>
                <c:pt idx="364">
                  <c:v>-2.4811420853664741</c:v>
                </c:pt>
                <c:pt idx="365">
                  <c:v>-2.5468053602789285</c:v>
                </c:pt>
                <c:pt idx="366">
                  <c:v>-2.614513056569026</c:v>
                </c:pt>
                <c:pt idx="367">
                  <c:v>-2.6842959419989745</c:v>
                </c:pt>
                <c:pt idx="368">
                  <c:v>-2.7561832259459349</c:v>
                </c:pt>
                <c:pt idx="369">
                  <c:v>-2.8302024530825847</c:v>
                </c:pt>
                <c:pt idx="370">
                  <c:v>-2.9063794009788069</c:v>
                </c:pt>
                <c:pt idx="371">
                  <c:v>-2.9847379823964584</c:v>
                </c:pt>
                <c:pt idx="372">
                  <c:v>-3.0653001530350377</c:v>
                </c:pt>
                <c:pt idx="373">
                  <c:v>-3.1480858254626725</c:v>
                </c:pt>
                <c:pt idx="374">
                  <c:v>-3.2331127899330103</c:v>
                </c:pt>
                <c:pt idx="375">
                  <c:v>-3.3203966427461791</c:v>
                </c:pt>
                <c:pt idx="376">
                  <c:v>-3.4099507227605357</c:v>
                </c:pt>
                <c:pt idx="377">
                  <c:v>-3.5017860566008907</c:v>
                </c:pt>
                <c:pt idx="378">
                  <c:v>-3.5959113130405824</c:v>
                </c:pt>
                <c:pt idx="379">
                  <c:v>-3.6923327669600603</c:v>
                </c:pt>
                <c:pt idx="380">
                  <c:v>-3.7910542732021564</c:v>
                </c:pt>
                <c:pt idx="381">
                  <c:v>-3.8920772505590846</c:v>
                </c:pt>
                <c:pt idx="382">
                  <c:v>-3.9954006760350458</c:v>
                </c:pt>
                <c:pt idx="383">
                  <c:v>-4.1010210894378707</c:v>
                </c:pt>
                <c:pt idx="384">
                  <c:v>-4.2089326082588183</c:v>
                </c:pt>
                <c:pt idx="385">
                  <c:v>-4.3191269527079763</c:v>
                </c:pt>
                <c:pt idx="386">
                  <c:v>-4.4315934806826744</c:v>
                </c:pt>
                <c:pt idx="387">
                  <c:v>-4.5463192323599344</c:v>
                </c:pt>
                <c:pt idx="388">
                  <c:v>-4.6632889840191378</c:v>
                </c:pt>
                <c:pt idx="389">
                  <c:v>-4.7824853106310012</c:v>
                </c:pt>
                <c:pt idx="390">
                  <c:v>-4.9038886566701665</c:v>
                </c:pt>
                <c:pt idx="391">
                  <c:v>-5.0274774145587724</c:v>
                </c:pt>
                <c:pt idx="392">
                  <c:v>-5.1532280100844101</c:v>
                </c:pt>
                <c:pt idx="393">
                  <c:v>-5.2811149940991111</c:v>
                </c:pt>
                <c:pt idx="394">
                  <c:v>-5.4111111397698046</c:v>
                </c:pt>
                <c:pt idx="395">
                  <c:v>-5.5431875446240202</c:v>
                </c:pt>
                <c:pt idx="396">
                  <c:v>-5.6773137366212758</c:v>
                </c:pt>
                <c:pt idx="397">
                  <c:v>-5.8134577834741208</c:v>
                </c:pt>
                <c:pt idx="398">
                  <c:v>-5.9515864044458286</c:v>
                </c:pt>
                <c:pt idx="399">
                  <c:v>-6.0916650838627593</c:v>
                </c:pt>
                <c:pt idx="400">
                  <c:v>-6.2336581856001425</c:v>
                </c:pt>
                <c:pt idx="401">
                  <c:v>-6.3775290678251366</c:v>
                </c:pt>
                <c:pt idx="402">
                  <c:v>-6.5232401973167828</c:v>
                </c:pt>
                <c:pt idx="403">
                  <c:v>-6.6707532627167376</c:v>
                </c:pt>
                <c:pt idx="404">
                  <c:v>-6.8200292861125797</c:v>
                </c:pt>
                <c:pt idx="405">
                  <c:v>-6.9710287323989419</c:v>
                </c:pt>
                <c:pt idx="406">
                  <c:v>-7.1237116159131304</c:v>
                </c:pt>
                <c:pt idx="407">
                  <c:v>-7.2780376038931651</c:v>
                </c:pt>
                <c:pt idx="408">
                  <c:v>-7.4339661163582429</c:v>
                </c:pt>
                <c:pt idx="409">
                  <c:v>-7.5914564220664289</c:v>
                </c:pt>
                <c:pt idx="410">
                  <c:v>-7.7504677302550293</c:v>
                </c:pt>
                <c:pt idx="411">
                  <c:v>-7.9109592779210569</c:v>
                </c:pt>
                <c:pt idx="412">
                  <c:v>-8.07289041245199</c:v>
                </c:pt>
                <c:pt idx="413">
                  <c:v>-8.2362206694599376</c:v>
                </c:pt>
                <c:pt idx="414">
                  <c:v>-8.4009098457223264</c:v>
                </c:pt>
                <c:pt idx="415">
                  <c:v>-8.5669180671720895</c:v>
                </c:pt>
                <c:pt idx="416">
                  <c:v>-8.7342058519209829</c:v>
                </c:pt>
                <c:pt idx="417">
                  <c:v>-8.9027341683349377</c:v>
                </c:pt>
                <c:pt idx="418">
                  <c:v>-9.0724644882145959</c:v>
                </c:pt>
                <c:pt idx="419">
                  <c:v>-9.243358835161537</c:v>
                </c:pt>
                <c:pt idx="420">
                  <c:v>-9.4153798282383026</c:v>
                </c:pt>
                <c:pt idx="421">
                  <c:v>-9.588490721053013</c:v>
                </c:pt>
                <c:pt idx="422">
                  <c:v>-9.7626554364170719</c:v>
                </c:pt>
                <c:pt idx="423">
                  <c:v>-9.9378385967414378</c:v>
                </c:pt>
                <c:pt idx="424">
                  <c:v>-10.114005550352159</c:v>
                </c:pt>
                <c:pt idx="425">
                  <c:v>-10.291122393912222</c:v>
                </c:pt>
                <c:pt idx="426">
                  <c:v>-10.469155991148094</c:v>
                </c:pt>
                <c:pt idx="427">
                  <c:v>-10.648073988083439</c:v>
                </c:pt>
                <c:pt idx="428">
                  <c:v>-10.827844824984625</c:v>
                </c:pt>
                <c:pt idx="429">
                  <c:v>-11.008437745226299</c:v>
                </c:pt>
                <c:pt idx="430">
                  <c:v>-11.189822801282563</c:v>
                </c:pt>
                <c:pt idx="431">
                  <c:v>-11.37197085804798</c:v>
                </c:pt>
                <c:pt idx="432">
                  <c:v>-11.554853593689906</c:v>
                </c:pt>
                <c:pt idx="433">
                  <c:v>-11.738443498227751</c:v>
                </c:pt>
                <c:pt idx="434">
                  <c:v>-11.922713870030403</c:v>
                </c:pt>
                <c:pt idx="435">
                  <c:v>-12.107638810415569</c:v>
                </c:pt>
                <c:pt idx="436">
                  <c:v>-12.293193216528735</c:v>
                </c:pt>
                <c:pt idx="437">
                  <c:v>-12.479352772671191</c:v>
                </c:pt>
                <c:pt idx="438">
                  <c:v>-12.666093940239357</c:v>
                </c:pt>
                <c:pt idx="439">
                  <c:v>-12.853393946427687</c:v>
                </c:pt>
                <c:pt idx="440">
                  <c:v>-13.041230771842056</c:v>
                </c:pt>
                <c:pt idx="441">
                  <c:v>-13.229583137158896</c:v>
                </c:pt>
                <c:pt idx="442">
                  <c:v>-13.418430488959226</c:v>
                </c:pt>
                <c:pt idx="443">
                  <c:v>-13.607752984857463</c:v>
                </c:pt>
                <c:pt idx="444">
                  <c:v>-13.797531478035662</c:v>
                </c:pt>
                <c:pt idx="445">
                  <c:v>-13.987747501288757</c:v>
                </c:pt>
                <c:pt idx="446">
                  <c:v>-14.178383250675228</c:v>
                </c:pt>
                <c:pt idx="447">
                  <c:v>-14.369421568862016</c:v>
                </c:pt>
                <c:pt idx="448">
                  <c:v>-14.560845928245218</c:v>
                </c:pt>
                <c:pt idx="449">
                  <c:v>-14.75264041392033</c:v>
                </c:pt>
                <c:pt idx="450">
                  <c:v>-14.94478970656971</c:v>
                </c:pt>
                <c:pt idx="451">
                  <c:v>-15.137279065329201</c:v>
                </c:pt>
                <c:pt idx="452">
                  <c:v>-15.330094310688484</c:v>
                </c:pt>
                <c:pt idx="453">
                  <c:v>-15.523221807476169</c:v>
                </c:pt>
                <c:pt idx="454">
                  <c:v>-15.716648447972734</c:v>
                </c:pt>
                <c:pt idx="455">
                  <c:v>-15.910361635192769</c:v>
                </c:pt>
                <c:pt idx="456">
                  <c:v>-16.104349266370399</c:v>
                </c:pt>
                <c:pt idx="457">
                  <c:v>-16.298599716679281</c:v>
                </c:pt>
                <c:pt idx="458">
                  <c:v>-16.493101823213944</c:v>
                </c:pt>
                <c:pt idx="459">
                  <c:v>-16.687844869256448</c:v>
                </c:pt>
                <c:pt idx="460">
                  <c:v>-16.88281856884635</c:v>
                </c:pt>
                <c:pt idx="461">
                  <c:v>-17.078013051673476</c:v>
                </c:pt>
                <c:pt idx="462">
                  <c:v>-17.27341884830529</c:v>
                </c:pt>
                <c:pt idx="463">
                  <c:v>-17.469026875760825</c:v>
                </c:pt>
                <c:pt idx="464">
                  <c:v>-17.664828423440934</c:v>
                </c:pt>
                <c:pt idx="465">
                  <c:v>-17.860815139420048</c:v>
                </c:pt>
                <c:pt idx="466">
                  <c:v>-18.056979017106425</c:v>
                </c:pt>
                <c:pt idx="467">
                  <c:v>-18.253312382271801</c:v>
                </c:pt>
                <c:pt idx="468">
                  <c:v>-18.449807880453502</c:v>
                </c:pt>
                <c:pt idx="469">
                  <c:v>-18.64645846472871</c:v>
                </c:pt>
                <c:pt idx="470">
                  <c:v>-18.843257383859012</c:v>
                </c:pt>
                <c:pt idx="471">
                  <c:v>-19.040198170804487</c:v>
                </c:pt>
                <c:pt idx="472">
                  <c:v>-19.237274631601803</c:v>
                </c:pt>
                <c:pt idx="473">
                  <c:v>-19.434480834604887</c:v>
                </c:pt>
                <c:pt idx="474">
                  <c:v>-19.63181110008049</c:v>
                </c:pt>
                <c:pt idx="475">
                  <c:v>-19.82925999015524</c:v>
                </c:pt>
                <c:pt idx="476">
                  <c:v>-20.026822299106925</c:v>
                </c:pt>
                <c:pt idx="477">
                  <c:v>-20.224493043993235</c:v>
                </c:pt>
                <c:pt idx="478">
                  <c:v>-20.42226745561188</c:v>
                </c:pt>
                <c:pt idx="479">
                  <c:v>-20.620140969783908</c:v>
                </c:pt>
                <c:pt idx="480">
                  <c:v>-20.818109218952742</c:v>
                </c:pt>
                <c:pt idx="481">
                  <c:v>-21.016168024091122</c:v>
                </c:pt>
                <c:pt idx="482">
                  <c:v>-21.214313386908195</c:v>
                </c:pt>
                <c:pt idx="483">
                  <c:v>-21.41254148234815</c:v>
                </c:pt>
                <c:pt idx="484">
                  <c:v>-21.610848651372837</c:v>
                </c:pt>
                <c:pt idx="485">
                  <c:v>-21.809231394019491</c:v>
                </c:pt>
                <c:pt idx="486">
                  <c:v>-22.007686362725135</c:v>
                </c:pt>
                <c:pt idx="487">
                  <c:v>-22.206210355911505</c:v>
                </c:pt>
                <c:pt idx="488">
                  <c:v>-22.404800311818374</c:v>
                </c:pt>
                <c:pt idx="489">
                  <c:v>-22.603453302582199</c:v>
                </c:pt>
                <c:pt idx="490">
                  <c:v>-22.802166528547197</c:v>
                </c:pt>
                <c:pt idx="491">
                  <c:v>-23.000937312805341</c:v>
                </c:pt>
                <c:pt idx="492">
                  <c:v>-23.199763095953681</c:v>
                </c:pt>
                <c:pt idx="493">
                  <c:v>-23.398641431064352</c:v>
                </c:pt>
                <c:pt idx="494">
                  <c:v>-23.597569978858544</c:v>
                </c:pt>
                <c:pt idx="495">
                  <c:v>-23.796546503077096</c:v>
                </c:pt>
                <c:pt idx="496">
                  <c:v>-23.99556886604071</c:v>
                </c:pt>
                <c:pt idx="497">
                  <c:v>-24.194635024393165</c:v>
                </c:pt>
                <c:pt idx="498">
                  <c:v>-24.393743025020779</c:v>
                </c:pt>
                <c:pt idx="499">
                  <c:v>-24.592891001140458</c:v>
                </c:pt>
                <c:pt idx="500">
                  <c:v>-24.792077168551934</c:v>
                </c:pt>
                <c:pt idx="501">
                  <c:v>-24.991299822045328</c:v>
                </c:pt>
                <c:pt idx="502">
                  <c:v>-25.190557331961333</c:v>
                </c:pt>
                <c:pt idx="503">
                  <c:v>-25.389848140894649</c:v>
                </c:pt>
                <c:pt idx="504">
                  <c:v>-25.589170760537613</c:v>
                </c:pt>
                <c:pt idx="505">
                  <c:v>-25.788523768657328</c:v>
                </c:pt>
                <c:pt idx="506">
                  <c:v>-25.98790580620139</c:v>
                </c:pt>
                <c:pt idx="507">
                  <c:v>-26.187315574526686</c:v>
                </c:pt>
                <c:pt idx="508">
                  <c:v>-26.386751832747059</c:v>
                </c:pt>
                <c:pt idx="509">
                  <c:v>-26.586213395193838</c:v>
                </c:pt>
                <c:pt idx="510">
                  <c:v>-26.785699128986554</c:v>
                </c:pt>
                <c:pt idx="511">
                  <c:v>-26.985207951706649</c:v>
                </c:pt>
                <c:pt idx="512">
                  <c:v>-27.184738829173064</c:v>
                </c:pt>
                <c:pt idx="513">
                  <c:v>-27.384290773312742</c:v>
                </c:pt>
                <c:pt idx="514">
                  <c:v>-27.583862840123746</c:v>
                </c:pt>
                <c:pt idx="515">
                  <c:v>-27.783454127726991</c:v>
                </c:pt>
                <c:pt idx="516">
                  <c:v>-27.983063774501961</c:v>
                </c:pt>
                <c:pt idx="517">
                  <c:v>-28.182690957304164</c:v>
                </c:pt>
                <c:pt idx="518">
                  <c:v>-28.382334889760045</c:v>
                </c:pt>
                <c:pt idx="519">
                  <c:v>-28.581994820635799</c:v>
                </c:pt>
                <c:pt idx="520">
                  <c:v>-28.781670032278782</c:v>
                </c:pt>
                <c:pt idx="521">
                  <c:v>-28.981359839125474</c:v>
                </c:pt>
                <c:pt idx="522">
                  <c:v>-29.181063586276302</c:v>
                </c:pt>
                <c:pt idx="523">
                  <c:v>-29.380780648131761</c:v>
                </c:pt>
                <c:pt idx="524">
                  <c:v>-29.580510427089656</c:v>
                </c:pt>
                <c:pt idx="525">
                  <c:v>-29.780252352298525</c:v>
                </c:pt>
                <c:pt idx="526">
                  <c:v>-29.98000587846667</c:v>
                </c:pt>
                <c:pt idx="527">
                  <c:v>-30.179770484723548</c:v>
                </c:pt>
                <c:pt idx="528">
                  <c:v>-30.379545673530824</c:v>
                </c:pt>
                <c:pt idx="529">
                  <c:v>-30.579330969642335</c:v>
                </c:pt>
                <c:pt idx="530">
                  <c:v>-30.779125919109713</c:v>
                </c:pt>
                <c:pt idx="531">
                  <c:v>-30.97893008833152</c:v>
                </c:pt>
                <c:pt idx="532">
                  <c:v>-31.178743063145106</c:v>
                </c:pt>
                <c:pt idx="533">
                  <c:v>-31.378564447958382</c:v>
                </c:pt>
                <c:pt idx="534">
                  <c:v>-31.578393864920173</c:v>
                </c:pt>
                <c:pt idx="535">
                  <c:v>-31.778230953127348</c:v>
                </c:pt>
                <c:pt idx="536">
                  <c:v>-31.978075367866889</c:v>
                </c:pt>
                <c:pt idx="537">
                  <c:v>-32.177926779892296</c:v>
                </c:pt>
                <c:pt idx="538">
                  <c:v>-32.377784874731368</c:v>
                </c:pt>
                <c:pt idx="539">
                  <c:v>-32.57764935202551</c:v>
                </c:pt>
                <c:pt idx="540">
                  <c:v>-32.777519924897334</c:v>
                </c:pt>
                <c:pt idx="541">
                  <c:v>-32.977396319348124</c:v>
                </c:pt>
              </c:numCache>
            </c:numRef>
          </c:yVal>
          <c:smooth val="1"/>
          <c:extLst>
            <c:ext xmlns:c16="http://schemas.microsoft.com/office/drawing/2014/chart" uri="{C3380CC4-5D6E-409C-BE32-E72D297353CC}">
              <c16:uniqueId val="{00000000-C95D-4273-8D1D-E8C586949522}"/>
            </c:ext>
          </c:extLst>
        </c:ser>
        <c:dLbls>
          <c:showLegendKey val="0"/>
          <c:showVal val="0"/>
          <c:showCatName val="0"/>
          <c:showSerName val="0"/>
          <c:showPercent val="0"/>
          <c:showBubbleSize val="0"/>
        </c:dLbls>
        <c:axId val="160531200"/>
        <c:axId val="160533120"/>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90.906660928351243</c:v>
                </c:pt>
                <c:pt idx="1">
                  <c:v>90.927776014322987</c:v>
                </c:pt>
                <c:pt idx="2">
                  <c:v>90.949382664973839</c:v>
                </c:pt>
                <c:pt idx="3">
                  <c:v>90.97149231109502</c:v>
                </c:pt>
                <c:pt idx="4">
                  <c:v>90.994116648361228</c:v>
                </c:pt>
                <c:pt idx="5">
                  <c:v>91.017267643402533</c:v>
                </c:pt>
                <c:pt idx="6">
                  <c:v>91.040957540010538</c:v>
                </c:pt>
                <c:pt idx="7">
                  <c:v>91.065198865481591</c:v>
                </c:pt>
                <c:pt idx="8">
                  <c:v>91.090004437099878</c:v>
                </c:pt>
                <c:pt idx="9">
                  <c:v>91.115387368762711</c:v>
                </c:pt>
                <c:pt idx="10">
                  <c:v>91.141361077751029</c:v>
                </c:pt>
                <c:pt idx="11">
                  <c:v>91.16793929164767</c:v>
                </c:pt>
                <c:pt idx="12">
                  <c:v>91.195136055406252</c:v>
                </c:pt>
                <c:pt idx="13">
                  <c:v>91.222965738573308</c:v>
                </c:pt>
                <c:pt idx="14">
                  <c:v>91.25144304266648</c:v>
                </c:pt>
                <c:pt idx="15">
                  <c:v>91.28058300871173</c:v>
                </c:pt>
                <c:pt idx="16">
                  <c:v>91.31040102494191</c:v>
                </c:pt>
                <c:pt idx="17">
                  <c:v>91.340912834659918</c:v>
                </c:pt>
                <c:pt idx="18">
                  <c:v>91.372134544268945</c:v>
                </c:pt>
                <c:pt idx="19">
                  <c:v>91.404082631472605</c:v>
                </c:pt>
                <c:pt idx="20">
                  <c:v>91.436773953647815</c:v>
                </c:pt>
                <c:pt idx="21">
                  <c:v>91.470225756392949</c:v>
                </c:pt>
                <c:pt idx="22">
                  <c:v>91.50445568225409</c:v>
                </c:pt>
                <c:pt idx="23">
                  <c:v>91.539481779631998</c:v>
                </c:pt>
                <c:pt idx="24">
                  <c:v>91.5753225118724</c:v>
                </c:pt>
                <c:pt idx="25">
                  <c:v>91.611996766542177</c:v>
                </c:pt>
                <c:pt idx="26">
                  <c:v>91.649523864893794</c:v>
                </c:pt>
                <c:pt idx="27">
                  <c:v>91.687923571520699</c:v>
                </c:pt>
                <c:pt idx="28">
                  <c:v>91.727216104205795</c:v>
                </c:pt>
                <c:pt idx="29">
                  <c:v>91.767422143965192</c:v>
                </c:pt>
                <c:pt idx="30">
                  <c:v>91.808562845289529</c:v>
                </c:pt>
                <c:pt idx="31">
                  <c:v>91.850659846585074</c:v>
                </c:pt>
                <c:pt idx="32">
                  <c:v>91.893735280815719</c:v>
                </c:pt>
                <c:pt idx="33">
                  <c:v>91.937811786348661</c:v>
                </c:pt>
                <c:pt idx="34">
                  <c:v>91.982912518004611</c:v>
                </c:pt>
                <c:pt idx="35">
                  <c:v>92.029061158313965</c:v>
                </c:pt>
                <c:pt idx="36">
                  <c:v>92.076281928980592</c:v>
                </c:pt>
                <c:pt idx="37">
                  <c:v>92.124599602553531</c:v>
                </c:pt>
                <c:pt idx="38">
                  <c:v>92.174039514307822</c:v>
                </c:pt>
                <c:pt idx="39">
                  <c:v>92.224627574334761</c:v>
                </c:pt>
                <c:pt idx="40">
                  <c:v>92.276390279841536</c:v>
                </c:pt>
                <c:pt idx="41">
                  <c:v>92.329354727660188</c:v>
                </c:pt>
                <c:pt idx="42">
                  <c:v>92.383548626965393</c:v>
                </c:pt>
                <c:pt idx="43">
                  <c:v>92.439000312199965</c:v>
                </c:pt>
                <c:pt idx="44">
                  <c:v>92.495738756207004</c:v>
                </c:pt>
                <c:pt idx="45">
                  <c:v>92.553793583566204</c:v>
                </c:pt>
                <c:pt idx="46">
                  <c:v>92.613195084132983</c:v>
                </c:pt>
                <c:pt idx="47">
                  <c:v>92.673974226776622</c:v>
                </c:pt>
                <c:pt idx="48">
                  <c:v>92.736162673314325</c:v>
                </c:pt>
                <c:pt idx="49">
                  <c:v>92.799792792637263</c:v>
                </c:pt>
                <c:pt idx="50">
                  <c:v>92.864897675023443</c:v>
                </c:pt>
                <c:pt idx="51">
                  <c:v>92.931511146632133</c:v>
                </c:pt>
                <c:pt idx="52">
                  <c:v>92.999667784173212</c:v>
                </c:pt>
                <c:pt idx="53">
                  <c:v>93.069402929744427</c:v>
                </c:pt>
                <c:pt idx="54">
                  <c:v>93.14075270582839</c:v>
                </c:pt>
                <c:pt idx="55">
                  <c:v>93.213754030439944</c:v>
                </c:pt>
                <c:pt idx="56">
                  <c:v>93.288444632413686</c:v>
                </c:pt>
                <c:pt idx="57">
                  <c:v>93.364863066820362</c:v>
                </c:pt>
                <c:pt idx="58">
                  <c:v>93.443048730499328</c:v>
                </c:pt>
                <c:pt idx="59">
                  <c:v>93.523041877692634</c:v>
                </c:pt>
                <c:pt idx="60">
                  <c:v>93.604883635766157</c:v>
                </c:pt>
                <c:pt idx="61">
                  <c:v>93.688616020999547</c:v>
                </c:pt>
                <c:pt idx="62">
                  <c:v>93.774281954427096</c:v>
                </c:pt>
                <c:pt idx="63">
                  <c:v>93.861925277708849</c:v>
                </c:pt>
                <c:pt idx="64">
                  <c:v>93.951590769009044</c:v>
                </c:pt>
                <c:pt idx="65">
                  <c:v>94.043324158857985</c:v>
                </c:pt>
                <c:pt idx="66">
                  <c:v>94.137172145970169</c:v>
                </c:pt>
                <c:pt idx="67">
                  <c:v>94.233182412990189</c:v>
                </c:pt>
                <c:pt idx="68">
                  <c:v>94.331403642134433</c:v>
                </c:pt>
                <c:pt idx="69">
                  <c:v>94.43188553069426</c:v>
                </c:pt>
                <c:pt idx="70">
                  <c:v>94.534678806364383</c:v>
                </c:pt>
                <c:pt idx="71">
                  <c:v>94.639835242355602</c:v>
                </c:pt>
                <c:pt idx="72">
                  <c:v>94.747407672248968</c:v>
                </c:pt>
                <c:pt idx="73">
                  <c:v>94.857450004544802</c:v>
                </c:pt>
                <c:pt idx="74">
                  <c:v>94.970017236856009</c:v>
                </c:pt>
                <c:pt idx="75">
                  <c:v>95.085165469691177</c:v>
                </c:pt>
                <c:pt idx="76">
                  <c:v>95.20295191976993</c:v>
                </c:pt>
                <c:pt idx="77">
                  <c:v>95.32343493280743</c:v>
                </c:pt>
                <c:pt idx="78">
                  <c:v>95.446673995700181</c:v>
                </c:pt>
                <c:pt idx="79">
                  <c:v>95.572729748041795</c:v>
                </c:pt>
                <c:pt idx="80">
                  <c:v>95.701663992891383</c:v>
                </c:pt>
                <c:pt idx="81">
                  <c:v>95.833539706710823</c:v>
                </c:pt>
                <c:pt idx="82">
                  <c:v>95.968421048383277</c:v>
                </c:pt>
                <c:pt idx="83">
                  <c:v>96.106373367217941</c:v>
                </c:pt>
                <c:pt idx="84">
                  <c:v>96.247463209840632</c:v>
                </c:pt>
                <c:pt idx="85">
                  <c:v>96.391758325860508</c:v>
                </c:pt>
                <c:pt idx="86">
                  <c:v>96.53932767220131</c:v>
                </c:pt>
                <c:pt idx="87">
                  <c:v>96.690241415971698</c:v>
                </c:pt>
                <c:pt idx="88">
                  <c:v>96.844570935747242</c:v>
                </c:pt>
                <c:pt idx="89">
                  <c:v>97.0023888211241</c:v>
                </c:pt>
                <c:pt idx="90">
                  <c:v>97.163768870399608</c:v>
                </c:pt>
                <c:pt idx="91">
                  <c:v>97.328786086222891</c:v>
                </c:pt>
                <c:pt idx="92">
                  <c:v>97.49751666905226</c:v>
                </c:pt>
                <c:pt idx="93">
                  <c:v>97.670038008244731</c:v>
                </c:pt>
                <c:pt idx="94">
                  <c:v>97.846428670594008</c:v>
                </c:pt>
                <c:pt idx="95">
                  <c:v>98.026768386123635</c:v>
                </c:pt>
                <c:pt idx="96">
                  <c:v>98.211138030929419</c:v>
                </c:pt>
                <c:pt idx="97">
                  <c:v>98.399619606857812</c:v>
                </c:pt>
                <c:pt idx="98">
                  <c:v>98.592296217792779</c:v>
                </c:pt>
                <c:pt idx="99">
                  <c:v>98.789252042315013</c:v>
                </c:pt>
                <c:pt idx="100">
                  <c:v>98.990572302483514</c:v>
                </c:pt>
                <c:pt idx="101">
                  <c:v>99.196343228481396</c:v>
                </c:pt>
                <c:pt idx="102">
                  <c:v>99.406652018852043</c:v>
                </c:pt>
                <c:pt idx="103">
                  <c:v>99.621586796044824</c:v>
                </c:pt>
                <c:pt idx="104">
                  <c:v>99.841236556974152</c:v>
                </c:pt>
                <c:pt idx="105">
                  <c:v>100.06569111828772</c:v>
                </c:pt>
                <c:pt idx="106">
                  <c:v>100.29504105602602</c:v>
                </c:pt>
                <c:pt idx="107">
                  <c:v>100.52937763934682</c:v>
                </c:pt>
                <c:pt idx="108">
                  <c:v>100.76879275797837</c:v>
                </c:pt>
                <c:pt idx="109">
                  <c:v>101.01337884305339</c:v>
                </c:pt>
                <c:pt idx="110">
                  <c:v>101.26322878097122</c:v>
                </c:pt>
                <c:pt idx="111">
                  <c:v>101.51843581992483</c:v>
                </c:pt>
                <c:pt idx="112">
                  <c:v>101.77909346872653</c:v>
                </c:pt>
                <c:pt idx="113">
                  <c:v>102.04529538755799</c:v>
                </c:pt>
                <c:pt idx="114">
                  <c:v>102.31713527027155</c:v>
                </c:pt>
                <c:pt idx="115">
                  <c:v>102.59470671786507</c:v>
                </c:pt>
                <c:pt idx="116">
                  <c:v>102.87810310275762</c:v>
                </c:pt>
                <c:pt idx="117">
                  <c:v>103.16741742349446</c:v>
                </c:pt>
                <c:pt idx="118">
                  <c:v>103.46274214951781</c:v>
                </c:pt>
                <c:pt idx="119">
                  <c:v>103.76416905565284</c:v>
                </c:pt>
                <c:pt idx="120">
                  <c:v>104.07178904596614</c:v>
                </c:pt>
                <c:pt idx="121">
                  <c:v>104.3856919666798</c:v>
                </c:pt>
                <c:pt idx="122">
                  <c:v>104.70596640783864</c:v>
                </c:pt>
                <c:pt idx="123">
                  <c:v>105.03269949346425</c:v>
                </c:pt>
                <c:pt idx="124">
                  <c:v>105.3659766599518</c:v>
                </c:pt>
                <c:pt idx="125">
                  <c:v>105.70588142251547</c:v>
                </c:pt>
                <c:pt idx="126">
                  <c:v>106.05249512952297</c:v>
                </c:pt>
                <c:pt idx="127">
                  <c:v>106.40589670461642</c:v>
                </c:pt>
                <c:pt idx="128">
                  <c:v>106.76616237657369</c:v>
                </c:pt>
                <c:pt idx="129">
                  <c:v>107.13336539693047</c:v>
                </c:pt>
                <c:pt idx="130">
                  <c:v>107.50757574545402</c:v>
                </c:pt>
                <c:pt idx="131">
                  <c:v>107.88885982364658</c:v>
                </c:pt>
                <c:pt idx="132">
                  <c:v>108.27728013653693</c:v>
                </c:pt>
                <c:pt idx="133">
                  <c:v>108.67289496313141</c:v>
                </c:pt>
                <c:pt idx="134">
                  <c:v>109.07575801598274</c:v>
                </c:pt>
                <c:pt idx="135">
                  <c:v>109.48591809047312</c:v>
                </c:pt>
                <c:pt idx="136">
                  <c:v>109.903418704511</c:v>
                </c:pt>
                <c:pt idx="137">
                  <c:v>110.32829772948972</c:v>
                </c:pt>
                <c:pt idx="138">
                  <c:v>110.76058701348363</c:v>
                </c:pt>
                <c:pt idx="139">
                  <c:v>111.20031199781744</c:v>
                </c:pt>
                <c:pt idx="140">
                  <c:v>111.64749132828337</c:v>
                </c:pt>
                <c:pt idx="141">
                  <c:v>112.102136462456</c:v>
                </c:pt>
                <c:pt idx="142">
                  <c:v>112.56425127470503</c:v>
                </c:pt>
                <c:pt idx="143">
                  <c:v>113.03383166068194</c:v>
                </c:pt>
                <c:pt idx="144">
                  <c:v>113.51086514322034</c:v>
                </c:pt>
                <c:pt idx="145">
                  <c:v>113.99533048175786</c:v>
                </c:pt>
                <c:pt idx="146">
                  <c:v>114.48719728755398</c:v>
                </c:pt>
                <c:pt idx="147">
                  <c:v>114.98642564713511</c:v>
                </c:pt>
                <c:pt idx="148">
                  <c:v>115.49296575655089</c:v>
                </c:pt>
                <c:pt idx="149">
                  <c:v>116.00675756917035</c:v>
                </c:pt>
                <c:pt idx="150">
                  <c:v>116.52773045986733</c:v>
                </c:pt>
                <c:pt idx="151">
                  <c:v>117.05580290856375</c:v>
                </c:pt>
                <c:pt idx="152">
                  <c:v>117.59088220618217</c:v>
                </c:pt>
                <c:pt idx="153">
                  <c:v>118.13286418613441</c:v>
                </c:pt>
                <c:pt idx="154">
                  <c:v>118.68163298450787</c:v>
                </c:pt>
                <c:pt idx="155">
                  <c:v>119.23706083212454</c:v>
                </c:pt>
                <c:pt idx="156">
                  <c:v>119.79900788162817</c:v>
                </c:pt>
                <c:pt idx="157">
                  <c:v>120.36732207269154</c:v>
                </c:pt>
                <c:pt idx="158">
                  <c:v>120.9418390383468</c:v>
                </c:pt>
                <c:pt idx="159">
                  <c:v>121.5223820552973</c:v>
                </c:pt>
                <c:pt idx="160">
                  <c:v>122.10876204089746</c:v>
                </c:pt>
                <c:pt idx="161">
                  <c:v>122.70077759926255</c:v>
                </c:pt>
                <c:pt idx="162">
                  <c:v>123.29821511870111</c:v>
                </c:pt>
                <c:pt idx="163">
                  <c:v>123.90084892236335</c:v>
                </c:pt>
                <c:pt idx="164">
                  <c:v>124.50844147363986</c:v>
                </c:pt>
                <c:pt idx="165">
                  <c:v>125.12074363745928</c:v>
                </c:pt>
                <c:pt idx="166">
                  <c:v>125.73749499821022</c:v>
                </c:pt>
                <c:pt idx="167">
                  <c:v>126.35842423454716</c:v>
                </c:pt>
                <c:pt idx="168">
                  <c:v>126.98324955086068</c:v>
                </c:pt>
                <c:pt idx="169">
                  <c:v>127.61167916468027</c:v>
                </c:pt>
                <c:pt idx="170">
                  <c:v>128.24341184875223</c:v>
                </c:pt>
                <c:pt idx="171">
                  <c:v>128.87813752600925</c:v>
                </c:pt>
                <c:pt idx="172">
                  <c:v>129.51553791510875</c:v>
                </c:pt>
                <c:pt idx="173">
                  <c:v>130.15528722369402</c:v>
                </c:pt>
                <c:pt idx="174">
                  <c:v>130.79705288602204</c:v>
                </c:pt>
                <c:pt idx="175">
                  <c:v>131.44049634111931</c:v>
                </c:pt>
                <c:pt idx="176">
                  <c:v>132.08527384716862</c:v>
                </c:pt>
                <c:pt idx="177">
                  <c:v>132.73103732742101</c:v>
                </c:pt>
                <c:pt idx="178">
                  <c:v>133.37743524256186</c:v>
                </c:pt>
                <c:pt idx="179">
                  <c:v>134.0241134841483</c:v>
                </c:pt>
                <c:pt idx="180">
                  <c:v>134.67071628349015</c:v>
                </c:pt>
                <c:pt idx="181">
                  <c:v>135.31688713015387</c:v>
                </c:pt>
                <c:pt idx="182">
                  <c:v>135.96226969416205</c:v>
                </c:pt>
                <c:pt idx="183">
                  <c:v>136.60650874590831</c:v>
                </c:pt>
                <c:pt idx="184">
                  <c:v>137.24925106783934</c:v>
                </c:pt>
                <c:pt idx="185">
                  <c:v>137.89014635204683</c:v>
                </c:pt>
                <c:pt idx="186">
                  <c:v>138.52884807808852</c:v>
                </c:pt>
                <c:pt idx="187">
                  <c:v>139.16501436557854</c:v>
                </c:pt>
                <c:pt idx="188">
                  <c:v>139.79830879639414</c:v>
                </c:pt>
                <c:pt idx="189">
                  <c:v>140.42840120168404</c:v>
                </c:pt>
                <c:pt idx="190">
                  <c:v>141.05496840927606</c:v>
                </c:pt>
                <c:pt idx="191">
                  <c:v>141.67769494751761</c:v>
                </c:pt>
                <c:pt idx="192">
                  <c:v>142.29627370205901</c:v>
                </c:pt>
                <c:pt idx="193">
                  <c:v>142.91040652260116</c:v>
                </c:pt>
                <c:pt idx="194">
                  <c:v>143.51980477714434</c:v>
                </c:pt>
                <c:pt idx="195">
                  <c:v>144.12418985180659</c:v>
                </c:pt>
                <c:pt idx="196">
                  <c:v>144.72329359482296</c:v>
                </c:pt>
                <c:pt idx="197">
                  <c:v>145.31685870384734</c:v>
                </c:pt>
                <c:pt idx="198">
                  <c:v>145.9046390562076</c:v>
                </c:pt>
                <c:pt idx="199">
                  <c:v>146.48639998225059</c:v>
                </c:pt>
                <c:pt idx="200">
                  <c:v>147.06191848237407</c:v>
                </c:pt>
                <c:pt idx="201">
                  <c:v>147.63098338879317</c:v>
                </c:pt>
                <c:pt idx="202">
                  <c:v>148.1933954734688</c:v>
                </c:pt>
                <c:pt idx="203">
                  <c:v>148.74896750400674</c:v>
                </c:pt>
                <c:pt idx="204">
                  <c:v>149.29752424963698</c:v>
                </c:pt>
                <c:pt idx="205">
                  <c:v>149.83890243967116</c:v>
                </c:pt>
                <c:pt idx="206">
                  <c:v>150.37295067706754</c:v>
                </c:pt>
                <c:pt idx="207">
                  <c:v>150.89952930991845</c:v>
                </c:pt>
                <c:pt idx="208">
                  <c:v>151.41851026382594</c:v>
                </c:pt>
                <c:pt idx="209">
                  <c:v>151.92977683824094</c:v>
                </c:pt>
                <c:pt idx="210">
                  <c:v>152.43322346990095</c:v>
                </c:pt>
                <c:pt idx="211">
                  <c:v>152.92875546654136</c:v>
                </c:pt>
                <c:pt idx="212">
                  <c:v>153.41628871404549</c:v>
                </c:pt>
                <c:pt idx="213">
                  <c:v>153.89574936017164</c:v>
                </c:pt>
                <c:pt idx="214">
                  <c:v>154.36707347792517</c:v>
                </c:pt>
                <c:pt idx="215">
                  <c:v>154.8302067115709</c:v>
                </c:pt>
                <c:pt idx="216">
                  <c:v>155.28510390816501</c:v>
                </c:pt>
                <c:pt idx="217">
                  <c:v>155.73172873736422</c:v>
                </c:pt>
                <c:pt idx="218">
                  <c:v>156.17005330213604</c:v>
                </c:pt>
                <c:pt idx="219">
                  <c:v>156.60005774283954</c:v>
                </c:pt>
                <c:pt idx="220">
                  <c:v>157.02172983699268</c:v>
                </c:pt>
                <c:pt idx="221">
                  <c:v>157.43506459687393</c:v>
                </c:pt>
                <c:pt idx="222">
                  <c:v>157.84006386694034</c:v>
                </c:pt>
                <c:pt idx="223">
                  <c:v>158.2367359228835</c:v>
                </c:pt>
                <c:pt idx="224">
                  <c:v>158.62509507396257</c:v>
                </c:pt>
                <c:pt idx="225">
                  <c:v>159.00516127010425</c:v>
                </c:pt>
                <c:pt idx="226">
                  <c:v>159.37695971508995</c:v>
                </c:pt>
                <c:pt idx="227">
                  <c:v>159.74052048699352</c:v>
                </c:pt>
                <c:pt idx="228">
                  <c:v>160.09587816689452</c:v>
                </c:pt>
                <c:pt idx="229">
                  <c:v>160.44307147673877</c:v>
                </c:pt>
                <c:pt idx="230">
                  <c:v>160.78214292708452</c:v>
                </c:pt>
                <c:pt idx="231">
                  <c:v>161.11313847535826</c:v>
                </c:pt>
                <c:pt idx="232">
                  <c:v>161.43610719510832</c:v>
                </c:pt>
                <c:pt idx="233">
                  <c:v>161.75110095665258</c:v>
                </c:pt>
                <c:pt idx="234">
                  <c:v>162.05817411940362</c:v>
                </c:pt>
                <c:pt idx="235">
                  <c:v>162.35738323607023</c:v>
                </c:pt>
                <c:pt idx="236">
                  <c:v>162.64878676884706</c:v>
                </c:pt>
                <c:pt idx="237">
                  <c:v>162.93244481763062</c:v>
                </c:pt>
                <c:pt idx="238">
                  <c:v>163.20841886023172</c:v>
                </c:pt>
                <c:pt idx="239">
                  <c:v>163.4767715044953</c:v>
                </c:pt>
                <c:pt idx="240">
                  <c:v>163.73756625218346</c:v>
                </c:pt>
                <c:pt idx="241">
                  <c:v>163.99086727443645</c:v>
                </c:pt>
                <c:pt idx="242">
                  <c:v>164.23673919858047</c:v>
                </c:pt>
                <c:pt idx="243">
                  <c:v>164.4752469060231</c:v>
                </c:pt>
                <c:pt idx="244">
                  <c:v>164.70645534094405</c:v>
                </c:pt>
                <c:pt idx="245">
                  <c:v>164.9304293294696</c:v>
                </c:pt>
                <c:pt idx="246">
                  <c:v>165.14723340899761</c:v>
                </c:pt>
                <c:pt idx="247">
                  <c:v>165.35693166732685</c:v>
                </c:pt>
                <c:pt idx="248">
                  <c:v>165.55958759123308</c:v>
                </c:pt>
                <c:pt idx="249">
                  <c:v>165.75526392412806</c:v>
                </c:pt>
                <c:pt idx="250">
                  <c:v>165.94402253243149</c:v>
                </c:pt>
                <c:pt idx="251">
                  <c:v>166.12592428028634</c:v>
                </c:pt>
                <c:pt idx="252">
                  <c:v>166.30102891224928</c:v>
                </c:pt>
                <c:pt idx="253">
                  <c:v>166.46939494358787</c:v>
                </c:pt>
                <c:pt idx="254">
                  <c:v>166.63107955782604</c:v>
                </c:pt>
                <c:pt idx="255">
                  <c:v>166.78613851118078</c:v>
                </c:pt>
                <c:pt idx="256">
                  <c:v>166.93462604354573</c:v>
                </c:pt>
                <c:pt idx="257">
                  <c:v>167.07659479568321</c:v>
                </c:pt>
                <c:pt idx="258">
                  <c:v>167.2120957322982</c:v>
                </c:pt>
                <c:pt idx="259">
                  <c:v>167.34117807067724</c:v>
                </c:pt>
                <c:pt idx="260">
                  <c:v>167.46388921458967</c:v>
                </c:pt>
                <c:pt idx="261">
                  <c:v>167.58027469315829</c:v>
                </c:pt>
                <c:pt idx="262">
                  <c:v>167.69037810441921</c:v>
                </c:pt>
                <c:pt idx="263">
                  <c:v>167.79424106330779</c:v>
                </c:pt>
                <c:pt idx="264">
                  <c:v>167.89190315381407</c:v>
                </c:pt>
                <c:pt idx="265">
                  <c:v>167.9834018850712</c:v>
                </c:pt>
                <c:pt idx="266">
                  <c:v>168.0687726511502</c:v>
                </c:pt>
                <c:pt idx="267">
                  <c:v>168.14804869434832</c:v>
                </c:pt>
                <c:pt idx="268">
                  <c:v>168.22126107177402</c:v>
                </c:pt>
                <c:pt idx="269">
                  <c:v>168.28843862504161</c:v>
                </c:pt>
                <c:pt idx="270">
                  <c:v>168.34960795290709</c:v>
                </c:pt>
                <c:pt idx="271">
                  <c:v>168.40479338668473</c:v>
                </c:pt>
                <c:pt idx="272">
                  <c:v>168.45401696830089</c:v>
                </c:pt>
                <c:pt idx="273">
                  <c:v>168.4972984308549</c:v>
                </c:pt>
                <c:pt idx="274">
                  <c:v>168.53465518156659</c:v>
                </c:pt>
                <c:pt idx="275">
                  <c:v>168.56610228700816</c:v>
                </c:pt>
                <c:pt idx="276">
                  <c:v>168.59165246052521</c:v>
                </c:pt>
                <c:pt idx="277">
                  <c:v>168.61131605177064</c:v>
                </c:pt>
                <c:pt idx="278">
                  <c:v>168.62510103828197</c:v>
                </c:pt>
                <c:pt idx="279">
                  <c:v>168.63301301904889</c:v>
                </c:pt>
                <c:pt idx="280">
                  <c:v>168.63505521003094</c:v>
                </c:pt>
                <c:pt idx="281">
                  <c:v>168.63122844159358</c:v>
                </c:pt>
                <c:pt idx="282">
                  <c:v>168.62153115784761</c:v>
                </c:pt>
                <c:pt idx="283">
                  <c:v>168.60595941788759</c:v>
                </c:pt>
                <c:pt idx="284">
                  <c:v>168.58450689893641</c:v>
                </c:pt>
                <c:pt idx="285">
                  <c:v>168.55716490141737</c:v>
                </c:pt>
                <c:pt idx="286">
                  <c:v>168.52392235598671</c:v>
                </c:pt>
                <c:pt idx="287">
                  <c:v>168.48476583257033</c:v>
                </c:pt>
                <c:pt idx="288">
                  <c:v>168.43967955146644</c:v>
                </c:pt>
                <c:pt idx="289">
                  <c:v>168.3886453965799</c:v>
                </c:pt>
                <c:pt idx="290">
                  <c:v>168.33164293087506</c:v>
                </c:pt>
                <c:pt idx="291">
                  <c:v>168.26864941414183</c:v>
                </c:pt>
                <c:pt idx="292">
                  <c:v>168.19963982318433</c:v>
                </c:pt>
                <c:pt idx="293">
                  <c:v>168.12458687455484</c:v>
                </c:pt>
                <c:pt idx="294">
                  <c:v>168.0434610499656</c:v>
                </c:pt>
                <c:pt idx="295">
                  <c:v>167.9562306245314</c:v>
                </c:pt>
                <c:pt idx="296">
                  <c:v>167.86286169800076</c:v>
                </c:pt>
                <c:pt idx="297">
                  <c:v>167.76331822915355</c:v>
                </c:pt>
                <c:pt idx="298">
                  <c:v>167.65756207355318</c:v>
                </c:pt>
                <c:pt idx="299">
                  <c:v>167.54555302485556</c:v>
                </c:pt>
                <c:pt idx="300">
                  <c:v>167.42724885989233</c:v>
                </c:pt>
                <c:pt idx="301">
                  <c:v>167.30260538775715</c:v>
                </c:pt>
                <c:pt idx="302">
                  <c:v>167.1715765031382</c:v>
                </c:pt>
                <c:pt idx="303">
                  <c:v>167.03411424415501</c:v>
                </c:pt>
                <c:pt idx="304">
                  <c:v>166.89016885496932</c:v>
                </c:pt>
                <c:pt idx="305">
                  <c:v>166.73968885345235</c:v>
                </c:pt>
                <c:pt idx="306">
                  <c:v>166.58262110420438</c:v>
                </c:pt>
                <c:pt idx="307">
                  <c:v>166.41891089723646</c:v>
                </c:pt>
                <c:pt idx="308">
                  <c:v>166.24850203263003</c:v>
                </c:pt>
                <c:pt idx="309">
                  <c:v>166.07133691150887</c:v>
                </c:pt>
                <c:pt idx="310">
                  <c:v>165.88735663365966</c:v>
                </c:pt>
                <c:pt idx="311">
                  <c:v>165.69650110215338</c:v>
                </c:pt>
                <c:pt idx="312">
                  <c:v>165.49870913532212</c:v>
                </c:pt>
                <c:pt idx="313">
                  <c:v>165.29391858645499</c:v>
                </c:pt>
                <c:pt idx="314">
                  <c:v>165.08206647158011</c:v>
                </c:pt>
                <c:pt idx="315">
                  <c:v>164.86308910570321</c:v>
                </c:pt>
                <c:pt idx="316">
                  <c:v>164.63692224787118</c:v>
                </c:pt>
                <c:pt idx="317">
                  <c:v>164.40350125543026</c:v>
                </c:pt>
                <c:pt idx="318">
                  <c:v>164.16276124784045</c:v>
                </c:pt>
                <c:pt idx="319">
                  <c:v>163.91463728040063</c:v>
                </c:pt>
                <c:pt idx="320">
                  <c:v>163.65906452822784</c:v>
                </c:pt>
                <c:pt idx="321">
                  <c:v>163.39597848081624</c:v>
                </c:pt>
                <c:pt idx="322">
                  <c:v>163.12531514748378</c:v>
                </c:pt>
                <c:pt idx="323">
                  <c:v>162.84701127398833</c:v>
                </c:pt>
                <c:pt idx="324">
                  <c:v>162.56100457056473</c:v>
                </c:pt>
                <c:pt idx="325">
                  <c:v>162.2672339516001</c:v>
                </c:pt>
                <c:pt idx="326">
                  <c:v>161.96563978712268</c:v>
                </c:pt>
                <c:pt idx="327">
                  <c:v>161.65616416622908</c:v>
                </c:pt>
                <c:pt idx="328">
                  <c:v>161.33875117252632</c:v>
                </c:pt>
                <c:pt idx="329">
                  <c:v>161.01334717159239</c:v>
                </c:pt>
                <c:pt idx="330">
                  <c:v>160.67990111040359</c:v>
                </c:pt>
                <c:pt idx="331">
                  <c:v>160.33836482858391</c:v>
                </c:pt>
                <c:pt idx="332">
                  <c:v>159.98869338125721</c:v>
                </c:pt>
                <c:pt idx="333">
                  <c:v>159.63084537318289</c:v>
                </c:pt>
                <c:pt idx="334">
                  <c:v>159.26478330375451</c:v>
                </c:pt>
                <c:pt idx="335">
                  <c:v>158.89047392232874</c:v>
                </c:pt>
                <c:pt idx="336">
                  <c:v>158.50788859323254</c:v>
                </c:pt>
                <c:pt idx="337">
                  <c:v>158.1170036696642</c:v>
                </c:pt>
                <c:pt idx="338">
                  <c:v>157.71780087557434</c:v>
                </c:pt>
                <c:pt idx="339">
                  <c:v>157.3102676944599</c:v>
                </c:pt>
                <c:pt idx="340">
                  <c:v>156.89439776386268</c:v>
                </c:pt>
                <c:pt idx="341">
                  <c:v>156.47019127419478</c:v>
                </c:pt>
                <c:pt idx="342">
                  <c:v>156.03765537036458</c:v>
                </c:pt>
                <c:pt idx="343">
                  <c:v>155.59680455450138</c:v>
                </c:pt>
                <c:pt idx="344">
                  <c:v>155.14766108791335</c:v>
                </c:pt>
                <c:pt idx="345">
                  <c:v>154.69025539024378</c:v>
                </c:pt>
                <c:pt idx="346">
                  <c:v>154.22462643362627</c:v>
                </c:pt>
                <c:pt idx="347">
                  <c:v>153.75082212947765</c:v>
                </c:pt>
                <c:pt idx="348">
                  <c:v>153.2688997054064</c:v>
                </c:pt>
                <c:pt idx="349">
                  <c:v>152.7789260695771</c:v>
                </c:pt>
                <c:pt idx="350">
                  <c:v>152.28097815972981</c:v>
                </c:pt>
                <c:pt idx="351">
                  <c:v>151.7751432739386</c:v>
                </c:pt>
                <c:pt idx="352">
                  <c:v>151.26151938009156</c:v>
                </c:pt>
                <c:pt idx="353">
                  <c:v>150.74021540099838</c:v>
                </c:pt>
                <c:pt idx="354">
                  <c:v>150.21135147197586</c:v>
                </c:pt>
                <c:pt idx="355">
                  <c:v>149.67505916774158</c:v>
                </c:pt>
                <c:pt idx="356">
                  <c:v>149.13148169544644</c:v>
                </c:pt>
                <c:pt idx="357">
                  <c:v>148.58077405072839</c:v>
                </c:pt>
                <c:pt idx="358">
                  <c:v>148.02310313373792</c:v>
                </c:pt>
                <c:pt idx="359">
                  <c:v>147.458647822214</c:v>
                </c:pt>
                <c:pt idx="360">
                  <c:v>146.8875989988444</c:v>
                </c:pt>
                <c:pt idx="361">
                  <c:v>146.31015953034967</c:v>
                </c:pt>
                <c:pt idx="362">
                  <c:v>145.72654419597441</c:v>
                </c:pt>
                <c:pt idx="363">
                  <c:v>145.13697956336253</c:v>
                </c:pt>
                <c:pt idx="364">
                  <c:v>144.54170381012167</c:v>
                </c:pt>
                <c:pt idx="365">
                  <c:v>143.94096648975923</c:v>
                </c:pt>
                <c:pt idx="366">
                  <c:v>143.33502824107555</c:v>
                </c:pt>
                <c:pt idx="367">
                  <c:v>142.72416044055674</c:v>
                </c:pt>
                <c:pt idx="368">
                  <c:v>142.10864479777013</c:v>
                </c:pt>
                <c:pt idx="369">
                  <c:v>141.48877289427932</c:v>
                </c:pt>
                <c:pt idx="370">
                  <c:v>140.86484566710132</c:v>
                </c:pt>
                <c:pt idx="371">
                  <c:v>140.23717283826733</c:v>
                </c:pt>
                <c:pt idx="372">
                  <c:v>139.60607229257619</c:v>
                </c:pt>
                <c:pt idx="373">
                  <c:v>138.97186940616351</c:v>
                </c:pt>
                <c:pt idx="374">
                  <c:v>138.33489632902271</c:v>
                </c:pt>
                <c:pt idx="375">
                  <c:v>137.695491225116</c:v>
                </c:pt>
                <c:pt idx="376">
                  <c:v>137.05399747417735</c:v>
                </c:pt>
                <c:pt idx="377">
                  <c:v>136.41076283974147</c:v>
                </c:pt>
                <c:pt idx="378">
                  <c:v>135.76613860832182</c:v>
                </c:pt>
                <c:pt idx="379">
                  <c:v>135.12047870498836</c:v>
                </c:pt>
                <c:pt idx="380">
                  <c:v>134.47413879088097</c:v>
                </c:pt>
                <c:pt idx="381">
                  <c:v>133.82747534839933</c:v>
                </c:pt>
                <c:pt idx="382">
                  <c:v>133.18084475995997</c:v>
                </c:pt>
                <c:pt idx="383">
                  <c:v>132.5346023862908</c:v>
                </c:pt>
                <c:pt idx="384">
                  <c:v>131.88910165022696</c:v>
                </c:pt>
                <c:pt idx="385">
                  <c:v>131.24469313191926</c:v>
                </c:pt>
                <c:pt idx="386">
                  <c:v>130.60172368121857</c:v>
                </c:pt>
                <c:pt idx="387">
                  <c:v>129.96053555279465</c:v>
                </c:pt>
                <c:pt idx="388">
                  <c:v>129.3214655692926</c:v>
                </c:pt>
                <c:pt idx="389">
                  <c:v>128.68484431747802</c:v>
                </c:pt>
                <c:pt idx="390">
                  <c:v>128.05099538197578</c:v>
                </c:pt>
                <c:pt idx="391">
                  <c:v>127.42023462074246</c:v>
                </c:pt>
                <c:pt idx="392">
                  <c:v>126.7928694859861</c:v>
                </c:pt>
                <c:pt idx="393">
                  <c:v>126.16919839372682</c:v>
                </c:pt>
                <c:pt idx="394">
                  <c:v>125.54951014468844</c:v>
                </c:pt>
                <c:pt idx="395">
                  <c:v>124.93408339867958</c:v>
                </c:pt>
                <c:pt idx="396">
                  <c:v>124.32318620409077</c:v>
                </c:pt>
                <c:pt idx="397">
                  <c:v>123.71707558359886</c:v>
                </c:pt>
                <c:pt idx="398">
                  <c:v>123.11599717665732</c:v>
                </c:pt>
                <c:pt idx="399">
                  <c:v>122.52018493884088</c:v>
                </c:pt>
                <c:pt idx="400">
                  <c:v>121.92986089764103</c:v>
                </c:pt>
                <c:pt idx="401">
                  <c:v>121.34523496385552</c:v>
                </c:pt>
                <c:pt idx="402">
                  <c:v>120.76650479729966</c:v>
                </c:pt>
                <c:pt idx="403">
                  <c:v>120.19385572519518</c:v>
                </c:pt>
                <c:pt idx="404">
                  <c:v>119.6274607112427</c:v>
                </c:pt>
                <c:pt idx="405">
                  <c:v>119.067480373105</c:v>
                </c:pt>
                <c:pt idx="406">
                  <c:v>118.51406304575976</c:v>
                </c:pt>
                <c:pt idx="407">
                  <c:v>117.96734488798438</c:v>
                </c:pt>
                <c:pt idx="408">
                  <c:v>117.42745002906089</c:v>
                </c:pt>
                <c:pt idx="409">
                  <c:v>116.89449075267135</c:v>
                </c:pt>
                <c:pt idx="410">
                  <c:v>116.36856771486524</c:v>
                </c:pt>
                <c:pt idx="411">
                  <c:v>115.84977019293397</c:v>
                </c:pt>
                <c:pt idx="412">
                  <c:v>115.33817636202212</c:v>
                </c:pt>
                <c:pt idx="413">
                  <c:v>114.83385359631421</c:v>
                </c:pt>
                <c:pt idx="414">
                  <c:v>114.33685879169936</c:v>
                </c:pt>
                <c:pt idx="415">
                  <c:v>113.8472387068758</c:v>
                </c:pt>
                <c:pt idx="416">
                  <c:v>113.36503031996997</c:v>
                </c:pt>
                <c:pt idx="417">
                  <c:v>112.89026119784795</c:v>
                </c:pt>
                <c:pt idx="418">
                  <c:v>112.4229498754399</c:v>
                </c:pt>
                <c:pt idx="419">
                  <c:v>111.96310624253388</c:v>
                </c:pt>
                <c:pt idx="420">
                  <c:v>111.51073193565837</c:v>
                </c:pt>
                <c:pt idx="421">
                  <c:v>111.06582073282628</c:v>
                </c:pt>
                <c:pt idx="422">
                  <c:v>110.62835894908721</c:v>
                </c:pt>
                <c:pt idx="423">
                  <c:v>110.19832583099354</c:v>
                </c:pt>
                <c:pt idx="424">
                  <c:v>109.77569394826122</c:v>
                </c:pt>
                <c:pt idx="425">
                  <c:v>109.36042958107151</c:v>
                </c:pt>
                <c:pt idx="426">
                  <c:v>108.95249310161414</c:v>
                </c:pt>
                <c:pt idx="427">
                  <c:v>108.55183934864355</c:v>
                </c:pt>
                <c:pt idx="428">
                  <c:v>108.15841799396176</c:v>
                </c:pt>
                <c:pt idx="429">
                  <c:v>107.77217389988755</c:v>
                </c:pt>
                <c:pt idx="430">
                  <c:v>107.39304746691712</c:v>
                </c:pt>
                <c:pt idx="431">
                  <c:v>107.02097497090021</c:v>
                </c:pt>
                <c:pt idx="432">
                  <c:v>106.65588888918904</c:v>
                </c:pt>
                <c:pt idx="433">
                  <c:v>106.29771821531588</c:v>
                </c:pt>
                <c:pt idx="434">
                  <c:v>105.9463887618752</c:v>
                </c:pt>
                <c:pt idx="435">
                  <c:v>105.60182345137089</c:v>
                </c:pt>
                <c:pt idx="436">
                  <c:v>105.26394259487826</c:v>
                </c:pt>
                <c:pt idx="437">
                  <c:v>104.93266415845446</c:v>
                </c:pt>
                <c:pt idx="438">
                  <c:v>104.60790401729579</c:v>
                </c:pt>
                <c:pt idx="439">
                  <c:v>104.28957619770728</c:v>
                </c:pt>
                <c:pt idx="440">
                  <c:v>103.97759310700557</c:v>
                </c:pt>
                <c:pt idx="441">
                  <c:v>103.67186575152283</c:v>
                </c:pt>
                <c:pt idx="442">
                  <c:v>103.37230394292592</c:v>
                </c:pt>
                <c:pt idx="443">
                  <c:v>103.07881649309945</c:v>
                </c:pt>
                <c:pt idx="444">
                  <c:v>102.79131139787107</c:v>
                </c:pt>
                <c:pt idx="445">
                  <c:v>102.50969600988638</c:v>
                </c:pt>
                <c:pt idx="446">
                  <c:v>102.23387720095968</c:v>
                </c:pt>
                <c:pt idx="447">
                  <c:v>101.96376151424451</c:v>
                </c:pt>
                <c:pt idx="448">
                  <c:v>101.69925530657976</c:v>
                </c:pt>
                <c:pt idx="449">
                  <c:v>101.44026488137746</c:v>
                </c:pt>
                <c:pt idx="450">
                  <c:v>101.18669661242436</c:v>
                </c:pt>
                <c:pt idx="451">
                  <c:v>100.93845705897203</c:v>
                </c:pt>
                <c:pt idx="452">
                  <c:v>100.69545307249155</c:v>
                </c:pt>
                <c:pt idx="453">
                  <c:v>100.45759189546727</c:v>
                </c:pt>
                <c:pt idx="454">
                  <c:v>100.22478125260056</c:v>
                </c:pt>
                <c:pt idx="455">
                  <c:v>99.996929434789465</c:v>
                </c:pt>
                <c:pt idx="456">
                  <c:v>99.773945376245692</c:v>
                </c:pt>
                <c:pt idx="457">
                  <c:v>99.555738725097953</c:v>
                </c:pt>
                <c:pt idx="458">
                  <c:v>99.34221990782747</c:v>
                </c:pt>
                <c:pt idx="459">
                  <c:v>99.133300187869366</c:v>
                </c:pt>
                <c:pt idx="460">
                  <c:v>98.928891718702104</c:v>
                </c:pt>
                <c:pt idx="461">
                  <c:v>98.728907591741148</c:v>
                </c:pt>
                <c:pt idx="462">
                  <c:v>98.533261879335896</c:v>
                </c:pt>
                <c:pt idx="463">
                  <c:v>98.34186967316316</c:v>
                </c:pt>
                <c:pt idx="464">
                  <c:v>98.154647118296225</c:v>
                </c:pt>
                <c:pt idx="465">
                  <c:v>97.971511443216656</c:v>
                </c:pt>
                <c:pt idx="466">
                  <c:v>97.792380986026501</c:v>
                </c:pt>
                <c:pt idx="467">
                  <c:v>97.617175217105924</c:v>
                </c:pt>
                <c:pt idx="468">
                  <c:v>97.445814758448748</c:v>
                </c:pt>
                <c:pt idx="469">
                  <c:v>97.278221399901</c:v>
                </c:pt>
                <c:pt idx="470">
                  <c:v>97.114318112511953</c:v>
                </c:pt>
                <c:pt idx="471">
                  <c:v>96.954029059200167</c:v>
                </c:pt>
                <c:pt idx="472">
                  <c:v>96.797279602924959</c:v>
                </c:pt>
                <c:pt idx="473">
                  <c:v>96.643996312544544</c:v>
                </c:pt>
                <c:pt idx="474">
                  <c:v>96.494106966530552</c:v>
                </c:pt>
                <c:pt idx="475">
                  <c:v>96.347540554702675</c:v>
                </c:pt>
                <c:pt idx="476">
                  <c:v>96.204227278133772</c:v>
                </c:pt>
                <c:pt idx="477">
                  <c:v>96.064098547370762</c:v>
                </c:pt>
                <c:pt idx="478">
                  <c:v>95.927086979107074</c:v>
                </c:pt>
                <c:pt idx="479">
                  <c:v>95.793126391432452</c:v>
                </c:pt>
                <c:pt idx="480">
                  <c:v>95.6621517977823</c:v>
                </c:pt>
                <c:pt idx="481">
                  <c:v>95.534099399697268</c:v>
                </c:pt>
                <c:pt idx="482">
                  <c:v>95.408906578499938</c:v>
                </c:pt>
                <c:pt idx="483">
                  <c:v>95.286511885987224</c:v>
                </c:pt>
                <c:pt idx="484">
                  <c:v>95.166855034231034</c:v>
                </c:pt>
                <c:pt idx="485">
                  <c:v>95.049876884574658</c:v>
                </c:pt>
                <c:pt idx="486">
                  <c:v>94.935519435904823</c:v>
                </c:pt>
                <c:pt idx="487">
                  <c:v>94.823725812276493</c:v>
                </c:pt>
                <c:pt idx="488">
                  <c:v>94.714440249960418</c:v>
                </c:pt>
                <c:pt idx="489">
                  <c:v>94.60760808397886</c:v>
                </c:pt>
                <c:pt idx="490">
                  <c:v>94.503175734191714</c:v>
                </c:pt>
                <c:pt idx="491">
                  <c:v>94.401090690989676</c:v>
                </c:pt>
                <c:pt idx="492">
                  <c:v>94.301301500647142</c:v>
                </c:pt>
                <c:pt idx="493">
                  <c:v>94.203757750384767</c:v>
                </c:pt>
                <c:pt idx="494">
                  <c:v>94.10841005318666</c:v>
                </c:pt>
                <c:pt idx="495">
                  <c:v>94.015210032414771</c:v>
                </c:pt>
                <c:pt idx="496">
                  <c:v>93.92411030625982</c:v>
                </c:pt>
                <c:pt idx="497">
                  <c:v>93.835064472064388</c:v>
                </c:pt>
                <c:pt idx="498">
                  <c:v>93.748027090551844</c:v>
                </c:pt>
                <c:pt idx="499">
                  <c:v>93.662953669992035</c:v>
                </c:pt>
                <c:pt idx="500">
                  <c:v>93.579800650331592</c:v>
                </c:pt>
                <c:pt idx="501">
                  <c:v>93.498525387315226</c:v>
                </c:pt>
                <c:pt idx="502">
                  <c:v>93.419086136621431</c:v>
                </c:pt>
                <c:pt idx="503">
                  <c:v>93.341442038035254</c:v>
                </c:pt>
                <c:pt idx="504">
                  <c:v>93.265553099677135</c:v>
                </c:pt>
                <c:pt idx="505">
                  <c:v>93.191380182306673</c:v>
                </c:pt>
                <c:pt idx="506">
                  <c:v>93.11888498371772</c:v>
                </c:pt>
                <c:pt idx="507">
                  <c:v>93.048030023239875</c:v>
                </c:pt>
                <c:pt idx="508">
                  <c:v>92.97877862636004</c:v>
                </c:pt>
                <c:pt idx="509">
                  <c:v>92.911094909476219</c:v>
                </c:pt>
                <c:pt idx="510">
                  <c:v>92.844943764794934</c:v>
                </c:pt>
                <c:pt idx="511">
                  <c:v>92.780290845381884</c:v>
                </c:pt>
                <c:pt idx="512">
                  <c:v>92.717102550374918</c:v>
                </c:pt>
                <c:pt idx="513">
                  <c:v>92.655346010366998</c:v>
                </c:pt>
                <c:pt idx="514">
                  <c:v>92.594989072966598</c:v>
                </c:pt>
                <c:pt idx="515">
                  <c:v>92.536000288540848</c:v>
                </c:pt>
                <c:pt idx="516">
                  <c:v>92.478348896147637</c:v>
                </c:pt>
                <c:pt idx="517">
                  <c:v>92.422004809660436</c:v>
                </c:pt>
                <c:pt idx="518">
                  <c:v>92.366938604090578</c:v>
                </c:pt>
                <c:pt idx="519">
                  <c:v>92.313121502109425</c:v>
                </c:pt>
                <c:pt idx="520">
                  <c:v>92.260525360773769</c:v>
                </c:pt>
                <c:pt idx="521">
                  <c:v>92.20912265845665</c:v>
                </c:pt>
                <c:pt idx="522">
                  <c:v>92.158886481984624</c:v>
                </c:pt>
                <c:pt idx="523">
                  <c:v>92.109790513983597</c:v>
                </c:pt>
                <c:pt idx="524">
                  <c:v>92.061809020433216</c:v>
                </c:pt>
                <c:pt idx="525">
                  <c:v>92.014916838431105</c:v>
                </c:pt>
                <c:pt idx="526">
                  <c:v>91.969089364166294</c:v>
                </c:pt>
                <c:pt idx="527">
                  <c:v>91.924302541101923</c:v>
                </c:pt>
                <c:pt idx="528">
                  <c:v>91.880532848366983</c:v>
                </c:pt>
                <c:pt idx="529">
                  <c:v>91.837757289355693</c:v>
                </c:pt>
                <c:pt idx="530">
                  <c:v>91.795953380534058</c:v>
                </c:pt>
                <c:pt idx="531">
                  <c:v>91.755099140452003</c:v>
                </c:pt>
                <c:pt idx="532">
                  <c:v>91.715173078960007</c:v>
                </c:pt>
                <c:pt idx="533">
                  <c:v>91.676154186628054</c:v>
                </c:pt>
                <c:pt idx="534">
                  <c:v>91.638021924365731</c:v>
                </c:pt>
                <c:pt idx="535">
                  <c:v>91.600756213241084</c:v>
                </c:pt>
                <c:pt idx="536">
                  <c:v>91.564337424496486</c:v>
                </c:pt>
                <c:pt idx="537">
                  <c:v>91.528746369759205</c:v>
                </c:pt>
                <c:pt idx="538">
                  <c:v>91.493964291444215</c:v>
                </c:pt>
                <c:pt idx="539">
                  <c:v>91.459972853347253</c:v>
                </c:pt>
                <c:pt idx="540">
                  <c:v>91.426754131425525</c:v>
                </c:pt>
                <c:pt idx="541">
                  <c:v>91.394290604763356</c:v>
                </c:pt>
              </c:numCache>
            </c:numRef>
          </c:yVal>
          <c:smooth val="1"/>
          <c:extLst>
            <c:ext xmlns:c16="http://schemas.microsoft.com/office/drawing/2014/chart" uri="{C3380CC4-5D6E-409C-BE32-E72D297353CC}">
              <c16:uniqueId val="{00000001-C95D-4273-8D1D-E8C586949522}"/>
            </c:ext>
          </c:extLst>
        </c:ser>
        <c:dLbls>
          <c:showLegendKey val="0"/>
          <c:showVal val="0"/>
          <c:showCatName val="0"/>
          <c:showSerName val="0"/>
          <c:showPercent val="0"/>
          <c:showBubbleSize val="0"/>
        </c:dLbls>
        <c:axId val="160545024"/>
        <c:axId val="160543488"/>
      </c:scatterChart>
      <c:valAx>
        <c:axId val="16053120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0533120"/>
        <c:crosses val="autoZero"/>
        <c:crossBetween val="midCat"/>
      </c:valAx>
      <c:valAx>
        <c:axId val="160533120"/>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60531200"/>
        <c:crosses val="autoZero"/>
        <c:crossBetween val="midCat"/>
        <c:majorUnit val="20"/>
        <c:minorUnit val="10"/>
      </c:valAx>
      <c:valAx>
        <c:axId val="160543488"/>
        <c:scaling>
          <c:orientation val="minMax"/>
          <c:max val="180"/>
          <c:min val="-180"/>
        </c:scaling>
        <c:delete val="0"/>
        <c:axPos val="r"/>
        <c:numFmt formatCode="General" sourceLinked="1"/>
        <c:majorTickMark val="out"/>
        <c:minorTickMark val="none"/>
        <c:tickLblPos val="nextTo"/>
        <c:crossAx val="160545024"/>
        <c:crosses val="max"/>
        <c:crossBetween val="midCat"/>
        <c:majorUnit val="90"/>
        <c:minorUnit val="45"/>
      </c:valAx>
      <c:valAx>
        <c:axId val="160545024"/>
        <c:scaling>
          <c:logBase val="10"/>
          <c:orientation val="minMax"/>
        </c:scaling>
        <c:delete val="1"/>
        <c:axPos val="b"/>
        <c:numFmt formatCode="0.00" sourceLinked="1"/>
        <c:majorTickMark val="out"/>
        <c:minorTickMark val="none"/>
        <c:tickLblPos val="nextTo"/>
        <c:crossAx val="160543488"/>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Loop_Modeling!$AT$19:$AT$560</c:f>
              <c:numCache>
                <c:formatCode>0.000</c:formatCode>
                <c:ptCount val="542"/>
                <c:pt idx="0">
                  <c:v>51.900019381843364</c:v>
                </c:pt>
                <c:pt idx="1">
                  <c:v>51.700018787141701</c:v>
                </c:pt>
                <c:pt idx="2">
                  <c:v>51.500018164427956</c:v>
                </c:pt>
                <c:pt idx="3">
                  <c:v>51.30001751238342</c:v>
                </c:pt>
                <c:pt idx="4">
                  <c:v>51.100016829627386</c:v>
                </c:pt>
                <c:pt idx="5">
                  <c:v>50.900016114714212</c:v>
                </c:pt>
                <c:pt idx="6">
                  <c:v>50.700015366130387</c:v>
                </c:pt>
                <c:pt idx="7">
                  <c:v>50.500014582291143</c:v>
                </c:pt>
                <c:pt idx="8">
                  <c:v>50.300013761537301</c:v>
                </c:pt>
                <c:pt idx="9">
                  <c:v>50.100012902131759</c:v>
                </c:pt>
                <c:pt idx="10">
                  <c:v>49.900012002255643</c:v>
                </c:pt>
                <c:pt idx="11">
                  <c:v>49.700011060004698</c:v>
                </c:pt>
                <c:pt idx="12">
                  <c:v>49.500010073385319</c:v>
                </c:pt>
                <c:pt idx="13">
                  <c:v>49.300009040310186</c:v>
                </c:pt>
                <c:pt idx="14">
                  <c:v>49.100007958593928</c:v>
                </c:pt>
                <c:pt idx="15">
                  <c:v>48.900006825948672</c:v>
                </c:pt>
                <c:pt idx="16">
                  <c:v>48.700005639979047</c:v>
                </c:pt>
                <c:pt idx="17">
                  <c:v>48.500004398177353</c:v>
                </c:pt>
                <c:pt idx="18">
                  <c:v>48.300003097918136</c:v>
                </c:pt>
                <c:pt idx="19">
                  <c:v>48.100001736452818</c:v>
                </c:pt>
                <c:pt idx="20">
                  <c:v>47.900000310903948</c:v>
                </c:pt>
                <c:pt idx="21">
                  <c:v>47.69999881825904</c:v>
                </c:pt>
                <c:pt idx="22">
                  <c:v>47.499997255364491</c:v>
                </c:pt>
                <c:pt idx="23">
                  <c:v>47.299995618918878</c:v>
                </c:pt>
                <c:pt idx="24">
                  <c:v>47.099993905465915</c:v>
                </c:pt>
                <c:pt idx="25">
                  <c:v>46.899992111387611</c:v>
                </c:pt>
                <c:pt idx="26">
                  <c:v>46.699990232896553</c:v>
                </c:pt>
                <c:pt idx="27">
                  <c:v>46.499988266027785</c:v>
                </c:pt>
                <c:pt idx="28">
                  <c:v>46.299986206631026</c:v>
                </c:pt>
                <c:pt idx="29">
                  <c:v>46.099984050361648</c:v>
                </c:pt>
                <c:pt idx="30">
                  <c:v>45.899981792671937</c:v>
                </c:pt>
                <c:pt idx="31">
                  <c:v>45.699979428801505</c:v>
                </c:pt>
                <c:pt idx="32">
                  <c:v>45.49997695376743</c:v>
                </c:pt>
                <c:pt idx="33">
                  <c:v>45.299974362354185</c:v>
                </c:pt>
                <c:pt idx="34">
                  <c:v>45.099971649102415</c:v>
                </c:pt>
                <c:pt idx="35">
                  <c:v>44.899968808298205</c:v>
                </c:pt>
                <c:pt idx="36">
                  <c:v>44.699965833960761</c:v>
                </c:pt>
                <c:pt idx="37">
                  <c:v>44.499962719830755</c:v>
                </c:pt>
                <c:pt idx="38">
                  <c:v>44.299959459356671</c:v>
                </c:pt>
                <c:pt idx="39">
                  <c:v>44.099956045682134</c:v>
                </c:pt>
                <c:pt idx="40">
                  <c:v>43.899952471631281</c:v>
                </c:pt>
                <c:pt idx="41">
                  <c:v>43.699948729694569</c:v>
                </c:pt>
                <c:pt idx="42">
                  <c:v>43.499944812012991</c:v>
                </c:pt>
                <c:pt idx="43">
                  <c:v>43.299940710362421</c:v>
                </c:pt>
                <c:pt idx="44">
                  <c:v>43.099936416136714</c:v>
                </c:pt>
                <c:pt idx="45">
                  <c:v>42.899931920330133</c:v>
                </c:pt>
                <c:pt idx="46">
                  <c:v>42.699927213519558</c:v>
                </c:pt>
                <c:pt idx="47">
                  <c:v>42.499922285844889</c:v>
                </c:pt>
                <c:pt idx="48">
                  <c:v>42.299917126989477</c:v>
                </c:pt>
                <c:pt idx="49">
                  <c:v>42.09991172615964</c:v>
                </c:pt>
                <c:pt idx="50">
                  <c:v>41.89990607206218</c:v>
                </c:pt>
                <c:pt idx="51">
                  <c:v>41.699900152882762</c:v>
                </c:pt>
                <c:pt idx="52">
                  <c:v>41.499893956261687</c:v>
                </c:pt>
                <c:pt idx="53">
                  <c:v>41.299887469269613</c:v>
                </c:pt>
                <c:pt idx="54">
                  <c:v>41.099880678381894</c:v>
                </c:pt>
                <c:pt idx="55">
                  <c:v>40.899873569451763</c:v>
                </c:pt>
                <c:pt idx="56">
                  <c:v>40.699866127682618</c:v>
                </c:pt>
                <c:pt idx="57">
                  <c:v>40.499858337598774</c:v>
                </c:pt>
                <c:pt idx="58">
                  <c:v>40.299850183015536</c:v>
                </c:pt>
                <c:pt idx="59">
                  <c:v>40.099841647007388</c:v>
                </c:pt>
                <c:pt idx="60">
                  <c:v>39.899832711875348</c:v>
                </c:pt>
                <c:pt idx="61">
                  <c:v>39.69982335911287</c:v>
                </c:pt>
                <c:pt idx="62">
                  <c:v>39.49981356937014</c:v>
                </c:pt>
                <c:pt idx="63">
                  <c:v>39.299803322417212</c:v>
                </c:pt>
                <c:pt idx="64">
                  <c:v>39.099792597105598</c:v>
                </c:pt>
                <c:pt idx="65">
                  <c:v>38.899781371327904</c:v>
                </c:pt>
                <c:pt idx="66">
                  <c:v>38.69976962197687</c:v>
                </c:pt>
                <c:pt idx="67">
                  <c:v>38.499757324901765</c:v>
                </c:pt>
                <c:pt idx="68">
                  <c:v>38.29974445486355</c:v>
                </c:pt>
                <c:pt idx="69">
                  <c:v>38.099730985488399</c:v>
                </c:pt>
                <c:pt idx="70">
                  <c:v>37.899716889219434</c:v>
                </c:pt>
                <c:pt idx="71">
                  <c:v>37.699702137266598</c:v>
                </c:pt>
                <c:pt idx="72">
                  <c:v>37.499686699554744</c:v>
                </c:pt>
                <c:pt idx="73">
                  <c:v>37.299670544669638</c:v>
                </c:pt>
                <c:pt idx="74">
                  <c:v>37.099653639802376</c:v>
                </c:pt>
                <c:pt idx="75">
                  <c:v>36.899635950691831</c:v>
                </c:pt>
                <c:pt idx="76">
                  <c:v>36.699617441564953</c:v>
                </c:pt>
                <c:pt idx="77">
                  <c:v>36.499598075074935</c:v>
                </c:pt>
                <c:pt idx="78">
                  <c:v>36.299577812237743</c:v>
                </c:pt>
                <c:pt idx="79">
                  <c:v>36.099556612366754</c:v>
                </c:pt>
                <c:pt idx="80">
                  <c:v>35.899534433004376</c:v>
                </c:pt>
                <c:pt idx="81">
                  <c:v>35.699511229852838</c:v>
                </c:pt>
                <c:pt idx="82">
                  <c:v>35.499486956702334</c:v>
                </c:pt>
                <c:pt idx="83">
                  <c:v>35.299461565357007</c:v>
                </c:pt>
                <c:pt idx="84">
                  <c:v>35.099435005559172</c:v>
                </c:pt>
                <c:pt idx="85">
                  <c:v>34.899407224911819</c:v>
                </c:pt>
                <c:pt idx="86">
                  <c:v>34.699378168798866</c:v>
                </c:pt>
                <c:pt idx="87">
                  <c:v>34.499347780303353</c:v>
                </c:pt>
                <c:pt idx="88">
                  <c:v>34.299316000124577</c:v>
                </c:pt>
                <c:pt idx="89">
                  <c:v>34.099282766492713</c:v>
                </c:pt>
                <c:pt idx="90">
                  <c:v>33.899248015082868</c:v>
                </c:pt>
                <c:pt idx="91">
                  <c:v>33.699211678926538</c:v>
                </c:pt>
                <c:pt idx="92">
                  <c:v>33.499173688322784</c:v>
                </c:pt>
                <c:pt idx="93">
                  <c:v>33.299133970747938</c:v>
                </c:pt>
                <c:pt idx="94">
                  <c:v>33.099092450764147</c:v>
                </c:pt>
                <c:pt idx="95">
                  <c:v>32.899049049927875</c:v>
                </c:pt>
                <c:pt idx="96">
                  <c:v>32.699003686697402</c:v>
                </c:pt>
                <c:pt idx="97">
                  <c:v>32.498956276341097</c:v>
                </c:pt>
                <c:pt idx="98">
                  <c:v>32.298906730844578</c:v>
                </c:pt>
                <c:pt idx="99">
                  <c:v>32.09885495882034</c:v>
                </c:pt>
                <c:pt idx="100">
                  <c:v>31.898800865416668</c:v>
                </c:pt>
                <c:pt idx="101">
                  <c:v>31.698744352229461</c:v>
                </c:pt>
                <c:pt idx="102">
                  <c:v>31.498685317215298</c:v>
                </c:pt>
                <c:pt idx="103">
                  <c:v>31.29862365460745</c:v>
                </c:pt>
                <c:pt idx="104">
                  <c:v>31.098559254835081</c:v>
                </c:pt>
                <c:pt idx="105">
                  <c:v>30.898492004446489</c:v>
                </c:pt>
                <c:pt idx="106">
                  <c:v>30.698421786036892</c:v>
                </c:pt>
                <c:pt idx="107">
                  <c:v>30.498348478181683</c:v>
                </c:pt>
                <c:pt idx="108">
                  <c:v>30.298271955376435</c:v>
                </c:pt>
                <c:pt idx="109">
                  <c:v>30.098192087983669</c:v>
                </c:pt>
                <c:pt idx="110">
                  <c:v>29.898108742188402</c:v>
                </c:pt>
                <c:pt idx="111">
                  <c:v>29.698021779963124</c:v>
                </c:pt>
                <c:pt idx="112">
                  <c:v>29.497931059043317</c:v>
                </c:pt>
                <c:pt idx="113">
                  <c:v>29.29783643291487</c:v>
                </c:pt>
                <c:pt idx="114">
                  <c:v>29.09773775081494</c:v>
                </c:pt>
                <c:pt idx="115">
                  <c:v>28.897634857747228</c:v>
                </c:pt>
                <c:pt idx="116">
                  <c:v>28.697527594513911</c:v>
                </c:pt>
                <c:pt idx="117">
                  <c:v>28.497415797765022</c:v>
                </c:pt>
                <c:pt idx="118">
                  <c:v>28.297299300067166</c:v>
                </c:pt>
                <c:pt idx="119">
                  <c:v>28.097177929994096</c:v>
                </c:pt>
                <c:pt idx="120">
                  <c:v>27.897051512239777</c:v>
                </c:pt>
                <c:pt idx="121">
                  <c:v>27.696919867756534</c:v>
                </c:pt>
                <c:pt idx="122">
                  <c:v>27.496782813920319</c:v>
                </c:pt>
                <c:pt idx="123">
                  <c:v>27.296640164724515</c:v>
                </c:pt>
                <c:pt idx="124">
                  <c:v>27.096491731004868</c:v>
                </c:pt>
                <c:pt idx="125">
                  <c:v>26.896337320697285</c:v>
                </c:pt>
                <c:pt idx="126">
                  <c:v>26.696176739130408</c:v>
                </c:pt>
                <c:pt idx="127">
                  <c:v>26.496009789355949</c:v>
                </c:pt>
                <c:pt idx="128">
                  <c:v>26.295836272517054</c:v>
                </c:pt>
                <c:pt idx="129">
                  <c:v>26.09565598825823</c:v>
                </c:pt>
                <c:pt idx="130">
                  <c:v>25.895468735178152</c:v>
                </c:pt>
                <c:pt idx="131">
                  <c:v>25.695274311326266</c:v>
                </c:pt>
                <c:pt idx="132">
                  <c:v>25.495072514746454</c:v>
                </c:pt>
                <c:pt idx="133">
                  <c:v>25.294863144067424</c:v>
                </c:pt>
                <c:pt idx="134">
                  <c:v>25.094645999141576</c:v>
                </c:pt>
                <c:pt idx="135">
                  <c:v>24.894420881734082</c:v>
                </c:pt>
                <c:pt idx="136">
                  <c:v>24.694187596260619</c:v>
                </c:pt>
                <c:pt idx="137">
                  <c:v>24.493945950576489</c:v>
                </c:pt>
                <c:pt idx="138">
                  <c:v>24.29369575681449</c:v>
                </c:pt>
                <c:pt idx="139">
                  <c:v>24.093436832272296</c:v>
                </c:pt>
                <c:pt idx="140">
                  <c:v>23.893169000347289</c:v>
                </c:pt>
                <c:pt idx="141">
                  <c:v>23.692892091517521</c:v>
                </c:pt>
                <c:pt idx="142">
                  <c:v>23.492605944365849</c:v>
                </c:pt>
                <c:pt idx="143">
                  <c:v>23.292310406643843</c:v>
                </c:pt>
                <c:pt idx="144">
                  <c:v>23.092005336372701</c:v>
                </c:pt>
                <c:pt idx="145">
                  <c:v>22.891690602974769</c:v>
                </c:pt>
                <c:pt idx="146">
                  <c:v>22.691366088432048</c:v>
                </c:pt>
                <c:pt idx="147">
                  <c:v>22.491031688463497</c:v>
                </c:pt>
                <c:pt idx="148">
                  <c:v>22.290687313715701</c:v>
                </c:pt>
                <c:pt idx="149">
                  <c:v>22.090332890958187</c:v>
                </c:pt>
                <c:pt idx="150">
                  <c:v>21.889968364273635</c:v>
                </c:pt>
                <c:pt idx="151">
                  <c:v>21.689593696235555</c:v>
                </c:pt>
                <c:pt idx="152">
                  <c:v>21.489208869061187</c:v>
                </c:pt>
                <c:pt idx="153">
                  <c:v>21.288813885728995</c:v>
                </c:pt>
                <c:pt idx="154">
                  <c:v>21.088408771050204</c:v>
                </c:pt>
                <c:pt idx="155">
                  <c:v>20.887993572679967</c:v>
                </c:pt>
                <c:pt idx="156">
                  <c:v>20.687568362057878</c:v>
                </c:pt>
                <c:pt idx="157">
                  <c:v>20.487133235263709</c:v>
                </c:pt>
                <c:pt idx="158">
                  <c:v>20.286688313774931</c:v>
                </c:pt>
                <c:pt idx="159">
                  <c:v>20.086233745114413</c:v>
                </c:pt>
                <c:pt idx="160">
                  <c:v>19.885769703374855</c:v>
                </c:pt>
                <c:pt idx="161">
                  <c:v>19.685296389607139</c:v>
                </c:pt>
                <c:pt idx="162">
                  <c:v>19.484814032062538</c:v>
                </c:pt>
                <c:pt idx="163">
                  <c:v>19.284322886276644</c:v>
                </c:pt>
                <c:pt idx="164">
                  <c:v>19.083823234986141</c:v>
                </c:pt>
                <c:pt idx="165">
                  <c:v>18.883315387870212</c:v>
                </c:pt>
                <c:pt idx="166">
                  <c:v>18.682799681109682</c:v>
                </c:pt>
                <c:pt idx="167">
                  <c:v>18.482276476758713</c:v>
                </c:pt>
                <c:pt idx="168">
                  <c:v>18.281746161926669</c:v>
                </c:pt>
                <c:pt idx="169">
                  <c:v>18.081209147768163</c:v>
                </c:pt>
                <c:pt idx="170">
                  <c:v>17.880665868283568</c:v>
                </c:pt>
                <c:pt idx="171">
                  <c:v>17.680116778932508</c:v>
                </c:pt>
                <c:pt idx="172">
                  <c:v>17.479562355066715</c:v>
                </c:pt>
                <c:pt idx="173">
                  <c:v>17.279003090190091</c:v>
                </c:pt>
                <c:pt idx="174">
                  <c:v>17.078439494056845</c:v>
                </c:pt>
                <c:pt idx="175">
                  <c:v>16.877872090619409</c:v>
                </c:pt>
                <c:pt idx="176">
                  <c:v>16.677301415841999</c:v>
                </c:pt>
                <c:pt idx="177">
                  <c:v>16.476728015395913</c:v>
                </c:pt>
                <c:pt idx="178">
                  <c:v>16.276152442254762</c:v>
                </c:pt>
                <c:pt idx="179">
                  <c:v>16.075575254209898</c:v>
                </c:pt>
                <c:pt idx="180">
                  <c:v>15.874997011326483</c:v>
                </c:pt>
                <c:pt idx="181">
                  <c:v>15.674418273362644</c:v>
                </c:pt>
                <c:pt idx="182">
                  <c:v>15.473839597173511</c:v>
                </c:pt>
                <c:pt idx="183">
                  <c:v>15.273261534122618</c:v>
                </c:pt>
                <c:pt idx="184">
                  <c:v>15.072684627523669</c:v>
                </c:pt>
                <c:pt idx="185">
                  <c:v>14.87210941013381</c:v>
                </c:pt>
                <c:pt idx="186">
                  <c:v>14.671536401719514</c:v>
                </c:pt>
                <c:pt idx="187">
                  <c:v>14.470966106714499</c:v>
                </c:pt>
                <c:pt idx="188">
                  <c:v>14.270399011989364</c:v>
                </c:pt>
                <c:pt idx="189">
                  <c:v>14.069835584747361</c:v>
                </c:pt>
                <c:pt idx="190">
                  <c:v>13.869276270563685</c:v>
                </c:pt>
                <c:pt idx="191">
                  <c:v>13.668721491577433</c:v>
                </c:pt>
                <c:pt idx="192">
                  <c:v>13.468171644850234</c:v>
                </c:pt>
                <c:pt idx="193">
                  <c:v>13.267627100896961</c:v>
                </c:pt>
                <c:pt idx="194">
                  <c:v>13.067088202395489</c:v>
                </c:pt>
                <c:pt idx="195">
                  <c:v>12.866555263077844</c:v>
                </c:pt>
                <c:pt idx="196">
                  <c:v>12.666028566805096</c:v>
                </c:pt>
                <c:pt idx="197">
                  <c:v>12.465508366823668</c:v>
                </c:pt>
                <c:pt idx="198">
                  <c:v>12.264994885200142</c:v>
                </c:pt>
                <c:pt idx="199">
                  <c:v>12.064488312430186</c:v>
                </c:pt>
                <c:pt idx="200">
                  <c:v>11.863988807212376</c:v>
                </c:pt>
                <c:pt idx="201">
                  <c:v>11.663496496382013</c:v>
                </c:pt>
                <c:pt idx="202">
                  <c:v>11.463011474991088</c:v>
                </c:pt>
                <c:pt idx="203">
                  <c:v>11.262533806526536</c:v>
                </c:pt>
                <c:pt idx="204">
                  <c:v>11.062063523253233</c:v>
                </c:pt>
                <c:pt idx="205">
                  <c:v>10.861600626669503</c:v>
                </c:pt>
                <c:pt idx="206">
                  <c:v>10.66114508806227</c:v>
                </c:pt>
                <c:pt idx="207">
                  <c:v>10.460696849148297</c:v>
                </c:pt>
                <c:pt idx="208">
                  <c:v>10.260255822788229</c:v>
                </c:pt>
                <c:pt idx="209">
                  <c:v>10.059821893759899</c:v>
                </c:pt>
                <c:pt idx="210">
                  <c:v>9.8593949195775537</c:v>
                </c:pt>
                <c:pt idx="211">
                  <c:v>9.6589747313454524</c:v>
                </c:pt>
                <c:pt idx="212">
                  <c:v>9.4585611346315659</c:v>
                </c:pt>
                <c:pt idx="213">
                  <c:v>9.2581539103520534</c:v>
                </c:pt>
                <c:pt idx="214">
                  <c:v>9.0577528156532132</c:v>
                </c:pt>
                <c:pt idx="215">
                  <c:v>8.8573575847824131</c:v>
                </c:pt>
                <c:pt idx="216">
                  <c:v>8.656967929938201</c:v>
                </c:pt>
                <c:pt idx="217">
                  <c:v>8.4565835420899234</c:v>
                </c:pt>
                <c:pt idx="218">
                  <c:v>8.2562040917597166</c:v>
                </c:pt>
                <c:pt idx="219">
                  <c:v>8.0558292297598335</c:v>
                </c:pt>
                <c:pt idx="220">
                  <c:v>7.8554585878793795</c:v>
                </c:pt>
                <c:pt idx="221">
                  <c:v>7.6550917795134126</c:v>
                </c:pt>
                <c:pt idx="222">
                  <c:v>7.4547284002309109</c:v>
                </c:pt>
                <c:pt idx="223">
                  <c:v>7.2543680282776144</c:v>
                </c:pt>
                <c:pt idx="224">
                  <c:v>7.0540102250087235</c:v>
                </c:pt>
                <c:pt idx="225">
                  <c:v>6.8536545352507741</c:v>
                </c:pt>
                <c:pt idx="226">
                  <c:v>6.6533004875879964</c:v>
                </c:pt>
                <c:pt idx="227">
                  <c:v>6.4529475945725521</c:v>
                </c:pt>
                <c:pt idx="228">
                  <c:v>6.2525953528577274</c:v>
                </c:pt>
                <c:pt idx="229">
                  <c:v>6.0522432432512208</c:v>
                </c:pt>
                <c:pt idx="230">
                  <c:v>5.8518907306893784</c:v>
                </c:pt>
                <c:pt idx="231">
                  <c:v>5.6515372641309858</c:v>
                </c:pt>
                <c:pt idx="232">
                  <c:v>5.4511822763707753</c:v>
                </c:pt>
                <c:pt idx="233">
                  <c:v>5.2508251837718936</c:v>
                </c:pt>
                <c:pt idx="234">
                  <c:v>5.0504653859185282</c:v>
                </c:pt>
                <c:pt idx="235">
                  <c:v>4.8501022651877062</c:v>
                </c:pt>
                <c:pt idx="236">
                  <c:v>4.6497351862403731</c:v>
                </c:pt>
                <c:pt idx="237">
                  <c:v>4.449363495433194</c:v>
                </c:pt>
                <c:pt idx="238">
                  <c:v>4.2489865201499493</c:v>
                </c:pt>
                <c:pt idx="239">
                  <c:v>4.0486035680533607</c:v>
                </c:pt>
                <c:pt idx="240">
                  <c:v>3.8482139262564448</c:v>
                </c:pt>
                <c:pt idx="241">
                  <c:v>3.6478168604158459</c:v>
                </c:pt>
                <c:pt idx="242">
                  <c:v>3.4474116137430419</c:v>
                </c:pt>
                <c:pt idx="243">
                  <c:v>3.2469974059374977</c:v>
                </c:pt>
                <c:pt idx="244">
                  <c:v>3.0465734320379361</c:v>
                </c:pt>
                <c:pt idx="245">
                  <c:v>2.8461388611929062</c:v>
                </c:pt>
                <c:pt idx="246">
                  <c:v>2.645692835350272</c:v>
                </c:pt>
                <c:pt idx="247">
                  <c:v>2.4452344678628584</c:v>
                </c:pt>
                <c:pt idx="248">
                  <c:v>2.2447628420117107</c:v>
                </c:pt>
                <c:pt idx="249">
                  <c:v>2.0442770094428773</c:v>
                </c:pt>
                <c:pt idx="250">
                  <c:v>1.843775988519585</c:v>
                </c:pt>
                <c:pt idx="251">
                  <c:v>1.6432587625843067</c:v>
                </c:pt>
                <c:pt idx="252">
                  <c:v>1.4427242781334695</c:v>
                </c:pt>
                <c:pt idx="253">
                  <c:v>1.2421714428976913</c:v>
                </c:pt>
                <c:pt idx="254">
                  <c:v>1.0415991238289761</c:v>
                </c:pt>
                <c:pt idx="255">
                  <c:v>0.84100614499208315</c:v>
                </c:pt>
                <c:pt idx="256">
                  <c:v>0.64039128535491674</c:v>
                </c:pt>
                <c:pt idx="257">
                  <c:v>0.43975327647791795</c:v>
                </c:pt>
                <c:pt idx="258">
                  <c:v>0.23909080009779607</c:v>
                </c:pt>
                <c:pt idx="259">
                  <c:v>3.840248560277186E-2</c:v>
                </c:pt>
                <c:pt idx="260">
                  <c:v>-0.16231309260450119</c:v>
                </c:pt>
                <c:pt idx="261">
                  <c:v>-0.36305741785916418</c:v>
                </c:pt>
                <c:pt idx="262">
                  <c:v>-0.56383203410654315</c:v>
                </c:pt>
                <c:pt idx="263">
                  <c:v>-0.76463854889787175</c:v>
                </c:pt>
                <c:pt idx="264">
                  <c:v>-0.96547863651444099</c:v>
                </c:pt>
                <c:pt idx="265">
                  <c:v>-1.1663540412234983</c:v>
                </c:pt>
                <c:pt idx="266">
                  <c:v>-1.3672665806719984</c:v>
                </c:pt>
                <c:pt idx="267">
                  <c:v>-1.5682181494218426</c:v>
                </c:pt>
                <c:pt idx="268">
                  <c:v>-1.7692107226321885</c:v>
                </c:pt>
                <c:pt idx="269">
                  <c:v>-1.9702463598940587</c:v>
                </c:pt>
                <c:pt idx="270">
                  <c:v>-2.1713272092217908</c:v>
                </c:pt>
                <c:pt idx="271">
                  <c:v>-2.3724555112084826</c:v>
                </c:pt>
                <c:pt idx="272">
                  <c:v>-2.5736336033489278</c:v>
                </c:pt>
                <c:pt idx="273">
                  <c:v>-2.7748639245376645</c:v>
                </c:pt>
                <c:pt idx="274">
                  <c:v>-2.9761490197466838</c:v>
                </c:pt>
                <c:pt idx="275">
                  <c:v>-3.1774915448898011</c:v>
                </c:pt>
                <c:pt idx="276">
                  <c:v>-3.3788942718790276</c:v>
                </c:pt>
                <c:pt idx="277">
                  <c:v>-3.5803600938790279</c:v>
                </c:pt>
                <c:pt idx="278">
                  <c:v>-3.7818920307666808</c:v>
                </c:pt>
                <c:pt idx="279">
                  <c:v>-3.9834932348014402</c:v>
                </c:pt>
                <c:pt idx="280">
                  <c:v>-4.1851669965118869</c:v>
                </c:pt>
                <c:pt idx="281">
                  <c:v>-4.3869167508063418</c:v>
                </c:pt>
                <c:pt idx="282">
                  <c:v>-4.5887460833121514</c:v>
                </c:pt>
                <c:pt idx="283">
                  <c:v>-4.7906587369506051</c:v>
                </c:pt>
                <c:pt idx="284">
                  <c:v>-4.9926586187531043</c:v>
                </c:pt>
                <c:pt idx="285">
                  <c:v>-5.1947498069232312</c:v>
                </c:pt>
                <c:pt idx="286">
                  <c:v>-5.3969365581530067</c:v>
                </c:pt>
                <c:pt idx="287">
                  <c:v>-5.5992233151951885</c:v>
                </c:pt>
                <c:pt idx="288">
                  <c:v>-5.8016147146984061</c:v>
                </c:pt>
                <c:pt idx="289">
                  <c:v>-6.0041155953090151</c:v>
                </c:pt>
                <c:pt idx="290">
                  <c:v>-6.2067310060448522</c:v>
                </c:pt>
                <c:pt idx="291">
                  <c:v>-6.4094662149416406</c:v>
                </c:pt>
                <c:pt idx="292">
                  <c:v>-6.61232671797781</c:v>
                </c:pt>
                <c:pt idx="293">
                  <c:v>-6.8153182482775767</c:v>
                </c:pt>
                <c:pt idx="294">
                  <c:v>-7.01844678559541</c:v>
                </c:pt>
                <c:pt idx="295">
                  <c:v>-7.2217185660797423</c:v>
                </c:pt>
                <c:pt idx="296">
                  <c:v>-7.4251400923185695</c:v>
                </c:pt>
                <c:pt idx="297">
                  <c:v>-7.6287181436610449</c:v>
                </c:pt>
                <c:pt idx="298">
                  <c:v>-7.8324597868154688</c:v>
                </c:pt>
                <c:pt idx="299">
                  <c:v>-8.0363723867164101</c:v>
                </c:pt>
                <c:pt idx="300">
                  <c:v>-8.2404636176560704</c:v>
                </c:pt>
                <c:pt idx="301">
                  <c:v>-8.444741474670618</c:v>
                </c:pt>
                <c:pt idx="302">
                  <c:v>-8.6492142851730023</c:v>
                </c:pt>
                <c:pt idx="303">
                  <c:v>-8.8538907208183435</c:v>
                </c:pt>
                <c:pt idx="304">
                  <c:v>-9.0587798095877918</c:v>
                </c:pt>
                <c:pt idx="305">
                  <c:v>-9.2638909480742466</c:v>
                </c:pt>
                <c:pt idx="306">
                  <c:v>-9.4692339139493562</c:v>
                </c:pt>
                <c:pt idx="307">
                  <c:v>-9.674818878588038</c:v>
                </c:pt>
                <c:pt idx="308">
                  <c:v>-9.8806564198260727</c:v>
                </c:pt>
                <c:pt idx="309">
                  <c:v>-10.086757534818441</c:v>
                </c:pt>
                <c:pt idx="310">
                  <c:v>-10.293133652966231</c:v>
                </c:pt>
                <c:pt idx="311">
                  <c:v>-10.499796648873351</c:v>
                </c:pt>
                <c:pt idx="312">
                  <c:v>-10.706758855291273</c:v>
                </c:pt>
                <c:pt idx="313">
                  <c:v>-10.914033076004195</c:v>
                </c:pt>
                <c:pt idx="314">
                  <c:v>-11.121632598603021</c:v>
                </c:pt>
                <c:pt idx="315">
                  <c:v>-11.329571207089932</c:v>
                </c:pt>
                <c:pt idx="316">
                  <c:v>-11.537863194252306</c:v>
                </c:pt>
                <c:pt idx="317">
                  <c:v>-11.746523373734819</c:v>
                </c:pt>
                <c:pt idx="318">
                  <c:v>-11.955567091737041</c:v>
                </c:pt>
                <c:pt idx="319">
                  <c:v>-12.165010238252517</c:v>
                </c:pt>
                <c:pt idx="320">
                  <c:v>-12.374869257764264</c:v>
                </c:pt>
                <c:pt idx="321">
                  <c:v>-12.585161159298398</c:v>
                </c:pt>
                <c:pt idx="322">
                  <c:v>-12.795903525736417</c:v>
                </c:pt>
                <c:pt idx="323">
                  <c:v>-13.007114522274424</c:v>
                </c:pt>
                <c:pt idx="324">
                  <c:v>-13.218812903914923</c:v>
                </c:pt>
                <c:pt idx="325">
                  <c:v>-13.431018021864944</c:v>
                </c:pt>
                <c:pt idx="326">
                  <c:v>-13.643749828710167</c:v>
                </c:pt>
                <c:pt idx="327">
                  <c:v>-13.857028882226221</c:v>
                </c:pt>
                <c:pt idx="328">
                  <c:v>-14.070876347680507</c:v>
                </c:pt>
                <c:pt idx="329">
                  <c:v>-14.285313998474184</c:v>
                </c:pt>
                <c:pt idx="330">
                  <c:v>-14.500364214961918</c:v>
                </c:pt>
                <c:pt idx="331">
                  <c:v>-14.716049981288341</c:v>
                </c:pt>
                <c:pt idx="332">
                  <c:v>-14.93239488006906</c:v>
                </c:pt>
                <c:pt idx="333">
                  <c:v>-15.14942308474367</c:v>
                </c:pt>
                <c:pt idx="334">
                  <c:v>-15.367159349421888</c:v>
                </c:pt>
                <c:pt idx="335">
                  <c:v>-15.585628996045651</c:v>
                </c:pt>
                <c:pt idx="336">
                  <c:v>-15.804857898685267</c:v>
                </c:pt>
                <c:pt idx="337">
                  <c:v>-16.024872464792036</c:v>
                </c:pt>
                <c:pt idx="338">
                  <c:v>-16.24569961323051</c:v>
                </c:pt>
                <c:pt idx="339">
                  <c:v>-16.467366748920185</c:v>
                </c:pt>
                <c:pt idx="340">
                  <c:v>-16.689901733920561</c:v>
                </c:pt>
                <c:pt idx="341">
                  <c:v>-16.913332854807841</c:v>
                </c:pt>
                <c:pt idx="342">
                  <c:v>-17.137688786199764</c:v>
                </c:pt>
                <c:pt idx="343">
                  <c:v>-17.362998550301974</c:v>
                </c:pt>
                <c:pt idx="344">
                  <c:v>-17.589291472370071</c:v>
                </c:pt>
                <c:pt idx="345">
                  <c:v>-17.816597131999778</c:v>
                </c:pt>
                <c:pt idx="346">
                  <c:v>-18.04494531018711</c:v>
                </c:pt>
                <c:pt idx="347">
                  <c:v>-18.274365932127491</c:v>
                </c:pt>
                <c:pt idx="348">
                  <c:v>-18.504889005757434</c:v>
                </c:pt>
                <c:pt idx="349">
                  <c:v>-18.736544556079849</c:v>
                </c:pt>
                <c:pt idx="350">
                  <c:v>-18.969362555354586</c:v>
                </c:pt>
                <c:pt idx="351">
                  <c:v>-19.203372849283234</c:v>
                </c:pt>
                <c:pt idx="352">
                  <c:v>-19.438605079363413</c:v>
                </c:pt>
                <c:pt idx="353">
                  <c:v>-19.675088601645484</c:v>
                </c:pt>
                <c:pt idx="354">
                  <c:v>-19.912852402176274</c:v>
                </c:pt>
                <c:pt idx="355">
                  <c:v>-20.151925009479008</c:v>
                </c:pt>
                <c:pt idx="356">
                  <c:v>-20.392334404477616</c:v>
                </c:pt>
                <c:pt idx="357">
                  <c:v>-20.634107928341873</c:v>
                </c:pt>
                <c:pt idx="358">
                  <c:v>-20.877272188793654</c:v>
                </c:pt>
                <c:pt idx="359">
                  <c:v>-21.121852965485392</c:v>
                </c:pt>
                <c:pt idx="360">
                  <c:v>-21.36787511512782</c:v>
                </c:pt>
                <c:pt idx="361">
                  <c:v>-21.615362477112846</c:v>
                </c:pt>
                <c:pt idx="362">
                  <c:v>-21.864337780444494</c:v>
                </c:pt>
                <c:pt idx="363">
                  <c:v>-22.114822552852743</c:v>
                </c:pt>
                <c:pt idx="364">
                  <c:v>-22.36683703302775</c:v>
                </c:pt>
                <c:pt idx="365">
                  <c:v>-22.620400086966796</c:v>
                </c:pt>
                <c:pt idx="366">
                  <c:v>-22.875529129477783</c:v>
                </c:pt>
                <c:pt idx="367">
                  <c:v>-23.13224005192572</c:v>
                </c:pt>
                <c:pt idx="368">
                  <c:v>-23.390547157346838</c:v>
                </c:pt>
                <c:pt idx="369">
                  <c:v>-23.650463104080892</c:v>
                </c:pt>
                <c:pt idx="370">
                  <c:v>-23.911998859091206</c:v>
                </c:pt>
                <c:pt idx="371">
                  <c:v>-24.175163662149188</c:v>
                </c:pt>
                <c:pt idx="372">
                  <c:v>-24.439965002056137</c:v>
                </c:pt>
                <c:pt idx="373">
                  <c:v>-24.706408606059163</c:v>
                </c:pt>
                <c:pt idx="374">
                  <c:v>-24.974498443589543</c:v>
                </c:pt>
                <c:pt idx="375">
                  <c:v>-25.244236745409637</c:v>
                </c:pt>
                <c:pt idx="376">
                  <c:v>-25.515624039199906</c:v>
                </c:pt>
                <c:pt idx="377">
                  <c:v>-25.788659202547898</c:v>
                </c:pt>
                <c:pt idx="378">
                  <c:v>-26.06333953421704</c:v>
                </c:pt>
                <c:pt idx="379">
                  <c:v>-26.339660844478502</c:v>
                </c:pt>
                <c:pt idx="380">
                  <c:v>-26.617617565174424</c:v>
                </c:pt>
                <c:pt idx="381">
                  <c:v>-26.897202880058448</c:v>
                </c:pt>
                <c:pt idx="382">
                  <c:v>-27.17840887581773</c:v>
                </c:pt>
                <c:pt idx="383">
                  <c:v>-27.461226714029028</c:v>
                </c:pt>
                <c:pt idx="384">
                  <c:v>-27.745646824131335</c:v>
                </c:pt>
                <c:pt idx="385">
                  <c:v>-28.031659117317361</c:v>
                </c:pt>
                <c:pt idx="386">
                  <c:v>-28.319253221049919</c:v>
                </c:pt>
                <c:pt idx="387">
                  <c:v>-28.60841873369802</c:v>
                </c:pt>
                <c:pt idx="388">
                  <c:v>-28.899145498559591</c:v>
                </c:pt>
                <c:pt idx="389">
                  <c:v>-29.191423896302506</c:v>
                </c:pt>
                <c:pt idx="390">
                  <c:v>-29.485245154589542</c:v>
                </c:pt>
                <c:pt idx="391">
                  <c:v>-29.780601673389079</c:v>
                </c:pt>
                <c:pt idx="392">
                  <c:v>-30.077487364173152</c:v>
                </c:pt>
                <c:pt idx="393">
                  <c:v>-30.375898000902101</c:v>
                </c:pt>
                <c:pt idx="394">
                  <c:v>-30.675831580367149</c:v>
                </c:pt>
                <c:pt idx="395">
                  <c:v>-30.977288689116008</c:v>
                </c:pt>
                <c:pt idx="396">
                  <c:v>-31.280272873826252</c:v>
                </c:pt>
                <c:pt idx="397">
                  <c:v>-31.584791011614183</c:v>
                </c:pt>
                <c:pt idx="398">
                  <c:v>-31.890853676371091</c:v>
                </c:pt>
                <c:pt idx="399">
                  <c:v>-32.198475496817863</c:v>
                </c:pt>
                <c:pt idx="400">
                  <c:v>-32.507675501556186</c:v>
                </c:pt>
                <c:pt idx="401">
                  <c:v>-32.81847744598295</c:v>
                </c:pt>
                <c:pt idx="402">
                  <c:v>-33.130910115530845</c:v>
                </c:pt>
                <c:pt idx="403">
                  <c:v>-33.445007599304752</c:v>
                </c:pt>
                <c:pt idx="404">
                  <c:v>-33.760809527830936</c:v>
                </c:pt>
                <c:pt idx="405">
                  <c:v>-34.078361268312996</c:v>
                </c:pt>
                <c:pt idx="406">
                  <c:v>-34.397714070538797</c:v>
                </c:pt>
                <c:pt idx="407">
                  <c:v>-34.718925156405525</c:v>
                </c:pt>
                <c:pt idx="408">
                  <c:v>-35.042057745960975</c:v>
                </c:pt>
                <c:pt idx="409">
                  <c:v>-35.36718101291752</c:v>
                </c:pt>
                <c:pt idx="410">
                  <c:v>-35.694369962802199</c:v>
                </c:pt>
                <c:pt idx="411">
                  <c:v>-36.023705227303317</c:v>
                </c:pt>
                <c:pt idx="412">
                  <c:v>-36.355272768966742</c:v>
                </c:pt>
                <c:pt idx="413">
                  <c:v>-36.68916349122501</c:v>
                </c:pt>
                <c:pt idx="414">
                  <c:v>-37.025472749817929</c:v>
                </c:pt>
                <c:pt idx="415">
                  <c:v>-37.364299763008056</c:v>
                </c:pt>
                <c:pt idx="416">
                  <c:v>-37.705746919604032</c:v>
                </c:pt>
                <c:pt idx="417">
                  <c:v>-38.049918985687043</c:v>
                </c:pt>
                <c:pt idx="418">
                  <c:v>-38.396922213064066</c:v>
                </c:pt>
                <c:pt idx="419">
                  <c:v>-38.746863354820633</c:v>
                </c:pt>
                <c:pt idx="420">
                  <c:v>-39.099848595868558</c:v>
                </c:pt>
                <c:pt idx="421">
                  <c:v>-39.455982409017345</c:v>
                </c:pt>
                <c:pt idx="422">
                  <c:v>-39.81536634975032</c:v>
                </c:pt>
                <c:pt idx="423">
                  <c:v>-40.178097805495881</c:v>
                </c:pt>
                <c:pt idx="424">
                  <c:v>-40.544268717595926</c:v>
                </c:pt>
                <c:pt idx="425">
                  <c:v>-40.913964296322973</c:v>
                </c:pt>
                <c:pt idx="426">
                  <c:v>-41.287261751031323</c:v>
                </c:pt>
                <c:pt idx="427">
                  <c:v>-41.664229058758664</c:v>
                </c:pt>
                <c:pt idx="428">
                  <c:v>-42.044923795205527</c:v>
                </c:pt>
                <c:pt idx="429">
                  <c:v>-42.429392051951858</c:v>
                </c:pt>
                <c:pt idx="430">
                  <c:v>-42.817667462942438</c:v>
                </c:pt>
                <c:pt idx="431">
                  <c:v>-43.209770361697053</c:v>
                </c:pt>
                <c:pt idx="432">
                  <c:v>-43.605707088365548</c:v>
                </c:pt>
                <c:pt idx="433">
                  <c:v>-44.005469462728534</c:v>
                </c:pt>
                <c:pt idx="434">
                  <c:v>-44.409034435620043</c:v>
                </c:pt>
                <c:pt idx="435">
                  <c:v>-44.816363927157553</c:v>
                </c:pt>
                <c:pt idx="436">
                  <c:v>-45.227404855753299</c:v>
                </c:pt>
                <c:pt idx="437">
                  <c:v>-45.642089357326931</c:v>
                </c:pt>
                <c:pt idx="438">
                  <c:v>-46.060335189626883</c:v>
                </c:pt>
                <c:pt idx="439">
                  <c:v>-46.482046312264494</c:v>
                </c:pt>
                <c:pt idx="440">
                  <c:v>-46.907113629156754</c:v>
                </c:pt>
                <c:pt idx="441">
                  <c:v>-47.335415876678546</c:v>
                </c:pt>
                <c:pt idx="442">
                  <c:v>-47.766820638074137</c:v>
                </c:pt>
                <c:pt idx="443">
                  <c:v>-48.201185462637753</c:v>
                </c:pt>
                <c:pt idx="444">
                  <c:v>-48.638359066880227</c:v>
                </c:pt>
                <c:pt idx="445">
                  <c:v>-49.07818259435566</c:v>
                </c:pt>
                <c:pt idx="446">
                  <c:v>-49.520490910990958</c:v>
                </c:pt>
                <c:pt idx="447">
                  <c:v>-49.965113913577703</c:v>
                </c:pt>
                <c:pt idx="448">
                  <c:v>-50.411877830459026</c:v>
                </c:pt>
                <c:pt idx="449">
                  <c:v>-50.860606495275498</c:v>
                </c:pt>
                <c:pt idx="450">
                  <c:v>-51.311122576799931</c:v>
                </c:pt>
                <c:pt idx="451">
                  <c:v>-51.763248750295475</c:v>
                </c:pt>
                <c:pt idx="452">
                  <c:v>-52.21680879834436</c:v>
                </c:pt>
                <c:pt idx="453">
                  <c:v>-52.671628631637589</c:v>
                </c:pt>
                <c:pt idx="454">
                  <c:v>-53.12753722268674</c:v>
                </c:pt>
                <c:pt idx="455">
                  <c:v>-53.58436744776278</c:v>
                </c:pt>
                <c:pt idx="456">
                  <c:v>-54.041956834512675</c:v>
                </c:pt>
                <c:pt idx="457">
                  <c:v>-54.500148214636191</c:v>
                </c:pt>
                <c:pt idx="458">
                  <c:v>-54.958790282674627</c:v>
                </c:pt>
                <c:pt idx="459">
                  <c:v>-55.417738063387944</c:v>
                </c:pt>
                <c:pt idx="460">
                  <c:v>-55.876853291351026</c:v>
                </c:pt>
                <c:pt idx="461">
                  <c:v>-56.336004707321891</c:v>
                </c:pt>
                <c:pt idx="462">
                  <c:v>-56.795068276614629</c:v>
                </c:pt>
                <c:pt idx="463">
                  <c:v>-57.25392733519071</c:v>
                </c:pt>
                <c:pt idx="464">
                  <c:v>-57.712472669477812</c:v>
                </c:pt>
                <c:pt idx="465">
                  <c:v>-58.17060253605873</c:v>
                </c:pt>
                <c:pt idx="466">
                  <c:v>-58.62822262738451</c:v>
                </c:pt>
                <c:pt idx="467">
                  <c:v>-59.08524598955313</c:v>
                </c:pt>
                <c:pt idx="468">
                  <c:v>-59.541592898013604</c:v>
                </c:pt>
                <c:pt idx="469">
                  <c:v>-59.997190696796771</c:v>
                </c:pt>
                <c:pt idx="470">
                  <c:v>-60.451973606568842</c:v>
                </c:pt>
                <c:pt idx="471">
                  <c:v>-60.9058825064742</c:v>
                </c:pt>
                <c:pt idx="472">
                  <c:v>-61.358864694370475</c:v>
                </c:pt>
                <c:pt idx="473">
                  <c:v>-61.810873629703948</c:v>
                </c:pt>
                <c:pt idx="474">
                  <c:v>-62.261868662898372</c:v>
                </c:pt>
                <c:pt idx="475">
                  <c:v>-62.71181475477907</c:v>
                </c:pt>
                <c:pt idx="476">
                  <c:v>-63.160682189200834</c:v>
                </c:pt>
                <c:pt idx="477">
                  <c:v>-63.608446281715089</c:v>
                </c:pt>
                <c:pt idx="478">
                  <c:v>-64.055087086797442</c:v>
                </c:pt>
                <c:pt idx="479">
                  <c:v>-64.500589105854345</c:v>
                </c:pt>
                <c:pt idx="480">
                  <c:v>-64.944940997952457</c:v>
                </c:pt>
                <c:pt idx="481">
                  <c:v>-65.388135294952562</c:v>
                </c:pt>
                <c:pt idx="482">
                  <c:v>-65.830168122493163</c:v>
                </c:pt>
                <c:pt idx="483">
                  <c:v>-66.271038928046437</c:v>
                </c:pt>
                <c:pt idx="484">
                  <c:v>-66.710750217070213</c:v>
                </c:pt>
                <c:pt idx="485">
                  <c:v>-67.149307298093461</c:v>
                </c:pt>
                <c:pt idx="486">
                  <c:v>-67.58671803740917</c:v>
                </c:pt>
                <c:pt idx="487">
                  <c:v>-68.022992623896997</c:v>
                </c:pt>
                <c:pt idx="488">
                  <c:v>-68.458143344359542</c:v>
                </c:pt>
                <c:pt idx="489">
                  <c:v>-68.892184369642649</c:v>
                </c:pt>
                <c:pt idx="490">
                  <c:v>-69.32513155169184</c:v>
                </c:pt>
                <c:pt idx="491">
                  <c:v>-69.757002231611324</c:v>
                </c:pt>
                <c:pt idx="492">
                  <c:v>-70.187815058700068</c:v>
                </c:pt>
                <c:pt idx="493">
                  <c:v>-70.617589820370625</c:v>
                </c:pt>
                <c:pt idx="494">
                  <c:v>-71.046347282790791</c:v>
                </c:pt>
                <c:pt idx="495">
                  <c:v>-71.474109042033888</c:v>
                </c:pt>
                <c:pt idx="496">
                  <c:v>-71.900897385476114</c:v>
                </c:pt>
                <c:pt idx="497">
                  <c:v>-72.326735163141237</c:v>
                </c:pt>
                <c:pt idx="498">
                  <c:v>-72.751645668664878</c:v>
                </c:pt>
                <c:pt idx="499">
                  <c:v>-73.175652529515091</c:v>
                </c:pt>
                <c:pt idx="500">
                  <c:v>-73.598779606100337</c:v>
                </c:pt>
                <c:pt idx="501">
                  <c:v>-74.021050899366941</c:v>
                </c:pt>
                <c:pt idx="502">
                  <c:v>-74.442490466491734</c:v>
                </c:pt>
                <c:pt idx="503">
                  <c:v>-74.863122344258372</c:v>
                </c:pt>
                <c:pt idx="504">
                  <c:v>-75.282970479711395</c:v>
                </c:pt>
                <c:pt idx="505">
                  <c:v>-75.702058667680404</c:v>
                </c:pt>
                <c:pt idx="506">
                  <c:v>-76.120410494770439</c:v>
                </c:pt>
                <c:pt idx="507">
                  <c:v>-76.538049289422148</c:v>
                </c:pt>
                <c:pt idx="508">
                  <c:v>-76.954998077652562</c:v>
                </c:pt>
                <c:pt idx="509">
                  <c:v>-77.371279544099352</c:v>
                </c:pt>
                <c:pt idx="510">
                  <c:v>-77.786915998000538</c:v>
                </c:pt>
                <c:pt idx="511">
                  <c:v>-78.201929343756476</c:v>
                </c:pt>
                <c:pt idx="512">
                  <c:v>-78.616341055733542</c:v>
                </c:pt>
                <c:pt idx="513">
                  <c:v>-79.030172156984491</c:v>
                </c:pt>
                <c:pt idx="514">
                  <c:v>-79.443443201572094</c:v>
                </c:pt>
                <c:pt idx="515">
                  <c:v>-79.856174260203247</c:v>
                </c:pt>
                <c:pt idx="516">
                  <c:v>-80.268384908889971</c:v>
                </c:pt>
                <c:pt idx="517">
                  <c:v>-80.680094220373689</c:v>
                </c:pt>
                <c:pt idx="518">
                  <c:v>-81.091320758061698</c:v>
                </c:pt>
                <c:pt idx="519">
                  <c:v>-81.502082572239715</c:v>
                </c:pt>
                <c:pt idx="520">
                  <c:v>-81.912397198342589</c:v>
                </c:pt>
                <c:pt idx="521">
                  <c:v>-82.322281657072253</c:v>
                </c:pt>
                <c:pt idx="522">
                  <c:v>-82.731752456174391</c:v>
                </c:pt>
                <c:pt idx="523">
                  <c:v>-83.140825593691147</c:v>
                </c:pt>
                <c:pt idx="524">
                  <c:v>-83.549516562526819</c:v>
                </c:pt>
                <c:pt idx="525">
                  <c:v>-83.957840356168205</c:v>
                </c:pt>
                <c:pt idx="526">
                  <c:v>-84.365811475420728</c:v>
                </c:pt>
                <c:pt idx="527">
                  <c:v>-84.773443936026155</c:v>
                </c:pt>
                <c:pt idx="528">
                  <c:v>-85.180751277042134</c:v>
                </c:pt>
                <c:pt idx="529">
                  <c:v>-85.587746569874227</c:v>
                </c:pt>
                <c:pt idx="530">
                  <c:v>-85.994442427855304</c:v>
                </c:pt>
                <c:pt idx="531">
                  <c:v>-86.400851016282729</c:v>
                </c:pt>
                <c:pt idx="532">
                  <c:v>-86.806984062828093</c:v>
                </c:pt>
                <c:pt idx="533">
                  <c:v>-87.212852868242237</c:v>
                </c:pt>
                <c:pt idx="534">
                  <c:v>-87.618468317287636</c:v>
                </c:pt>
                <c:pt idx="535">
                  <c:v>-88.023840889833508</c:v>
                </c:pt>
                <c:pt idx="536">
                  <c:v>-88.428980672058714</c:v>
                </c:pt>
                <c:pt idx="537">
                  <c:v>-88.833897367713135</c:v>
                </c:pt>
                <c:pt idx="538">
                  <c:v>-89.238600309388971</c:v>
                </c:pt>
                <c:pt idx="539">
                  <c:v>-89.64309846976505</c:v>
                </c:pt>
                <c:pt idx="540">
                  <c:v>-90.047400472786308</c:v>
                </c:pt>
                <c:pt idx="541">
                  <c:v>-90.451514604749903</c:v>
                </c:pt>
              </c:numCache>
            </c:numRef>
          </c:yVal>
          <c:smooth val="1"/>
          <c:extLst>
            <c:ext xmlns:c16="http://schemas.microsoft.com/office/drawing/2014/chart" uri="{C3380CC4-5D6E-409C-BE32-E72D297353CC}">
              <c16:uniqueId val="{00000000-F188-4D39-B62C-FFCB026FFDB3}"/>
            </c:ext>
          </c:extLst>
        </c:ser>
        <c:dLbls>
          <c:showLegendKey val="0"/>
          <c:showVal val="0"/>
          <c:showCatName val="0"/>
          <c:showSerName val="0"/>
          <c:showPercent val="0"/>
          <c:showBubbleSize val="0"/>
        </c:dLbls>
        <c:axId val="160959104"/>
        <c:axId val="160985856"/>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Loop_Modeling!$AU$19:$AU$560</c:f>
              <c:numCache>
                <c:formatCode>General</c:formatCode>
                <c:ptCount val="542"/>
                <c:pt idx="0">
                  <c:v>89.979036778450094</c:v>
                </c:pt>
                <c:pt idx="1">
                  <c:v>89.978548546165442</c:v>
                </c:pt>
                <c:pt idx="2">
                  <c:v>89.978048946056418</c:v>
                </c:pt>
                <c:pt idx="3">
                  <c:v>89.977537713658748</c:v>
                </c:pt>
                <c:pt idx="4">
                  <c:v>89.977014578371353</c:v>
                </c:pt>
                <c:pt idx="5">
                  <c:v>89.976479263314957</c:v>
                </c:pt>
                <c:pt idx="6">
                  <c:v>89.975931485187758</c:v>
                </c:pt>
                <c:pt idx="7">
                  <c:v>89.975370954117693</c:v>
                </c:pt>
                <c:pt idx="8">
                  <c:v>89.974797373511379</c:v>
                </c:pt>
                <c:pt idx="9">
                  <c:v>89.974210439899835</c:v>
                </c:pt>
                <c:pt idx="10">
                  <c:v>89.973609842780647</c:v>
                </c:pt>
                <c:pt idx="11">
                  <c:v>89.972995264456628</c:v>
                </c:pt>
                <c:pt idx="12">
                  <c:v>89.972366379870962</c:v>
                </c:pt>
                <c:pt idx="13">
                  <c:v>89.97172285643866</c:v>
                </c:pt>
                <c:pt idx="14">
                  <c:v>89.971064353874254</c:v>
                </c:pt>
                <c:pt idx="15">
                  <c:v>89.970390524015798</c:v>
                </c:pt>
                <c:pt idx="16">
                  <c:v>89.969701010644911</c:v>
                </c:pt>
                <c:pt idx="17">
                  <c:v>89.968995449302952</c:v>
                </c:pt>
                <c:pt idx="18">
                  <c:v>89.968273467103145</c:v>
                </c:pt>
                <c:pt idx="19">
                  <c:v>89.967534682538584</c:v>
                </c:pt>
                <c:pt idx="20">
                  <c:v>89.966778705286146</c:v>
                </c:pt>
                <c:pt idx="21">
                  <c:v>89.966005136006146</c:v>
                </c:pt>
                <c:pt idx="22">
                  <c:v>89.965213566137663</c:v>
                </c:pt>
                <c:pt idx="23">
                  <c:v>89.964403577689481</c:v>
                </c:pt>
                <c:pt idx="24">
                  <c:v>89.96357474302657</c:v>
                </c:pt>
                <c:pt idx="25">
                  <c:v>89.962726624652063</c:v>
                </c:pt>
                <c:pt idx="26">
                  <c:v>89.961858774984563</c:v>
                </c:pt>
                <c:pt idx="27">
                  <c:v>89.960970736130832</c:v>
                </c:pt>
                <c:pt idx="28">
                  <c:v>89.960062039653579</c:v>
                </c:pt>
                <c:pt idx="29">
                  <c:v>89.959132206334743</c:v>
                </c:pt>
                <c:pt idx="30">
                  <c:v>89.958180745933305</c:v>
                </c:pt>
                <c:pt idx="31">
                  <c:v>89.957207156938807</c:v>
                </c:pt>
                <c:pt idx="32">
                  <c:v>89.956210926319258</c:v>
                </c:pt>
                <c:pt idx="33">
                  <c:v>89.95519152926417</c:v>
                </c:pt>
                <c:pt idx="34">
                  <c:v>89.954148428922494</c:v>
                </c:pt>
                <c:pt idx="35">
                  <c:v>89.953081076135149</c:v>
                </c:pt>
                <c:pt idx="36">
                  <c:v>89.951988909162225</c:v>
                </c:pt>
                <c:pt idx="37">
                  <c:v>89.95087135340502</c:v>
                </c:pt>
                <c:pt idx="38">
                  <c:v>89.949727821122423</c:v>
                </c:pt>
                <c:pt idx="39">
                  <c:v>89.948557711141987</c:v>
                </c:pt>
                <c:pt idx="40">
                  <c:v>89.947360408565444</c:v>
                </c:pt>
                <c:pt idx="41">
                  <c:v>89.946135284468511</c:v>
                </c:pt>
                <c:pt idx="42">
                  <c:v>89.944881695595328</c:v>
                </c:pt>
                <c:pt idx="43">
                  <c:v>89.943598984047014</c:v>
                </c:pt>
                <c:pt idx="44">
                  <c:v>89.94228647696481</c:v>
                </c:pt>
                <c:pt idx="45">
                  <c:v>89.940943486207146</c:v>
                </c:pt>
                <c:pt idx="46">
                  <c:v>89.939569308021518</c:v>
                </c:pt>
                <c:pt idx="47">
                  <c:v>89.938163222710159</c:v>
                </c:pt>
                <c:pt idx="48">
                  <c:v>89.936724494290161</c:v>
                </c:pt>
                <c:pt idx="49">
                  <c:v>89.935252370148092</c:v>
                </c:pt>
                <c:pt idx="50">
                  <c:v>89.933746080688607</c:v>
                </c:pt>
                <c:pt idx="51">
                  <c:v>89.932204838977569</c:v>
                </c:pt>
                <c:pt idx="52">
                  <c:v>89.930627840379572</c:v>
                </c:pt>
                <c:pt idx="53">
                  <c:v>89.929014262189639</c:v>
                </c:pt>
                <c:pt idx="54">
                  <c:v>89.927363263259835</c:v>
                </c:pt>
                <c:pt idx="55">
                  <c:v>89.925673983620143</c:v>
                </c:pt>
                <c:pt idx="56">
                  <c:v>89.923945544094053</c:v>
                </c:pt>
                <c:pt idx="57">
                  <c:v>89.92217704590901</c:v>
                </c:pt>
                <c:pt idx="58">
                  <c:v>89.920367570301806</c:v>
                </c:pt>
                <c:pt idx="59">
                  <c:v>89.918516178118864</c:v>
                </c:pt>
                <c:pt idx="60">
                  <c:v>89.916621909412001</c:v>
                </c:pt>
                <c:pt idx="61">
                  <c:v>89.914683783029346</c:v>
                </c:pt>
                <c:pt idx="62">
                  <c:v>89.912700796202145</c:v>
                </c:pt>
                <c:pt idx="63">
                  <c:v>89.910671924127342</c:v>
                </c:pt>
                <c:pt idx="64">
                  <c:v>89.908596119546246</c:v>
                </c:pt>
                <c:pt idx="65">
                  <c:v>89.906472312319806</c:v>
                </c:pt>
                <c:pt idx="66">
                  <c:v>89.904299409000387</c:v>
                </c:pt>
                <c:pt idx="67">
                  <c:v>89.902076292401077</c:v>
                </c:pt>
                <c:pt idx="68">
                  <c:v>89.899801821162242</c:v>
                </c:pt>
                <c:pt idx="69">
                  <c:v>89.897474829316039</c:v>
                </c:pt>
                <c:pt idx="70">
                  <c:v>89.895094125849411</c:v>
                </c:pt>
                <c:pt idx="71">
                  <c:v>89.892658494266087</c:v>
                </c:pt>
                <c:pt idx="72">
                  <c:v>89.890166692148043</c:v>
                </c:pt>
                <c:pt idx="73">
                  <c:v>89.88761745071686</c:v>
                </c:pt>
                <c:pt idx="74">
                  <c:v>89.88500947439627</c:v>
                </c:pt>
                <c:pt idx="75">
                  <c:v>89.88234144037547</c:v>
                </c:pt>
                <c:pt idx="76">
                  <c:v>89.879611998175207</c:v>
                </c:pt>
                <c:pt idx="77">
                  <c:v>89.876819769216766</c:v>
                </c:pt>
                <c:pt idx="78">
                  <c:v>89.873963346394419</c:v>
                </c:pt>
                <c:pt idx="79">
                  <c:v>89.871041293652965</c:v>
                </c:pt>
                <c:pt idx="80">
                  <c:v>89.868052145571141</c:v>
                </c:pt>
                <c:pt idx="81">
                  <c:v>89.864994406951638</c:v>
                </c:pt>
                <c:pt idx="82">
                  <c:v>89.861866552418903</c:v>
                </c:pt>
                <c:pt idx="83">
                  <c:v>89.858667026026325</c:v>
                </c:pt>
                <c:pt idx="84">
                  <c:v>89.85539424087419</c:v>
                </c:pt>
                <c:pt idx="85">
                  <c:v>89.852046578738182</c:v>
                </c:pt>
                <c:pt idx="86">
                  <c:v>89.848622389712261</c:v>
                </c:pt>
                <c:pt idx="87">
                  <c:v>89.845119991865474</c:v>
                </c:pt>
                <c:pt idx="88">
                  <c:v>89.841537670914988</c:v>
                </c:pt>
                <c:pt idx="89">
                  <c:v>89.837873679917237</c:v>
                </c:pt>
                <c:pt idx="90">
                  <c:v>89.834126238978428</c:v>
                </c:pt>
                <c:pt idx="91">
                  <c:v>89.830293534986168</c:v>
                </c:pt>
                <c:pt idx="92">
                  <c:v>89.826373721364547</c:v>
                </c:pt>
                <c:pt idx="93">
                  <c:v>89.822364917854316</c:v>
                </c:pt>
                <c:pt idx="94">
                  <c:v>89.81826521032022</c:v>
                </c:pt>
                <c:pt idx="95">
                  <c:v>89.814072650587505</c:v>
                </c:pt>
                <c:pt idx="96">
                  <c:v>89.809785256309667</c:v>
                </c:pt>
                <c:pt idx="97">
                  <c:v>89.805401010870042</c:v>
                </c:pt>
                <c:pt idx="98">
                  <c:v>89.800917863318546</c:v>
                </c:pt>
                <c:pt idx="99">
                  <c:v>89.796333728347392</c:v>
                </c:pt>
                <c:pt idx="100">
                  <c:v>89.791646486306291</c:v>
                </c:pt>
                <c:pt idx="101">
                  <c:v>89.786853983260585</c:v>
                </c:pt>
                <c:pt idx="102">
                  <c:v>89.781954031094372</c:v>
                </c:pt>
                <c:pt idx="103">
                  <c:v>89.776944407660281</c:v>
                </c:pt>
                <c:pt idx="104">
                  <c:v>89.771822856979227</c:v>
                </c:pt>
                <c:pt idx="105">
                  <c:v>89.766587089491338</c:v>
                </c:pt>
                <c:pt idx="106">
                  <c:v>89.761234782360461</c:v>
                </c:pt>
                <c:pt idx="107">
                  <c:v>89.7557635798332</c:v>
                </c:pt>
                <c:pt idx="108">
                  <c:v>89.750171093657215</c:v>
                </c:pt>
                <c:pt idx="109">
                  <c:v>89.744454903555138</c:v>
                </c:pt>
                <c:pt idx="110">
                  <c:v>89.738612557761172</c:v>
                </c:pt>
                <c:pt idx="111">
                  <c:v>89.73264157361622</c:v>
                </c:pt>
                <c:pt idx="112">
                  <c:v>89.726539438226325</c:v>
                </c:pt>
                <c:pt idx="113">
                  <c:v>89.720303609181045</c:v>
                </c:pt>
                <c:pt idx="114">
                  <c:v>89.71393151533421</c:v>
                </c:pt>
                <c:pt idx="115">
                  <c:v>89.707420557644099</c:v>
                </c:pt>
                <c:pt idx="116">
                  <c:v>89.70076811007398</c:v>
                </c:pt>
                <c:pt idx="117">
                  <c:v>89.693971520547919</c:v>
                </c:pt>
                <c:pt idx="118">
                  <c:v>89.687028111960728</c:v>
                </c:pt>
                <c:pt idx="119">
                  <c:v>89.679935183239337</c:v>
                </c:pt>
                <c:pt idx="120">
                  <c:v>89.672690010446772</c:v>
                </c:pt>
                <c:pt idx="121">
                  <c:v>89.665289847927724</c:v>
                </c:pt>
                <c:pt idx="122">
                  <c:v>89.657731929484754</c:v>
                </c:pt>
                <c:pt idx="123">
                  <c:v>89.650013469579946</c:v>
                </c:pt>
                <c:pt idx="124">
                  <c:v>89.642131664549041</c:v>
                </c:pt>
                <c:pt idx="125">
                  <c:v>89.634083693820088</c:v>
                </c:pt>
                <c:pt idx="126">
                  <c:v>89.625866721121838</c:v>
                </c:pt>
                <c:pt idx="127">
                  <c:v>89.617477895667832</c:v>
                </c:pt>
                <c:pt idx="128">
                  <c:v>89.608914353300207</c:v>
                </c:pt>
                <c:pt idx="129">
                  <c:v>89.600173217574763</c:v>
                </c:pt>
                <c:pt idx="130">
                  <c:v>89.591251600767677</c:v>
                </c:pt>
                <c:pt idx="131">
                  <c:v>89.582146604781528</c:v>
                </c:pt>
                <c:pt idx="132">
                  <c:v>89.57285532192482</c:v>
                </c:pt>
                <c:pt idx="133">
                  <c:v>89.563374835543129</c:v>
                </c:pt>
                <c:pt idx="134">
                  <c:v>89.553702220465894</c:v>
                </c:pt>
                <c:pt idx="135">
                  <c:v>89.543834543247982</c:v>
                </c:pt>
                <c:pt idx="136">
                  <c:v>89.533768862163555</c:v>
                </c:pt>
                <c:pt idx="137">
                  <c:v>89.523502226925146</c:v>
                </c:pt>
                <c:pt idx="138">
                  <c:v>89.513031678086307</c:v>
                </c:pt>
                <c:pt idx="139">
                  <c:v>89.502354246094427</c:v>
                </c:pt>
                <c:pt idx="140">
                  <c:v>89.491466949948332</c:v>
                </c:pt>
                <c:pt idx="141">
                  <c:v>89.480366795425311</c:v>
                </c:pt>
                <c:pt idx="142">
                  <c:v>89.469050772832119</c:v>
                </c:pt>
                <c:pt idx="143">
                  <c:v>89.45751585423946</c:v>
                </c:pt>
                <c:pt idx="144">
                  <c:v>89.445758990156463</c:v>
                </c:pt>
                <c:pt idx="145">
                  <c:v>89.433777105603923</c:v>
                </c:pt>
                <c:pt idx="146">
                  <c:v>89.421567095546592</c:v>
                </c:pt>
                <c:pt idx="147">
                  <c:v>89.409125819641773</c:v>
                </c:pt>
                <c:pt idx="148">
                  <c:v>89.39645009627047</c:v>
                </c:pt>
                <c:pt idx="149">
                  <c:v>89.383536695816275</c:v>
                </c:pt>
                <c:pt idx="150">
                  <c:v>89.370382333159696</c:v>
                </c:pt>
                <c:pt idx="151">
                  <c:v>89.35698365936554</c:v>
                </c:pt>
                <c:pt idx="152">
                  <c:v>89.343337252539669</c:v>
                </c:pt>
                <c:pt idx="153">
                  <c:v>89.329439607842787</c:v>
                </c:pt>
                <c:pt idx="154">
                  <c:v>89.315287126654098</c:v>
                </c:pt>
                <c:pt idx="155">
                  <c:v>89.300876104883329</c:v>
                </c:pt>
                <c:pt idx="156">
                  <c:v>89.286202720443058</c:v>
                </c:pt>
                <c:pt idx="157">
                  <c:v>89.271263019895557</c:v>
                </c:pt>
                <c:pt idx="158">
                  <c:v>89.256052904305818</c:v>
                </c:pt>
                <c:pt idx="159">
                  <c:v>89.240568114335588</c:v>
                </c:pt>
                <c:pt idx="160">
                  <c:v>89.224804214626403</c:v>
                </c:pt>
                <c:pt idx="161">
                  <c:v>89.208756577534842</c:v>
                </c:pt>
                <c:pt idx="162">
                  <c:v>89.192420366281539</c:v>
                </c:pt>
                <c:pt idx="163">
                  <c:v>89.175790517600987</c:v>
                </c:pt>
                <c:pt idx="164">
                  <c:v>89.158861723976841</c:v>
                </c:pt>
                <c:pt idx="165">
                  <c:v>89.141628415561883</c:v>
                </c:pt>
                <c:pt idx="166">
                  <c:v>89.124084741892077</c:v>
                </c:pt>
                <c:pt idx="167">
                  <c:v>89.106224553504546</c:v>
                </c:pt>
                <c:pt idx="168">
                  <c:v>89.088041383582592</c:v>
                </c:pt>
                <c:pt idx="169">
                  <c:v>89.069528429751514</c:v>
                </c:pt>
                <c:pt idx="170">
                  <c:v>89.050678536149462</c:v>
                </c:pt>
                <c:pt idx="171">
                  <c:v>89.031484175904652</c:v>
                </c:pt>
                <c:pt idx="172">
                  <c:v>89.011937434143988</c:v>
                </c:pt>
                <c:pt idx="173">
                  <c:v>88.992029991655841</c:v>
                </c:pt>
                <c:pt idx="174">
                  <c:v>88.971753109325888</c:v>
                </c:pt>
                <c:pt idx="175">
                  <c:v>88.95109761345752</c:v>
                </c:pt>
                <c:pt idx="176">
                  <c:v>88.930053882078525</c:v>
                </c:pt>
                <c:pt idx="177">
                  <c:v>88.90861183232424</c:v>
                </c:pt>
                <c:pt idx="178">
                  <c:v>88.886760908975674</c:v>
                </c:pt>
                <c:pt idx="179">
                  <c:v>88.86449007421507</c:v>
                </c:pt>
                <c:pt idx="180">
                  <c:v>88.841787798649619</c:v>
                </c:pt>
                <c:pt idx="181">
                  <c:v>88.818642053631677</c:v>
                </c:pt>
                <c:pt idx="182">
                  <c:v>88.795040304894258</c:v>
                </c:pt>
                <c:pt idx="183">
                  <c:v>88.7709695074915</c:v>
                </c:pt>
                <c:pt idx="184">
                  <c:v>88.746416102033564</c:v>
                </c:pt>
                <c:pt idx="185">
                  <c:v>88.721366012169327</c:v>
                </c:pt>
                <c:pt idx="186">
                  <c:v>88.695804643266314</c:v>
                </c:pt>
                <c:pt idx="187">
                  <c:v>88.669716882218168</c:v>
                </c:pt>
                <c:pt idx="188">
                  <c:v>88.643087098296192</c:v>
                </c:pt>
                <c:pt idx="189">
                  <c:v>88.615899144943839</c:v>
                </c:pt>
                <c:pt idx="190">
                  <c:v>88.588136362411788</c:v>
                </c:pt>
                <c:pt idx="191">
                  <c:v>88.559781581111011</c:v>
                </c:pt>
                <c:pt idx="192">
                  <c:v>88.530817125562763</c:v>
                </c:pt>
                <c:pt idx="193">
                  <c:v>88.501224818812886</c:v>
                </c:pt>
                <c:pt idx="194">
                  <c:v>88.470985987180981</c:v>
                </c:pt>
                <c:pt idx="195">
                  <c:v>88.440081465202994</c:v>
                </c:pt>
                <c:pt idx="196">
                  <c:v>88.408491600643003</c:v>
                </c:pt>
                <c:pt idx="197">
                  <c:v>88.376196259435417</c:v>
                </c:pt>
                <c:pt idx="198">
                  <c:v>88.343174830434279</c:v>
                </c:pt>
                <c:pt idx="199">
                  <c:v>88.309406229850467</c:v>
                </c:pt>
                <c:pt idx="200">
                  <c:v>88.274868905257932</c:v>
                </c:pt>
                <c:pt idx="201">
                  <c:v>88.239540839069889</c:v>
                </c:pt>
                <c:pt idx="202">
                  <c:v>88.203399551381807</c:v>
                </c:pt>
                <c:pt idx="203">
                  <c:v>88.166422102101663</c:v>
                </c:pt>
                <c:pt idx="204">
                  <c:v>88.128585092286514</c:v>
                </c:pt>
                <c:pt idx="205">
                  <c:v>88.089864664618005</c:v>
                </c:pt>
                <c:pt idx="206">
                  <c:v>88.050236502968289</c:v>
                </c:pt>
                <c:pt idx="207">
                  <c:v>88.009675831004955</c:v>
                </c:pt>
                <c:pt idx="208">
                  <c:v>87.968157409801819</c:v>
                </c:pt>
                <c:pt idx="209">
                  <c:v>87.925655534431286</c:v>
                </c:pt>
                <c:pt idx="210">
                  <c:v>87.882144029522465</c:v>
                </c:pt>
                <c:pt idx="211">
                  <c:v>87.837596243774783</c:v>
                </c:pt>
                <c:pt idx="212">
                  <c:v>87.791985043429307</c:v>
                </c:pt>
                <c:pt idx="213">
                  <c:v>87.745282804703422</c:v>
                </c:pt>
                <c:pt idx="214">
                  <c:v>87.697461405202361</c:v>
                </c:pt>
                <c:pt idx="215">
                  <c:v>87.648492214325401</c:v>
                </c:pt>
                <c:pt idx="216">
                  <c:v>87.598346082691904</c:v>
                </c:pt>
                <c:pt idx="217">
                  <c:v>87.546993330608032</c:v>
                </c:pt>
                <c:pt idx="218">
                  <c:v>87.494403735611698</c:v>
                </c:pt>
                <c:pt idx="219">
                  <c:v>87.440546519118968</c:v>
                </c:pt>
                <c:pt idx="220">
                  <c:v>87.385390332214158</c:v>
                </c:pt>
                <c:pt idx="221">
                  <c:v>87.328903240610671</c:v>
                </c:pt>
                <c:pt idx="222">
                  <c:v>87.271052708819653</c:v>
                </c:pt>
                <c:pt idx="223">
                  <c:v>87.21180558356437</c:v>
                </c:pt>
                <c:pt idx="224">
                  <c:v>87.151128076469746</c:v>
                </c:pt>
                <c:pt idx="225">
                  <c:v>87.08898574606377</c:v>
                </c:pt>
                <c:pt idx="226">
                  <c:v>87.025343479121645</c:v>
                </c:pt>
                <c:pt idx="227">
                  <c:v>86.960165471381416</c:v>
                </c:pt>
                <c:pt idx="228">
                  <c:v>86.893415207666067</c:v>
                </c:pt>
                <c:pt idx="229">
                  <c:v>86.825055441432355</c:v>
                </c:pt>
                <c:pt idx="230">
                  <c:v>86.755048173774583</c:v>
                </c:pt>
                <c:pt idx="231">
                  <c:v>86.683354631909438</c:v>
                </c:pt>
                <c:pt idx="232">
                  <c:v>86.609935247156855</c:v>
                </c:pt>
                <c:pt idx="233">
                  <c:v>86.534749632441674</c:v>
                </c:pt>
                <c:pt idx="234">
                  <c:v>86.457756559330704</c:v>
                </c:pt>
                <c:pt idx="235">
                  <c:v>86.378913934620172</c:v>
                </c:pt>
                <c:pt idx="236">
                  <c:v>86.298178776487617</c:v>
                </c:pt>
                <c:pt idx="237">
                  <c:v>86.21550719021964</c:v>
                </c:pt>
                <c:pt idx="238">
                  <c:v>86.130854343523978</c:v>
                </c:pt>
                <c:pt idx="239">
                  <c:v>86.04417444143651</c:v>
                </c:pt>
                <c:pt idx="240">
                  <c:v>85.955420700826707</c:v>
                </c:pt>
                <c:pt idx="241">
                  <c:v>85.864545324509081</c:v>
                </c:pt>
                <c:pt idx="242">
                  <c:v>85.771499474963619</c:v>
                </c:pt>
                <c:pt idx="243">
                  <c:v>85.6762332476696</c:v>
                </c:pt>
                <c:pt idx="244">
                  <c:v>85.578695644051379</c:v>
                </c:pt>
                <c:pt idx="245">
                  <c:v>85.478834544041675</c:v>
                </c:pt>
                <c:pt idx="246">
                  <c:v>85.376596678260029</c:v>
                </c:pt>
                <c:pt idx="247">
                  <c:v>85.2719275998071</c:v>
                </c:pt>
                <c:pt idx="248">
                  <c:v>85.164771655674897</c:v>
                </c:pt>
                <c:pt idx="249">
                  <c:v>85.055071957772327</c:v>
                </c:pt>
                <c:pt idx="250">
                  <c:v>84.942770353564086</c:v>
                </c:pt>
                <c:pt idx="251">
                  <c:v>84.827807396323237</c:v>
                </c:pt>
                <c:pt idx="252">
                  <c:v>84.710122314997804</c:v>
                </c:pt>
                <c:pt idx="253">
                  <c:v>84.589652983688424</c:v>
                </c:pt>
                <c:pt idx="254">
                  <c:v>84.466335890739742</c:v>
                </c:pt>
                <c:pt idx="255">
                  <c:v>84.340106107444768</c:v>
                </c:pt>
                <c:pt idx="256">
                  <c:v>84.210897256364035</c:v>
                </c:pt>
                <c:pt idx="257">
                  <c:v>84.078641479261421</c:v>
                </c:pt>
                <c:pt idx="258">
                  <c:v>83.943269404660029</c:v>
                </c:pt>
                <c:pt idx="259">
                  <c:v>83.804710115021663</c:v>
                </c:pt>
                <c:pt idx="260">
                  <c:v>83.662891113555673</c:v>
                </c:pt>
                <c:pt idx="261">
                  <c:v>83.517738290664283</c:v>
                </c:pt>
                <c:pt idx="262">
                  <c:v>83.369175890030533</c:v>
                </c:pt>
                <c:pt idx="263">
                  <c:v>83.217126474361635</c:v>
                </c:pt>
                <c:pt idx="264">
                  <c:v>83.06151089079637</c:v>
                </c:pt>
                <c:pt idx="265">
                  <c:v>82.902248235991706</c:v>
                </c:pt>
                <c:pt idx="266">
                  <c:v>82.739255820903594</c:v>
                </c:pt>
                <c:pt idx="267">
                  <c:v>82.57244913527974</c:v>
                </c:pt>
                <c:pt idx="268">
                  <c:v>82.401741811884449</c:v>
                </c:pt>
                <c:pt idx="269">
                  <c:v>82.22704559047834</c:v>
                </c:pt>
                <c:pt idx="270">
                  <c:v>82.048270281579335</c:v>
                </c:pt>
                <c:pt idx="271">
                  <c:v>81.865323730031974</c:v>
                </c:pt>
                <c:pt idx="272">
                  <c:v>81.678111778417914</c:v>
                </c:pt>
                <c:pt idx="273">
                  <c:v>81.486538230343214</c:v>
                </c:pt>
                <c:pt idx="274">
                  <c:v>81.290504813639316</c:v>
                </c:pt>
                <c:pt idx="275">
                  <c:v>81.089911143523295</c:v>
                </c:pt>
                <c:pt idx="276">
                  <c:v>80.884654685760935</c:v>
                </c:pt>
                <c:pt idx="277">
                  <c:v>80.674630719887688</c:v>
                </c:pt>
                <c:pt idx="278">
                  <c:v>80.459732302539265</c:v>
                </c:pt>
                <c:pt idx="279">
                  <c:v>80.239850230955895</c:v>
                </c:pt>
                <c:pt idx="280">
                  <c:v>80.014873006724685</c:v>
                </c:pt>
                <c:pt idx="281">
                  <c:v>79.784686799832983</c:v>
                </c:pt>
                <c:pt idx="282">
                  <c:v>79.549175413108102</c:v>
                </c:pt>
                <c:pt idx="283">
                  <c:v>79.308220247129441</c:v>
                </c:pt>
                <c:pt idx="284">
                  <c:v>79.061700265701987</c:v>
                </c:pt>
                <c:pt idx="285">
                  <c:v>78.809491961987888</c:v>
                </c:pt>
                <c:pt idx="286">
                  <c:v>78.551469325402294</c:v>
                </c:pt>
                <c:pt idx="287">
                  <c:v>78.287503809381661</c:v>
                </c:pt>
                <c:pt idx="288">
                  <c:v>78.017464300150735</c:v>
                </c:pt>
                <c:pt idx="289">
                  <c:v>77.741217086610021</c:v>
                </c:pt>
                <c:pt idx="290">
                  <c:v>77.458625831484056</c:v>
                </c:pt>
                <c:pt idx="291">
                  <c:v>77.169551543877759</c:v>
                </c:pt>
                <c:pt idx="292">
                  <c:v>76.873852553394798</c:v>
                </c:pt>
                <c:pt idx="293">
                  <c:v>76.57138448598559</c:v>
                </c:pt>
                <c:pt idx="294">
                  <c:v>76.262000241698118</c:v>
                </c:pt>
                <c:pt idx="295">
                  <c:v>75.945549974523985</c:v>
                </c:pt>
                <c:pt idx="296">
                  <c:v>75.621881074531998</c:v>
                </c:pt>
                <c:pt idx="297">
                  <c:v>75.290838152503653</c:v>
                </c:pt>
                <c:pt idx="298">
                  <c:v>74.952263027288623</c:v>
                </c:pt>
                <c:pt idx="299">
                  <c:v>74.605994716115944</c:v>
                </c:pt>
                <c:pt idx="300">
                  <c:v>74.251869428106303</c:v>
                </c:pt>
                <c:pt idx="301">
                  <c:v>73.889720561244005</c:v>
                </c:pt>
                <c:pt idx="302">
                  <c:v>73.519378703078388</c:v>
                </c:pt>
                <c:pt idx="303">
                  <c:v>73.140671635442899</c:v>
                </c:pt>
                <c:pt idx="304">
                  <c:v>72.75342434348444</c:v>
                </c:pt>
                <c:pt idx="305">
                  <c:v>72.357459029317369</c:v>
                </c:pt>
                <c:pt idx="306">
                  <c:v>71.952595130620097</c:v>
                </c:pt>
                <c:pt idx="307">
                  <c:v>71.53864934451623</c:v>
                </c:pt>
                <c:pt idx="308">
                  <c:v>71.115435657081008</c:v>
                </c:pt>
                <c:pt idx="309">
                  <c:v>70.682765378838653</c:v>
                </c:pt>
                <c:pt idx="310">
                  <c:v>70.240447186615484</c:v>
                </c:pt>
                <c:pt idx="311">
                  <c:v>69.788287172134503</c:v>
                </c:pt>
                <c:pt idx="312">
                  <c:v>69.326088897736938</c:v>
                </c:pt>
                <c:pt idx="313">
                  <c:v>68.853653459633534</c:v>
                </c:pt>
                <c:pt idx="314">
                  <c:v>68.37077955908363</c:v>
                </c:pt>
                <c:pt idx="315">
                  <c:v>67.877263581919649</c:v>
                </c:pt>
                <c:pt idx="316">
                  <c:v>67.372899686822208</c:v>
                </c:pt>
                <c:pt idx="317">
                  <c:v>66.85747990276478</c:v>
                </c:pt>
                <c:pt idx="318">
                  <c:v>66.330794236033853</c:v>
                </c:pt>
                <c:pt idx="319">
                  <c:v>65.792630787238394</c:v>
                </c:pt>
                <c:pt idx="320">
                  <c:v>65.242775878701153</c:v>
                </c:pt>
                <c:pt idx="321">
                  <c:v>64.681014192621561</c:v>
                </c:pt>
                <c:pt idx="322">
                  <c:v>64.107128920385662</c:v>
                </c:pt>
                <c:pt idx="323">
                  <c:v>63.520901923370268</c:v>
                </c:pt>
                <c:pt idx="324">
                  <c:v>62.922113905568814</c:v>
                </c:pt>
                <c:pt idx="325">
                  <c:v>62.310544598343128</c:v>
                </c:pt>
                <c:pt idx="326">
                  <c:v>61.685972957556586</c:v>
                </c:pt>
                <c:pt idx="327">
                  <c:v>61.048177373309336</c:v>
                </c:pt>
                <c:pt idx="328">
                  <c:v>60.396935892455531</c:v>
                </c:pt>
                <c:pt idx="329">
                  <c:v>59.73202645400746</c:v>
                </c:pt>
                <c:pt idx="330">
                  <c:v>59.053227137498205</c:v>
                </c:pt>
                <c:pt idx="331">
                  <c:v>58.360316424273371</c:v>
                </c:pt>
                <c:pt idx="332">
                  <c:v>57.653073471632766</c:v>
                </c:pt>
                <c:pt idx="333">
                  <c:v>56.931278399634287</c:v>
                </c:pt>
                <c:pt idx="334">
                  <c:v>56.194712590301322</c:v>
                </c:pt>
                <c:pt idx="335">
                  <c:v>55.443158998849071</c:v>
                </c:pt>
                <c:pt idx="336">
                  <c:v>54.676402476460872</c:v>
                </c:pt>
                <c:pt idx="337">
                  <c:v>53.894230104001757</c:v>
                </c:pt>
                <c:pt idx="338">
                  <c:v>53.096431535955304</c:v>
                </c:pt>
                <c:pt idx="339">
                  <c:v>52.282799353718403</c:v>
                </c:pt>
                <c:pt idx="340">
                  <c:v>51.453129427266148</c:v>
                </c:pt>
                <c:pt idx="341">
                  <c:v>50.607221284037429</c:v>
                </c:pt>
                <c:pt idx="342">
                  <c:v>49.744878483758988</c:v>
                </c:pt>
                <c:pt idx="343">
                  <c:v>48.865908997768656</c:v>
                </c:pt>
                <c:pt idx="344">
                  <c:v>47.970125591238968</c:v>
                </c:pt>
                <c:pt idx="345">
                  <c:v>47.05734620655906</c:v>
                </c:pt>
                <c:pt idx="346">
                  <c:v>46.127394345976484</c:v>
                </c:pt>
                <c:pt idx="347">
                  <c:v>45.1800994514604</c:v>
                </c:pt>
                <c:pt idx="348">
                  <c:v>44.215297279596292</c:v>
                </c:pt>
                <c:pt idx="349">
                  <c:v>43.232830269212073</c:v>
                </c:pt>
                <c:pt idx="350">
                  <c:v>42.232547899302872</c:v>
                </c:pt>
                <c:pt idx="351">
                  <c:v>41.214307034729934</c:v>
                </c:pt>
                <c:pt idx="352">
                  <c:v>40.177972257088619</c:v>
                </c:pt>
                <c:pt idx="353">
                  <c:v>39.123416178078173</c:v>
                </c:pt>
                <c:pt idx="354">
                  <c:v>38.050519732676179</c:v>
                </c:pt>
                <c:pt idx="355">
                  <c:v>36.959172449421878</c:v>
                </c:pt>
                <c:pt idx="356">
                  <c:v>35.849272695131063</c:v>
                </c:pt>
                <c:pt idx="357">
                  <c:v>34.720727891445627</c:v>
                </c:pt>
                <c:pt idx="358">
                  <c:v>33.573454700712546</c:v>
                </c:pt>
                <c:pt idx="359">
                  <c:v>32.407379178840671</c:v>
                </c:pt>
                <c:pt idx="360">
                  <c:v>31.222436892964499</c:v>
                </c:pt>
                <c:pt idx="361">
                  <c:v>30.018573001990514</c:v>
                </c:pt>
                <c:pt idx="362">
                  <c:v>28.795742298359396</c:v>
                </c:pt>
                <c:pt idx="363">
                  <c:v>27.55390920970471</c:v>
                </c:pt>
                <c:pt idx="364">
                  <c:v>26.29304775944393</c:v>
                </c:pt>
                <c:pt idx="365">
                  <c:v>25.013141485759718</c:v>
                </c:pt>
                <c:pt idx="366">
                  <c:v>23.714183318876994</c:v>
                </c:pt>
                <c:pt idx="367">
                  <c:v>22.396175417055574</c:v>
                </c:pt>
                <c:pt idx="368">
                  <c:v>21.059128962227323</c:v>
                </c:pt>
                <c:pt idx="369">
                  <c:v>19.70306391679048</c:v>
                </c:pt>
                <c:pt idx="370">
                  <c:v>18.328008743651491</c:v>
                </c:pt>
                <c:pt idx="371">
                  <c:v>16.9340000922206</c:v>
                </c:pt>
                <c:pt idx="372">
                  <c:v>15.521082453691582</c:v>
                </c:pt>
                <c:pt idx="373">
                  <c:v>14.089307789570309</c:v>
                </c:pt>
                <c:pt idx="374">
                  <c:v>12.638735138049192</c:v>
                </c:pt>
                <c:pt idx="375">
                  <c:v>11.169430203455784</c:v>
                </c:pt>
                <c:pt idx="376">
                  <c:v>9.681464934619461</c:v>
                </c:pt>
                <c:pt idx="377">
                  <c:v>8.1749170985972306</c:v>
                </c:pt>
                <c:pt idx="378">
                  <c:v>6.6498698567789374</c:v>
                </c:pt>
                <c:pt idx="379">
                  <c:v>5.1064113509240086</c:v>
                </c:pt>
                <c:pt idx="380">
                  <c:v>3.5446343072069331</c:v>
                </c:pt>
                <c:pt idx="381">
                  <c:v>1.9646356668049469</c:v>
                </c:pt>
                <c:pt idx="382">
                  <c:v>0.36651625199510512</c:v>
                </c:pt>
                <c:pt idx="383">
                  <c:v>-1.2496195228814264</c:v>
                </c:pt>
                <c:pt idx="384">
                  <c:v>-2.8836638859081321</c:v>
                </c:pt>
                <c:pt idx="385">
                  <c:v>-4.5355058775443249</c:v>
                </c:pt>
                <c:pt idx="386">
                  <c:v>-6.2050314458259406</c:v>
                </c:pt>
                <c:pt idx="387">
                  <c:v>-7.8921234564037226</c:v>
                </c:pt>
                <c:pt idx="388">
                  <c:v>-9.5966616068632078</c:v>
                </c:pt>
                <c:pt idx="389">
                  <c:v>-11.318522234706203</c:v>
                </c:pt>
                <c:pt idx="390">
                  <c:v>-13.057578008322311</c:v>
                </c:pt>
                <c:pt idx="391">
                  <c:v>-14.81369749036088</c:v>
                </c:pt>
                <c:pt idx="392">
                  <c:v>-16.586744562989967</c:v>
                </c:pt>
                <c:pt idx="393">
                  <c:v>-18.376577704774959</c:v>
                </c:pt>
                <c:pt idx="394">
                  <c:v>-20.183049109198841</c:v>
                </c:pt>
                <c:pt idx="395">
                  <c:v>-22.006003635294345</c:v>
                </c:pt>
                <c:pt idx="396">
                  <c:v>-23.845277581444083</c:v>
                </c:pt>
                <c:pt idx="397">
                  <c:v>-25.700697274181707</c:v>
                </c:pt>
                <c:pt idx="398">
                  <c:v>-27.572077464817681</c:v>
                </c:pt>
                <c:pt idx="399">
                  <c:v>-29.459219527957938</c:v>
                </c:pt>
                <c:pt idx="400">
                  <c:v>-31.361909457556205</c:v>
                </c:pt>
                <c:pt idx="401">
                  <c:v>-33.279915658033246</c:v>
                </c:pt>
                <c:pt idx="402">
                  <c:v>-35.212986530338831</c:v>
                </c:pt>
                <c:pt idx="403">
                  <c:v>-37.160847855585835</c:v>
                </c:pt>
                <c:pt idx="404">
                  <c:v>-39.123199982194983</c:v>
                </c:pt>
                <c:pt idx="405">
                  <c:v>-41.099714826306105</c:v>
                </c:pt>
                <c:pt idx="406">
                  <c:v>-43.090032699646741</c:v>
                </c:pt>
                <c:pt idx="407">
                  <c:v>-45.093758984051263</c:v>
                </c:pt>
                <c:pt idx="408">
                  <c:v>-47.11046067748137</c:v>
                </c:pt>
                <c:pt idx="409">
                  <c:v>-49.139662842551274</c:v>
                </c:pt>
                <c:pt idx="410">
                  <c:v>-51.180844995299346</c:v>
                </c:pt>
                <c:pt idx="411">
                  <c:v>-53.233437479064982</c:v>
                </c:pt>
                <c:pt idx="412">
                  <c:v>-55.2968178757109</c:v>
                </c:pt>
                <c:pt idx="413">
                  <c:v>-57.370307513928019</c:v>
                </c:pt>
                <c:pt idx="414">
                  <c:v>-59.453168141664719</c:v>
                </c:pt>
                <c:pt idx="415">
                  <c:v>-61.544598836620125</c:v>
                </c:pt>
                <c:pt idx="416">
                  <c:v>-63.643733234814796</c:v>
                </c:pt>
                <c:pt idx="417">
                  <c:v>-65.74963716220384</c:v>
                </c:pt>
                <c:pt idx="418">
                  <c:v>-67.861306757673646</c:v>
                </c:pt>
                <c:pt idx="419">
                  <c:v>-69.977667177168584</c:v>
                </c:pt>
                <c:pt idx="420">
                  <c:v>-72.097571967715552</c:v>
                </c:pt>
                <c:pt idx="421">
                  <c:v>-74.219803196416635</c:v>
                </c:pt>
                <c:pt idx="422">
                  <c:v>-76.34307241270065</c:v>
                </c:pt>
                <c:pt idx="423">
                  <c:v>-78.466022512154552</c:v>
                </c:pt>
                <c:pt idx="424">
                  <c:v>-80.58723055689768</c:v>
                </c:pt>
                <c:pt idx="425">
                  <c:v>-82.705211590910992</c:v>
                </c:pt>
                <c:pt idx="426">
                  <c:v>-84.818423469151327</c:v>
                </c:pt>
                <c:pt idx="427">
                  <c:v>-86.925272697131447</c:v>
                </c:pt>
                <c:pt idx="428">
                  <c:v>-89.024121253555194</c:v>
                </c:pt>
                <c:pt idx="429">
                  <c:v>-91.113294343341479</c:v>
                </c:pt>
                <c:pt idx="430">
                  <c:v>-93.191089002814422</c:v>
                </c:pt>
                <c:pt idx="431">
                  <c:v>-95.255783454143426</c:v>
                </c:pt>
                <c:pt idx="432">
                  <c:v>-97.305647083146567</c:v>
                </c:pt>
                <c:pt idx="433">
                  <c:v>-99.338950894569138</c:v>
                </c:pt>
                <c:pt idx="434">
                  <c:v>-101.35397828266797</c:v>
                </c:pt>
                <c:pt idx="435">
                  <c:v>-103.34903594335442</c:v>
                </c:pt>
                <c:pt idx="436">
                  <c:v>-105.32246474771819</c:v>
                </c:pt>
                <c:pt idx="437">
                  <c:v>-107.27265039589122</c:v>
                </c:pt>
                <c:pt idx="438">
                  <c:v>-109.19803367496074</c:v>
                </c:pt>
                <c:pt idx="439">
                  <c:v>-111.09712015478124</c:v>
                </c:pt>
                <c:pt idx="440">
                  <c:v>-112.96848917058539</c:v>
                </c:pt>
                <c:pt idx="441">
                  <c:v>-114.81080196056257</c:v>
                </c:pt>
                <c:pt idx="442">
                  <c:v>-116.62280884912177</c:v>
                </c:pt>
                <c:pt idx="443">
                  <c:v>-118.40335539144438</c:v>
                </c:pt>
                <c:pt idx="444">
                  <c:v>-120.15138742101847</c:v>
                </c:pt>
                <c:pt idx="445">
                  <c:v>-121.86595496813661</c:v>
                </c:pt>
                <c:pt idx="446">
                  <c:v>-123.54621504280988</c:v>
                </c:pt>
                <c:pt idx="447">
                  <c:v>-125.19143329938311</c:v>
                </c:pt>
                <c:pt idx="448">
                  <c:v>-126.80098462156013</c:v>
                </c:pt>
                <c:pt idx="449">
                  <c:v>-128.37435268511842</c:v>
                </c:pt>
                <c:pt idx="450">
                  <c:v>-129.91112857089325</c:v>
                </c:pt>
                <c:pt idx="451">
                  <c:v>-131.41100851250764</c:v>
                </c:pt>
                <c:pt idx="452">
                  <c:v>-132.87379087185093</c:v>
                </c:pt>
                <c:pt idx="453">
                  <c:v>-134.29937244055623</c:v>
                </c:pt>
                <c:pt idx="454">
                  <c:v>-135.68774416797586</c:v>
                </c:pt>
                <c:pt idx="455">
                  <c:v>-137.03898641575387</c:v>
                </c:pt>
                <c:pt idx="456">
                  <c:v>-138.35326383641038</c:v>
                </c:pt>
                <c:pt idx="457">
                  <c:v>-139.63081996882647</c:v>
                </c:pt>
                <c:pt idx="458">
                  <c:v>-140.87197163753106</c:v>
                </c:pt>
                <c:pt idx="459">
                  <c:v>-142.07710323566906</c:v>
                </c:pt>
                <c:pt idx="460">
                  <c:v>-143.24666096383305</c:v>
                </c:pt>
                <c:pt idx="461">
                  <c:v>-144.3811470888628</c:v>
                </c:pt>
                <c:pt idx="462">
                  <c:v>-145.48111427858655</c:v>
                </c:pt>
                <c:pt idx="463">
                  <c:v>-146.54716006045115</c:v>
                </c:pt>
                <c:pt idx="464">
                  <c:v>-147.57992144430614</c:v>
                </c:pt>
                <c:pt idx="465">
                  <c:v>-148.58006974236267</c:v>
                </c:pt>
                <c:pt idx="466">
                  <c:v>-149.54830561263904</c:v>
                </c:pt>
                <c:pt idx="467">
                  <c:v>-150.48535434610298</c:v>
                </c:pt>
                <c:pt idx="468">
                  <c:v>-151.39196141222502</c:v>
                </c:pt>
                <c:pt idx="469">
                  <c:v>-152.26888827280894</c:v>
                </c:pt>
                <c:pt idx="470">
                  <c:v>-153.11690846969893</c:v>
                </c:pt>
                <c:pt idx="471">
                  <c:v>-153.93680398831287</c:v>
                </c:pt>
                <c:pt idx="472">
                  <c:v>-154.72936189580622</c:v>
                </c:pt>
                <c:pt idx="473">
                  <c:v>-155.49537125006628</c:v>
                </c:pt>
                <c:pt idx="474">
                  <c:v>-156.23562027354856</c:v>
                </c:pt>
                <c:pt idx="475">
                  <c:v>-156.95089378422313</c:v>
                </c:pt>
                <c:pt idx="476">
                  <c:v>-157.64197087447292</c:v>
                </c:pt>
                <c:pt idx="477">
                  <c:v>-158.30962282772524</c:v>
                </c:pt>
                <c:pt idx="478">
                  <c:v>-158.95461126176792</c:v>
                </c:pt>
                <c:pt idx="479">
                  <c:v>-159.57768648713963</c:v>
                </c:pt>
                <c:pt idx="480">
                  <c:v>-160.1795860686141</c:v>
                </c:pt>
                <c:pt idx="481">
                  <c:v>-160.76103357760039</c:v>
                </c:pt>
                <c:pt idx="482">
                  <c:v>-161.32273752323505</c:v>
                </c:pt>
                <c:pt idx="483">
                  <c:v>-161.86539045001368</c:v>
                </c:pt>
                <c:pt idx="484">
                  <c:v>-162.3896681899885</c:v>
                </c:pt>
                <c:pt idx="485">
                  <c:v>-162.89622925781018</c:v>
                </c:pt>
                <c:pt idx="486">
                  <c:v>-163.38571437722675</c:v>
                </c:pt>
                <c:pt idx="487">
                  <c:v>-163.85874612802817</c:v>
                </c:pt>
                <c:pt idx="488">
                  <c:v>-164.31592870285075</c:v>
                </c:pt>
                <c:pt idx="489">
                  <c:v>-164.75784776371117</c:v>
                </c:pt>
                <c:pt idx="490">
                  <c:v>-165.18507038861864</c:v>
                </c:pt>
                <c:pt idx="491">
                  <c:v>-165.59814509911146</c:v>
                </c:pt>
                <c:pt idx="492">
                  <c:v>-165.99760196007091</c:v>
                </c:pt>
                <c:pt idx="493">
                  <c:v>-166.38395274366988</c:v>
                </c:pt>
                <c:pt idx="494">
                  <c:v>-166.75769114983035</c:v>
                </c:pt>
                <c:pt idx="495">
                  <c:v>-167.11929307606579</c:v>
                </c:pt>
                <c:pt idx="496">
                  <c:v>-167.46921693007755</c:v>
                </c:pt>
                <c:pt idx="497">
                  <c:v>-167.80790397896362</c:v>
                </c:pt>
                <c:pt idx="498">
                  <c:v>-168.13577872937333</c:v>
                </c:pt>
                <c:pt idx="499">
                  <c:v>-168.45324933338566</c:v>
                </c:pt>
                <c:pt idx="500">
                  <c:v>-168.76070801534257</c:v>
                </c:pt>
                <c:pt idx="501">
                  <c:v>-169.05853151527597</c:v>
                </c:pt>
                <c:pt idx="502">
                  <c:v>-169.34708154497596</c:v>
                </c:pt>
                <c:pt idx="503">
                  <c:v>-169.6267052531235</c:v>
                </c:pt>
                <c:pt idx="504">
                  <c:v>-169.89773569627019</c:v>
                </c:pt>
                <c:pt idx="505">
                  <c:v>-170.16049231278674</c:v>
                </c:pt>
                <c:pt idx="506">
                  <c:v>-170.41528139721984</c:v>
                </c:pt>
                <c:pt idx="507">
                  <c:v>-170.66239657278831</c:v>
                </c:pt>
                <c:pt idx="508">
                  <c:v>-170.90211926003136</c:v>
                </c:pt>
                <c:pt idx="509">
                  <c:v>-171.13471913987138</c:v>
                </c:pt>
                <c:pt idx="510">
                  <c:v>-171.3604546095915</c:v>
                </c:pt>
                <c:pt idx="511">
                  <c:v>-171.57957323044593</c:v>
                </c:pt>
                <c:pt idx="512">
                  <c:v>-171.79231216581604</c:v>
                </c:pt>
                <c:pt idx="513">
                  <c:v>-171.99889860901038</c:v>
                </c:pt>
                <c:pt idx="514">
                  <c:v>-172.19955019996729</c:v>
                </c:pt>
                <c:pt idx="515">
                  <c:v>-172.39447543027094</c:v>
                </c:pt>
                <c:pt idx="516">
                  <c:v>-172.58387403602353</c:v>
                </c:pt>
                <c:pt idx="517">
                  <c:v>-172.76793737823718</c:v>
                </c:pt>
                <c:pt idx="518">
                  <c:v>-172.94684881051609</c:v>
                </c:pt>
                <c:pt idx="519">
                  <c:v>-173.12078403389444</c:v>
                </c:pt>
                <c:pt idx="520">
                  <c:v>-173.28991143878326</c:v>
                </c:pt>
                <c:pt idx="521">
                  <c:v>-173.45439243404397</c:v>
                </c:pt>
                <c:pt idx="522">
                  <c:v>-173.61438176328292</c:v>
                </c:pt>
                <c:pt idx="523">
                  <c:v>-173.77002780850344</c:v>
                </c:pt>
                <c:pt idx="524">
                  <c:v>-173.92147288131403</c:v>
                </c:pt>
                <c:pt idx="525">
                  <c:v>-174.06885350191536</c:v>
                </c:pt>
                <c:pt idx="526">
                  <c:v>-174.21230066613785</c:v>
                </c:pt>
                <c:pt idx="527">
                  <c:v>-174.35194010081764</c:v>
                </c:pt>
                <c:pt idx="528">
                  <c:v>-174.48789250782878</c:v>
                </c:pt>
                <c:pt idx="529">
                  <c:v>-174.62027379710383</c:v>
                </c:pt>
                <c:pt idx="530">
                  <c:v>-174.74919530898728</c:v>
                </c:pt>
                <c:pt idx="531">
                  <c:v>-174.87476402628144</c:v>
                </c:pt>
                <c:pt idx="532">
                  <c:v>-174.99708277634315</c:v>
                </c:pt>
                <c:pt idx="533">
                  <c:v>-175.11625042360083</c:v>
                </c:pt>
                <c:pt idx="534">
                  <c:v>-175.23236205285627</c:v>
                </c:pt>
                <c:pt idx="535">
                  <c:v>-175.34550914373773</c:v>
                </c:pt>
                <c:pt idx="536">
                  <c:v>-175.45577973666573</c:v>
                </c:pt>
                <c:pt idx="537">
                  <c:v>-175.56325859069216</c:v>
                </c:pt>
                <c:pt idx="538">
                  <c:v>-175.66802733356022</c:v>
                </c:pt>
                <c:pt idx="539">
                  <c:v>-175.77016460433182</c:v>
                </c:pt>
                <c:pt idx="540">
                  <c:v>-175.8697461889179</c:v>
                </c:pt>
                <c:pt idx="541">
                  <c:v>-175.96684514883901</c:v>
                </c:pt>
              </c:numCache>
            </c:numRef>
          </c:yVal>
          <c:smooth val="1"/>
          <c:extLst>
            <c:ext xmlns:c16="http://schemas.microsoft.com/office/drawing/2014/chart" uri="{C3380CC4-5D6E-409C-BE32-E72D297353CC}">
              <c16:uniqueId val="{00000001-F188-4D39-B62C-FFCB026FFDB3}"/>
            </c:ext>
          </c:extLst>
        </c:ser>
        <c:dLbls>
          <c:showLegendKey val="0"/>
          <c:showVal val="0"/>
          <c:showCatName val="0"/>
          <c:showSerName val="0"/>
          <c:showPercent val="0"/>
          <c:showBubbleSize val="0"/>
        </c:dLbls>
        <c:axId val="161005952"/>
        <c:axId val="160987776"/>
      </c:scatterChart>
      <c:valAx>
        <c:axId val="16095910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0985856"/>
        <c:crosses val="autoZero"/>
        <c:crossBetween val="midCat"/>
      </c:valAx>
      <c:valAx>
        <c:axId val="1609858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60959104"/>
        <c:crosses val="autoZero"/>
        <c:crossBetween val="midCat"/>
        <c:majorUnit val="20"/>
        <c:minorUnit val="10"/>
      </c:valAx>
      <c:valAx>
        <c:axId val="160987776"/>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61005952"/>
        <c:crosses val="max"/>
        <c:crossBetween val="midCat"/>
        <c:majorUnit val="90"/>
        <c:minorUnit val="45"/>
      </c:valAx>
      <c:valAx>
        <c:axId val="161005952"/>
        <c:scaling>
          <c:logBase val="10"/>
          <c:orientation val="minMax"/>
        </c:scaling>
        <c:delete val="1"/>
        <c:axPos val="b"/>
        <c:numFmt formatCode="0.00" sourceLinked="1"/>
        <c:majorTickMark val="out"/>
        <c:minorTickMark val="none"/>
        <c:tickLblPos val="nextTo"/>
        <c:crossAx val="160987776"/>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Eff_vs_IOUT!$AT$7:$AT$157</c:f>
              <c:numCache>
                <c:formatCode>General</c:formatCode>
                <c:ptCount val="151"/>
                <c:pt idx="0">
                  <c:v>0</c:v>
                </c:pt>
                <c:pt idx="1">
                  <c:v>30.502613805840728</c:v>
                </c:pt>
                <c:pt idx="2">
                  <c:v>45.372976852783282</c:v>
                </c:pt>
                <c:pt idx="3">
                  <c:v>54.175050123728575</c:v>
                </c:pt>
                <c:pt idx="4">
                  <c:v>59.99291338392306</c:v>
                </c:pt>
                <c:pt idx="5">
                  <c:v>64.123627332371953</c:v>
                </c:pt>
                <c:pt idx="6">
                  <c:v>67.207754258435088</c:v>
                </c:pt>
                <c:pt idx="7">
                  <c:v>69.598044416511186</c:v>
                </c:pt>
                <c:pt idx="8">
                  <c:v>71.504752794868637</c:v>
                </c:pt>
                <c:pt idx="9">
                  <c:v>73.060988173163409</c:v>
                </c:pt>
                <c:pt idx="10">
                  <c:v>74.355121175919308</c:v>
                </c:pt>
                <c:pt idx="11">
                  <c:v>75.448121958263741</c:v>
                </c:pt>
                <c:pt idx="12">
                  <c:v>76.383415318142994</c:v>
                </c:pt>
                <c:pt idx="13">
                  <c:v>77.192767892758468</c:v>
                </c:pt>
                <c:pt idx="14">
                  <c:v>77.899954041812606</c:v>
                </c:pt>
                <c:pt idx="15">
                  <c:v>78.523120361305232</c:v>
                </c:pt>
                <c:pt idx="16">
                  <c:v>79.076357683183247</c:v>
                </c:pt>
                <c:pt idx="17">
                  <c:v>79.570774055236456</c:v>
                </c:pt>
                <c:pt idx="18">
                  <c:v>80.015244221213834</c:v>
                </c:pt>
                <c:pt idx="19">
                  <c:v>80.416943943051365</c:v>
                </c:pt>
                <c:pt idx="20">
                  <c:v>80.781737933513682</c:v>
                </c:pt>
                <c:pt idx="21">
                  <c:v>81.11446614542713</c:v>
                </c:pt>
                <c:pt idx="22">
                  <c:v>81.419158186787868</c:v>
                </c:pt>
                <c:pt idx="23">
                  <c:v>81.699196067071213</c:v>
                </c:pt>
                <c:pt idx="24">
                  <c:v>81.957439239281655</c:v>
                </c:pt>
                <c:pt idx="25">
                  <c:v>82.196321749377802</c:v>
                </c:pt>
                <c:pt idx="26">
                  <c:v>82.417928491386633</c:v>
                </c:pt>
                <c:pt idx="27">
                  <c:v>82.62405562928916</c:v>
                </c:pt>
                <c:pt idx="28">
                  <c:v>82.816258892623836</c:v>
                </c:pt>
                <c:pt idx="29">
                  <c:v>82.995892493017251</c:v>
                </c:pt>
                <c:pt idx="30">
                  <c:v>83.164140719885452</c:v>
                </c:pt>
                <c:pt idx="31">
                  <c:v>83.32204377304943</c:v>
                </c:pt>
                <c:pt idx="32">
                  <c:v>83.470519022388231</c:v>
                </c:pt>
                <c:pt idx="33">
                  <c:v>83.61037861183253</c:v>
                </c:pt>
                <c:pt idx="34">
                  <c:v>83.742344120578849</c:v>
                </c:pt>
                <c:pt idx="35">
                  <c:v>83.867058839841349</c:v>
                </c:pt>
                <c:pt idx="36">
                  <c:v>83.985098105599818</c:v>
                </c:pt>
                <c:pt idx="37">
                  <c:v>84.096978037212807</c:v>
                </c:pt>
                <c:pt idx="38">
                  <c:v>84.203162961610261</c:v>
                </c:pt>
                <c:pt idx="39">
                  <c:v>84.304071748062853</c:v>
                </c:pt>
                <c:pt idx="40">
                  <c:v>84.25734750766658</c:v>
                </c:pt>
                <c:pt idx="41">
                  <c:v>84.346015398002862</c:v>
                </c:pt>
                <c:pt idx="42">
                  <c:v>84.430348254556165</c:v>
                </c:pt>
                <c:pt idx="43">
                  <c:v>84.510635559953926</c:v>
                </c:pt>
                <c:pt idx="44">
                  <c:v>84.58714158903598</c:v>
                </c:pt>
                <c:pt idx="45">
                  <c:v>84.660108094221329</c:v>
                </c:pt>
                <c:pt idx="46">
                  <c:v>84.729756654752478</c:v>
                </c:pt>
                <c:pt idx="47">
                  <c:v>84.796290737897479</c:v>
                </c:pt>
                <c:pt idx="48">
                  <c:v>84.859897512488303</c:v>
                </c:pt>
                <c:pt idx="49">
                  <c:v>84.920749448831273</c:v>
                </c:pt>
                <c:pt idx="50">
                  <c:v>84.979005733783083</c:v>
                </c:pt>
                <c:pt idx="51">
                  <c:v>85.034813525434373</c:v>
                </c:pt>
                <c:pt idx="52">
                  <c:v>85.088309068216901</c:v>
                </c:pt>
                <c:pt idx="53">
                  <c:v>85.139618686220075</c:v>
                </c:pt>
                <c:pt idx="54">
                  <c:v>85.188859669957637</c:v>
                </c:pt>
                <c:pt idx="55">
                  <c:v>85.236141069684962</c:v>
                </c:pt>
                <c:pt idx="56">
                  <c:v>85.281564406557308</c:v>
                </c:pt>
                <c:pt idx="57">
                  <c:v>85.325224311388041</c:v>
                </c:pt>
                <c:pt idx="58">
                  <c:v>85.367209099461903</c:v>
                </c:pt>
                <c:pt idx="59">
                  <c:v>85.407601288749746</c:v>
                </c:pt>
                <c:pt idx="60">
                  <c:v>85.446478067920822</c:v>
                </c:pt>
                <c:pt idx="61">
                  <c:v>85.483911719737208</c:v>
                </c:pt>
                <c:pt idx="62">
                  <c:v>85.519970004714381</c:v>
                </c:pt>
                <c:pt idx="63">
                  <c:v>85.554716509332366</c:v>
                </c:pt>
                <c:pt idx="64">
                  <c:v>85.588210962559899</c:v>
                </c:pt>
                <c:pt idx="65">
                  <c:v>85.620509524006039</c:v>
                </c:pt>
                <c:pt idx="66">
                  <c:v>85.651665046622313</c:v>
                </c:pt>
                <c:pt idx="67">
                  <c:v>85.681727316540076</c:v>
                </c:pt>
                <c:pt idx="68">
                  <c:v>85.710743272331086</c:v>
                </c:pt>
                <c:pt idx="69">
                  <c:v>85.738757205722465</c:v>
                </c:pt>
                <c:pt idx="70">
                  <c:v>85.765810945570109</c:v>
                </c:pt>
                <c:pt idx="71">
                  <c:v>85.791944026697905</c:v>
                </c:pt>
                <c:pt idx="72">
                  <c:v>85.817193845035149</c:v>
                </c:pt>
                <c:pt idx="73">
                  <c:v>85.841595800332286</c:v>
                </c:pt>
                <c:pt idx="74">
                  <c:v>85.865183427600172</c:v>
                </c:pt>
                <c:pt idx="75">
                  <c:v>85.88798851829857</c:v>
                </c:pt>
                <c:pt idx="76">
                  <c:v>85.910041232194814</c:v>
                </c:pt>
                <c:pt idx="77">
                  <c:v>85.931370200719954</c:v>
                </c:pt>
                <c:pt idx="78">
                  <c:v>85.952002622566852</c:v>
                </c:pt>
                <c:pt idx="79">
                  <c:v>85.971964352201383</c:v>
                </c:pt>
                <c:pt idx="80">
                  <c:v>85.991279981892006</c:v>
                </c:pt>
                <c:pt idx="81">
                  <c:v>86.009972917805001</c:v>
                </c:pt>
                <c:pt idx="82">
                  <c:v>86.02806545065998</c:v>
                </c:pt>
                <c:pt idx="83">
                  <c:v>86.045578821394358</c:v>
                </c:pt>
                <c:pt idx="84">
                  <c:v>86.062533282242981</c:v>
                </c:pt>
                <c:pt idx="85">
                  <c:v>86.078948153602298</c:v>
                </c:pt>
                <c:pt idx="86">
                  <c:v>86.094841877014588</c:v>
                </c:pt>
                <c:pt idx="87">
                  <c:v>86.110232064577716</c:v>
                </c:pt>
                <c:pt idx="88">
                  <c:v>86.125135545058257</c:v>
                </c:pt>
                <c:pt idx="89">
                  <c:v>86.139568406962368</c:v>
                </c:pt>
                <c:pt idx="90">
                  <c:v>86.153546038795625</c:v>
                </c:pt>
                <c:pt idx="91">
                  <c:v>86.16708316672343</c:v>
                </c:pt>
                <c:pt idx="92">
                  <c:v>86.180193889826199</c:v>
                </c:pt>
                <c:pt idx="93">
                  <c:v>86.192891713126258</c:v>
                </c:pt>
                <c:pt idx="94">
                  <c:v>86.205189578549181</c:v>
                </c:pt>
                <c:pt idx="95">
                  <c:v>86.217099893968694</c:v>
                </c:pt>
                <c:pt idx="96">
                  <c:v>86.228634560472244</c:v>
                </c:pt>
                <c:pt idx="97">
                  <c:v>86.239804997972868</c:v>
                </c:pt>
                <c:pt idx="98">
                  <c:v>86.250622169283545</c:v>
                </c:pt>
                <c:pt idx="99">
                  <c:v>86.261096602760347</c:v>
                </c:pt>
                <c:pt idx="100">
                  <c:v>86.271238413612807</c:v>
                </c:pt>
                <c:pt idx="101">
                  <c:v>86.28105732397222</c:v>
                </c:pt>
                <c:pt idx="102">
                  <c:v>86.290562681801291</c:v>
                </c:pt>
                <c:pt idx="103">
                  <c:v>86.29976347872271</c:v>
                </c:pt>
                <c:pt idx="104">
                  <c:v>86.308668366837878</c:v>
                </c:pt>
                <c:pt idx="105">
                  <c:v>86.317285674601933</c:v>
                </c:pt>
                <c:pt idx="106">
                  <c:v>86.32562342181636</c:v>
                </c:pt>
                <c:pt idx="107">
                  <c:v>86.333689333795789</c:v>
                </c:pt>
                <c:pt idx="108">
                  <c:v>86.341490854761688</c:v>
                </c:pt>
                <c:pt idx="109">
                  <c:v>86.349035160511477</c:v>
                </c:pt>
                <c:pt idx="110">
                  <c:v>86.356329170408713</c:v>
                </c:pt>
                <c:pt idx="111">
                  <c:v>86.363379558736256</c:v>
                </c:pt>
                <c:pt idx="112">
                  <c:v>86.370192765451421</c:v>
                </c:pt>
                <c:pt idx="113">
                  <c:v>86.37677500637983</c:v>
                </c:pt>
                <c:pt idx="114">
                  <c:v>86.383132282881633</c:v>
                </c:pt>
                <c:pt idx="115">
                  <c:v>86.389270391021725</c:v>
                </c:pt>
                <c:pt idx="116">
                  <c:v>86.395194930273533</c:v>
                </c:pt>
                <c:pt idx="117">
                  <c:v>86.400911311783574</c:v>
                </c:pt>
                <c:pt idx="118">
                  <c:v>86.406424766222614</c:v>
                </c:pt>
                <c:pt idx="119">
                  <c:v>86.411740351247474</c:v>
                </c:pt>
                <c:pt idx="120">
                  <c:v>86.416862958595317</c:v>
                </c:pt>
                <c:pt idx="121">
                  <c:v>86.421797320832098</c:v>
                </c:pt>
                <c:pt idx="122">
                  <c:v>86.426548017773911</c:v>
                </c:pt>
                <c:pt idx="123">
                  <c:v>86.431119482600309</c:v>
                </c:pt>
                <c:pt idx="124">
                  <c:v>86.435516007676028</c:v>
                </c:pt>
                <c:pt idx="125">
                  <c:v>86.439741750097895</c:v>
                </c:pt>
                <c:pt idx="126">
                  <c:v>86.443800736981245</c:v>
                </c:pt>
                <c:pt idx="127">
                  <c:v>86.447696870500522</c:v>
                </c:pt>
                <c:pt idx="128">
                  <c:v>86.451433932697171</c:v>
                </c:pt>
                <c:pt idx="129">
                  <c:v>86.455015590066964</c:v>
                </c:pt>
                <c:pt idx="130">
                  <c:v>86.458445397939059</c:v>
                </c:pt>
                <c:pt idx="131">
                  <c:v>86.461726804657076</c:v>
                </c:pt>
                <c:pt idx="132">
                  <c:v>86.464863155573141</c:v>
                </c:pt>
                <c:pt idx="133">
                  <c:v>86.467857696864144</c:v>
                </c:pt>
                <c:pt idx="134">
                  <c:v>86.470713579179588</c:v>
                </c:pt>
                <c:pt idx="135">
                  <c:v>86.473433861129706</c:v>
                </c:pt>
                <c:pt idx="136">
                  <c:v>86.476021512621799</c:v>
                </c:pt>
                <c:pt idx="137">
                  <c:v>86.478479418052345</c:v>
                </c:pt>
                <c:pt idx="138">
                  <c:v>86.480810379362509</c:v>
                </c:pt>
                <c:pt idx="139">
                  <c:v>86.483017118963375</c:v>
                </c:pt>
                <c:pt idx="140">
                  <c:v>86.48510228253754</c:v>
                </c:pt>
                <c:pt idx="141">
                  <c:v>86.48706844172321</c:v>
                </c:pt>
                <c:pt idx="142">
                  <c:v>86.488918096686291</c:v>
                </c:pt>
                <c:pt idx="143">
                  <c:v>86.490653678586042</c:v>
                </c:pt>
                <c:pt idx="144">
                  <c:v>86.492277551939452</c:v>
                </c:pt>
                <c:pt idx="145">
                  <c:v>86.493792016888861</c:v>
                </c:pt>
                <c:pt idx="146">
                  <c:v>86.495199311377817</c:v>
                </c:pt>
                <c:pt idx="147">
                  <c:v>86.496501613239147</c:v>
                </c:pt>
                <c:pt idx="148">
                  <c:v>86.497701042199509</c:v>
                </c:pt>
                <c:pt idx="149">
                  <c:v>86.498799661804341</c:v>
                </c:pt>
                <c:pt idx="150">
                  <c:v>86.499799481266592</c:v>
                </c:pt>
              </c:numCache>
            </c:numRef>
          </c:yVal>
          <c:smooth val="0"/>
          <c:extLst>
            <c:ext xmlns:c16="http://schemas.microsoft.com/office/drawing/2014/chart" uri="{C3380CC4-5D6E-409C-BE32-E72D297353CC}">
              <c16:uniqueId val="{00000000-D428-476F-9D9B-414A5D21B4D3}"/>
            </c:ext>
          </c:extLst>
        </c:ser>
        <c:dLbls>
          <c:showLegendKey val="0"/>
          <c:showVal val="0"/>
          <c:showCatName val="0"/>
          <c:showSerName val="0"/>
          <c:showPercent val="0"/>
          <c:showBubbleSize val="0"/>
        </c:dLbls>
        <c:axId val="161084544"/>
        <c:axId val="161086080"/>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Eff_vs_IOUT!$AI$7:$AI$157</c:f>
              <c:numCache>
                <c:formatCode>General</c:formatCode>
                <c:ptCount val="151"/>
                <c:pt idx="0">
                  <c:v>0</c:v>
                </c:pt>
                <c:pt idx="1">
                  <c:v>8.5961647397300484E-4</c:v>
                </c:pt>
                <c:pt idx="2">
                  <c:v>1.7215883241893273E-3</c:v>
                </c:pt>
                <c:pt idx="3">
                  <c:v>2.585093501921504E-3</c:v>
                </c:pt>
                <c:pt idx="4">
                  <c:v>3.4498386584342366E-3</c:v>
                </c:pt>
                <c:pt idx="5">
                  <c:v>4.3156542543577045E-3</c:v>
                </c:pt>
                <c:pt idx="6">
                  <c:v>5.1824258978161088E-3</c:v>
                </c:pt>
                <c:pt idx="7">
                  <c:v>6.0500696108235245E-3</c:v>
                </c:pt>
                <c:pt idx="8">
                  <c:v>6.9185203268150143E-3</c:v>
                </c:pt>
                <c:pt idx="9">
                  <c:v>7.7877256971970238E-3</c:v>
                </c:pt>
                <c:pt idx="10">
                  <c:v>8.6576424156786409E-3</c:v>
                </c:pt>
                <c:pt idx="11">
                  <c:v>9.5282338787134012E-3</c:v>
                </c:pt>
                <c:pt idx="12">
                  <c:v>1.0399468615322628E-2</c:v>
                </c:pt>
                <c:pt idx="13">
                  <c:v>1.1271319188478193E-2</c:v>
                </c:pt>
                <c:pt idx="14">
                  <c:v>1.2143761400133705E-2</c:v>
                </c:pt>
                <c:pt idx="15">
                  <c:v>1.3016773699785681E-2</c:v>
                </c:pt>
                <c:pt idx="16">
                  <c:v>1.3890336734074688E-2</c:v>
                </c:pt>
                <c:pt idx="17">
                  <c:v>1.4764432996907341E-2</c:v>
                </c:pt>
                <c:pt idx="18">
                  <c:v>1.5639046552963623E-2</c:v>
                </c:pt>
                <c:pt idx="19">
                  <c:v>1.6514162815906012E-2</c:v>
                </c:pt>
                <c:pt idx="20">
                  <c:v>1.7389768368112627E-2</c:v>
                </c:pt>
                <c:pt idx="21">
                  <c:v>1.8265850812441427E-2</c:v>
                </c:pt>
                <c:pt idx="22">
                  <c:v>1.9142398649058017E-2</c:v>
                </c:pt>
                <c:pt idx="23">
                  <c:v>2.0019401172127287E-2</c:v>
                </c:pt>
                <c:pt idx="24">
                  <c:v>2.0896848382430059E-2</c:v>
                </c:pt>
                <c:pt idx="25">
                  <c:v>2.1774730912880565E-2</c:v>
                </c:pt>
                <c:pt idx="26">
                  <c:v>2.2653039964594175E-2</c:v>
                </c:pt>
                <c:pt idx="27">
                  <c:v>2.353176725165829E-2</c:v>
                </c:pt>
                <c:pt idx="28">
                  <c:v>2.4410904953139589E-2</c:v>
                </c:pt>
                <c:pt idx="29">
                  <c:v>2.5290445671152361E-2</c:v>
                </c:pt>
                <c:pt idx="30">
                  <c:v>2.617038239403769E-2</c:v>
                </c:pt>
                <c:pt idx="31">
                  <c:v>2.7050708463879497E-2</c:v>
                </c:pt>
                <c:pt idx="32">
                  <c:v>2.7931417547721701E-2</c:v>
                </c:pt>
                <c:pt idx="33">
                  <c:v>2.881250361196162E-2</c:v>
                </c:pt>
                <c:pt idx="34">
                  <c:v>2.9693960899482258E-2</c:v>
                </c:pt>
                <c:pt idx="35">
                  <c:v>3.057578390915832E-2</c:v>
                </c:pt>
                <c:pt idx="36">
                  <c:v>3.1457967377427967E-2</c:v>
                </c:pt>
                <c:pt idx="37">
                  <c:v>3.2340506261670135E-2</c:v>
                </c:pt>
                <c:pt idx="38">
                  <c:v>3.3223395725166145E-2</c:v>
                </c:pt>
                <c:pt idx="39">
                  <c:v>3.4106631123456556E-2</c:v>
                </c:pt>
                <c:pt idx="40">
                  <c:v>3.5117801785562432E-2</c:v>
                </c:pt>
                <c:pt idx="41">
                  <c:v>3.6008554754957137E-2</c:v>
                </c:pt>
                <c:pt idx="42">
                  <c:v>3.6900146728945829E-2</c:v>
                </c:pt>
                <c:pt idx="43">
                  <c:v>3.7792577707528544E-2</c:v>
                </c:pt>
                <c:pt idx="44">
                  <c:v>3.8685847690705259E-2</c:v>
                </c:pt>
                <c:pt idx="45">
                  <c:v>3.957995667847599E-2</c:v>
                </c:pt>
                <c:pt idx="46">
                  <c:v>4.0474904670840715E-2</c:v>
                </c:pt>
                <c:pt idx="47">
                  <c:v>4.1370691667799456E-2</c:v>
                </c:pt>
                <c:pt idx="48">
                  <c:v>4.226731766935219E-2</c:v>
                </c:pt>
                <c:pt idx="49">
                  <c:v>4.316478267549894E-2</c:v>
                </c:pt>
                <c:pt idx="50">
                  <c:v>4.4063086686239705E-2</c:v>
                </c:pt>
                <c:pt idx="51">
                  <c:v>4.4962229701574465E-2</c:v>
                </c:pt>
                <c:pt idx="52">
                  <c:v>4.5862211721503232E-2</c:v>
                </c:pt>
                <c:pt idx="53">
                  <c:v>4.6763032746026001E-2</c:v>
                </c:pt>
                <c:pt idx="54">
                  <c:v>4.7664692775142778E-2</c:v>
                </c:pt>
                <c:pt idx="55">
                  <c:v>4.8567191808853563E-2</c:v>
                </c:pt>
                <c:pt idx="56">
                  <c:v>4.9470529847158343E-2</c:v>
                </c:pt>
                <c:pt idx="57">
                  <c:v>5.0374706890057144E-2</c:v>
                </c:pt>
                <c:pt idx="58">
                  <c:v>5.1279722937549954E-2</c:v>
                </c:pt>
                <c:pt idx="59">
                  <c:v>5.2185577989636751E-2</c:v>
                </c:pt>
                <c:pt idx="60">
                  <c:v>5.3092272046317571E-2</c:v>
                </c:pt>
                <c:pt idx="61">
                  <c:v>5.3999805107592391E-2</c:v>
                </c:pt>
                <c:pt idx="62">
                  <c:v>5.4908177173461234E-2</c:v>
                </c:pt>
                <c:pt idx="63">
                  <c:v>5.581738824392405E-2</c:v>
                </c:pt>
                <c:pt idx="64">
                  <c:v>5.6727438318980888E-2</c:v>
                </c:pt>
                <c:pt idx="65">
                  <c:v>5.7638327398631756E-2</c:v>
                </c:pt>
                <c:pt idx="66">
                  <c:v>5.8550055482876603E-2</c:v>
                </c:pt>
                <c:pt idx="67">
                  <c:v>5.9462622571715446E-2</c:v>
                </c:pt>
                <c:pt idx="68">
                  <c:v>6.0376028665148324E-2</c:v>
                </c:pt>
                <c:pt idx="69">
                  <c:v>6.1290273763175196E-2</c:v>
                </c:pt>
                <c:pt idx="70">
                  <c:v>6.2205357865796063E-2</c:v>
                </c:pt>
                <c:pt idx="71">
                  <c:v>6.3121280973010951E-2</c:v>
                </c:pt>
                <c:pt idx="72">
                  <c:v>6.4038043084819835E-2</c:v>
                </c:pt>
                <c:pt idx="73">
                  <c:v>6.4955644201222754E-2</c:v>
                </c:pt>
                <c:pt idx="74">
                  <c:v>6.5874084322219639E-2</c:v>
                </c:pt>
                <c:pt idx="75">
                  <c:v>6.6793363447810533E-2</c:v>
                </c:pt>
                <c:pt idx="76">
                  <c:v>6.7713481577995463E-2</c:v>
                </c:pt>
                <c:pt idx="77">
                  <c:v>6.8634438712774387E-2</c:v>
                </c:pt>
                <c:pt idx="78">
                  <c:v>6.9556234852147306E-2</c:v>
                </c:pt>
                <c:pt idx="79">
                  <c:v>7.0478869996114232E-2</c:v>
                </c:pt>
                <c:pt idx="80">
                  <c:v>7.1402344144675167E-2</c:v>
                </c:pt>
                <c:pt idx="81">
                  <c:v>7.232665729783011E-2</c:v>
                </c:pt>
                <c:pt idx="82">
                  <c:v>7.3251809455579076E-2</c:v>
                </c:pt>
                <c:pt idx="83">
                  <c:v>7.4177800617922021E-2</c:v>
                </c:pt>
                <c:pt idx="84">
                  <c:v>7.5104630784858975E-2</c:v>
                </c:pt>
                <c:pt idx="85">
                  <c:v>7.6032299956389951E-2</c:v>
                </c:pt>
                <c:pt idx="86">
                  <c:v>7.6960808132514935E-2</c:v>
                </c:pt>
                <c:pt idx="87">
                  <c:v>7.7890155313233914E-2</c:v>
                </c:pt>
                <c:pt idx="88">
                  <c:v>7.8820341498546886E-2</c:v>
                </c:pt>
                <c:pt idx="89">
                  <c:v>7.9751366688453895E-2</c:v>
                </c:pt>
                <c:pt idx="90">
                  <c:v>8.0683230882954898E-2</c:v>
                </c:pt>
                <c:pt idx="91">
                  <c:v>8.1615934082049896E-2</c:v>
                </c:pt>
                <c:pt idx="92">
                  <c:v>8.2549476285738915E-2</c:v>
                </c:pt>
                <c:pt idx="93">
                  <c:v>8.3483857494021915E-2</c:v>
                </c:pt>
                <c:pt idx="94">
                  <c:v>8.4419077706898951E-2</c:v>
                </c:pt>
                <c:pt idx="95">
                  <c:v>8.5355136924369968E-2</c:v>
                </c:pt>
                <c:pt idx="96">
                  <c:v>8.6292035146435006E-2</c:v>
                </c:pt>
                <c:pt idx="97">
                  <c:v>8.7229772373094067E-2</c:v>
                </c:pt>
                <c:pt idx="98">
                  <c:v>8.8168348604347094E-2</c:v>
                </c:pt>
                <c:pt idx="99">
                  <c:v>8.9107763840194157E-2</c:v>
                </c:pt>
                <c:pt idx="100">
                  <c:v>9.0048018080635242E-2</c:v>
                </c:pt>
                <c:pt idx="101">
                  <c:v>9.0989111325670266E-2</c:v>
                </c:pt>
                <c:pt idx="102">
                  <c:v>9.1931043575299382E-2</c:v>
                </c:pt>
                <c:pt idx="103">
                  <c:v>9.287381482952245E-2</c:v>
                </c:pt>
                <c:pt idx="104">
                  <c:v>9.381742508833954E-2</c:v>
                </c:pt>
                <c:pt idx="105">
                  <c:v>9.4761874351750652E-2</c:v>
                </c:pt>
                <c:pt idx="106">
                  <c:v>9.5707162619755717E-2</c:v>
                </c:pt>
                <c:pt idx="107">
                  <c:v>9.6653289892354818E-2</c:v>
                </c:pt>
                <c:pt idx="108">
                  <c:v>9.7600256169547928E-2</c:v>
                </c:pt>
                <c:pt idx="109">
                  <c:v>9.8548061451335031E-2</c:v>
                </c:pt>
                <c:pt idx="110">
                  <c:v>9.9496705737716171E-2</c:v>
                </c:pt>
                <c:pt idx="111">
                  <c:v>0.10044618902869132</c:v>
                </c:pt>
                <c:pt idx="112">
                  <c:v>0.10139651132426042</c:v>
                </c:pt>
                <c:pt idx="113">
                  <c:v>0.10234767262442358</c:v>
                </c:pt>
                <c:pt idx="114">
                  <c:v>0.10329967292918071</c:v>
                </c:pt>
                <c:pt idx="115">
                  <c:v>0.10425251223853185</c:v>
                </c:pt>
                <c:pt idx="116">
                  <c:v>0.10520619055247704</c:v>
                </c:pt>
                <c:pt idx="117">
                  <c:v>0.10616070787101621</c:v>
                </c:pt>
                <c:pt idx="118">
                  <c:v>0.10711606419414935</c:v>
                </c:pt>
                <c:pt idx="119">
                  <c:v>0.10807225952187655</c:v>
                </c:pt>
                <c:pt idx="120">
                  <c:v>0.10902929385419771</c:v>
                </c:pt>
                <c:pt idx="121">
                  <c:v>0.10998716719111291</c:v>
                </c:pt>
                <c:pt idx="122">
                  <c:v>0.11094587953262211</c:v>
                </c:pt>
                <c:pt idx="123">
                  <c:v>0.11190543087872531</c:v>
                </c:pt>
                <c:pt idx="124">
                  <c:v>0.11286582122942254</c:v>
                </c:pt>
                <c:pt idx="125">
                  <c:v>0.11382705058471375</c:v>
                </c:pt>
                <c:pt idx="126">
                  <c:v>0.11478911894459895</c:v>
                </c:pt>
                <c:pt idx="127">
                  <c:v>0.11575202630907817</c:v>
                </c:pt>
                <c:pt idx="128">
                  <c:v>0.11671577267815139</c:v>
                </c:pt>
                <c:pt idx="129">
                  <c:v>0.11768035805181866</c:v>
                </c:pt>
                <c:pt idx="130">
                  <c:v>0.11864578243007992</c:v>
                </c:pt>
                <c:pt idx="131">
                  <c:v>0.11961204581293514</c:v>
                </c:pt>
                <c:pt idx="132">
                  <c:v>0.12057914820038441</c:v>
                </c:pt>
                <c:pt idx="133">
                  <c:v>0.1215470895924277</c:v>
                </c:pt>
                <c:pt idx="134">
                  <c:v>0.12251586998906491</c:v>
                </c:pt>
                <c:pt idx="135">
                  <c:v>0.12348548939029622</c:v>
                </c:pt>
                <c:pt idx="136">
                  <c:v>0.12445594779612149</c:v>
                </c:pt>
                <c:pt idx="137">
                  <c:v>0.12542724520654081</c:v>
                </c:pt>
                <c:pt idx="138">
                  <c:v>0.12639938162155409</c:v>
                </c:pt>
                <c:pt idx="139">
                  <c:v>0.12737235704116137</c:v>
                </c:pt>
                <c:pt idx="140">
                  <c:v>0.12834617146536267</c:v>
                </c:pt>
                <c:pt idx="141">
                  <c:v>0.12932082489415797</c:v>
                </c:pt>
                <c:pt idx="142">
                  <c:v>0.13029631732754732</c:v>
                </c:pt>
                <c:pt idx="143">
                  <c:v>0.13127264876553066</c:v>
                </c:pt>
                <c:pt idx="144">
                  <c:v>0.13224981920810797</c:v>
                </c:pt>
                <c:pt idx="145">
                  <c:v>0.13322782865527927</c:v>
                </c:pt>
                <c:pt idx="146">
                  <c:v>0.13420667710704468</c:v>
                </c:pt>
                <c:pt idx="147">
                  <c:v>0.13518636456340399</c:v>
                </c:pt>
                <c:pt idx="148">
                  <c:v>0.13616689102435736</c:v>
                </c:pt>
                <c:pt idx="149">
                  <c:v>0.1371482564899047</c:v>
                </c:pt>
                <c:pt idx="150">
                  <c:v>0.13813046096004608</c:v>
                </c:pt>
              </c:numCache>
            </c:numRef>
          </c:yVal>
          <c:smooth val="1"/>
          <c:extLst>
            <c:ext xmlns:c16="http://schemas.microsoft.com/office/drawing/2014/chart" uri="{C3380CC4-5D6E-409C-BE32-E72D297353CC}">
              <c16:uniqueId val="{00000001-D428-476F-9D9B-414A5D21B4D3}"/>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Eff_vs_IOUT!$AN$7:$AN$157</c:f>
              <c:numCache>
                <c:formatCode>General</c:formatCode>
                <c:ptCount val="151"/>
                <c:pt idx="0">
                  <c:v>2.4552000000000001E-2</c:v>
                </c:pt>
                <c:pt idx="1">
                  <c:v>3.2285333333333333E-2</c:v>
                </c:pt>
                <c:pt idx="2">
                  <c:v>4.0018666666666668E-2</c:v>
                </c:pt>
                <c:pt idx="3">
                  <c:v>4.7752000000000003E-2</c:v>
                </c:pt>
                <c:pt idx="4">
                  <c:v>5.5485333333333331E-2</c:v>
                </c:pt>
                <c:pt idx="5">
                  <c:v>6.3218666666666659E-2</c:v>
                </c:pt>
                <c:pt idx="6">
                  <c:v>7.0952000000000001E-2</c:v>
                </c:pt>
                <c:pt idx="7">
                  <c:v>7.8685333333333329E-2</c:v>
                </c:pt>
                <c:pt idx="8">
                  <c:v>8.6418666666666671E-2</c:v>
                </c:pt>
                <c:pt idx="9">
                  <c:v>9.4152E-2</c:v>
                </c:pt>
                <c:pt idx="10">
                  <c:v>0.10188533333333333</c:v>
                </c:pt>
                <c:pt idx="11">
                  <c:v>0.10961866666666667</c:v>
                </c:pt>
                <c:pt idx="12">
                  <c:v>0.117352</c:v>
                </c:pt>
                <c:pt idx="13">
                  <c:v>0.12508533333333333</c:v>
                </c:pt>
                <c:pt idx="14">
                  <c:v>0.13281866666666667</c:v>
                </c:pt>
                <c:pt idx="15">
                  <c:v>0.14055199999999998</c:v>
                </c:pt>
                <c:pt idx="16">
                  <c:v>0.14828533333333332</c:v>
                </c:pt>
                <c:pt idx="17">
                  <c:v>0.15601866666666667</c:v>
                </c:pt>
                <c:pt idx="18">
                  <c:v>0.16375199999999998</c:v>
                </c:pt>
                <c:pt idx="19">
                  <c:v>0.17148533333333332</c:v>
                </c:pt>
                <c:pt idx="20">
                  <c:v>0.17921866666666664</c:v>
                </c:pt>
                <c:pt idx="21">
                  <c:v>0.18695200000000001</c:v>
                </c:pt>
                <c:pt idx="22">
                  <c:v>0.19468533333333332</c:v>
                </c:pt>
                <c:pt idx="23">
                  <c:v>0.20241866666666666</c:v>
                </c:pt>
                <c:pt idx="24">
                  <c:v>0.21015199999999998</c:v>
                </c:pt>
                <c:pt idx="25">
                  <c:v>0.21788533333333332</c:v>
                </c:pt>
                <c:pt idx="26">
                  <c:v>0.22561866666666666</c:v>
                </c:pt>
                <c:pt idx="27">
                  <c:v>0.233352</c:v>
                </c:pt>
                <c:pt idx="28">
                  <c:v>0.24108533333333332</c:v>
                </c:pt>
                <c:pt idx="29">
                  <c:v>0.24881866666666666</c:v>
                </c:pt>
                <c:pt idx="30">
                  <c:v>0.256552</c:v>
                </c:pt>
                <c:pt idx="31">
                  <c:v>0.26428533333333337</c:v>
                </c:pt>
                <c:pt idx="32">
                  <c:v>0.27201866666666669</c:v>
                </c:pt>
                <c:pt idx="33">
                  <c:v>0.279752</c:v>
                </c:pt>
                <c:pt idx="34">
                  <c:v>0.28748533333333337</c:v>
                </c:pt>
                <c:pt idx="35">
                  <c:v>0.29521866666666668</c:v>
                </c:pt>
                <c:pt idx="36">
                  <c:v>0.302952</c:v>
                </c:pt>
                <c:pt idx="37">
                  <c:v>0.31068533333333331</c:v>
                </c:pt>
                <c:pt idx="38">
                  <c:v>0.31841866666666668</c:v>
                </c:pt>
                <c:pt idx="39">
                  <c:v>0.326152</c:v>
                </c:pt>
                <c:pt idx="40">
                  <c:v>0.33388533333333331</c:v>
                </c:pt>
                <c:pt idx="41">
                  <c:v>0.34161866666666668</c:v>
                </c:pt>
                <c:pt idx="42">
                  <c:v>0.34935200000000005</c:v>
                </c:pt>
                <c:pt idx="43">
                  <c:v>0.35708533333333337</c:v>
                </c:pt>
                <c:pt idx="44">
                  <c:v>0.36481866666666668</c:v>
                </c:pt>
                <c:pt idx="45">
                  <c:v>0.37255200000000005</c:v>
                </c:pt>
                <c:pt idx="46">
                  <c:v>0.38028533333333336</c:v>
                </c:pt>
                <c:pt idx="47">
                  <c:v>0.38801866666666668</c:v>
                </c:pt>
                <c:pt idx="48">
                  <c:v>0.39575199999999999</c:v>
                </c:pt>
                <c:pt idx="49">
                  <c:v>0.40348533333333331</c:v>
                </c:pt>
                <c:pt idx="50">
                  <c:v>0.41121866666666668</c:v>
                </c:pt>
                <c:pt idx="51">
                  <c:v>0.41895200000000005</c:v>
                </c:pt>
                <c:pt idx="52">
                  <c:v>0.42668533333333336</c:v>
                </c:pt>
                <c:pt idx="53">
                  <c:v>0.43441866666666668</c:v>
                </c:pt>
                <c:pt idx="54">
                  <c:v>0.44215200000000004</c:v>
                </c:pt>
                <c:pt idx="55">
                  <c:v>0.44988533333333336</c:v>
                </c:pt>
                <c:pt idx="56">
                  <c:v>0.45761866666666667</c:v>
                </c:pt>
                <c:pt idx="57">
                  <c:v>0.46535199999999999</c:v>
                </c:pt>
                <c:pt idx="58">
                  <c:v>0.47308533333333336</c:v>
                </c:pt>
                <c:pt idx="59">
                  <c:v>0.48081866666666667</c:v>
                </c:pt>
                <c:pt idx="60">
                  <c:v>0.48855199999999999</c:v>
                </c:pt>
                <c:pt idx="61">
                  <c:v>0.49628533333333336</c:v>
                </c:pt>
                <c:pt idx="62">
                  <c:v>0.50401866666666673</c:v>
                </c:pt>
                <c:pt idx="63">
                  <c:v>0.51175199999999998</c:v>
                </c:pt>
                <c:pt idx="64">
                  <c:v>0.51948533333333335</c:v>
                </c:pt>
                <c:pt idx="65">
                  <c:v>0.52721866666666661</c:v>
                </c:pt>
                <c:pt idx="66">
                  <c:v>0.53495199999999998</c:v>
                </c:pt>
                <c:pt idx="67">
                  <c:v>0.54268533333333335</c:v>
                </c:pt>
                <c:pt idx="68">
                  <c:v>0.55041866666666672</c:v>
                </c:pt>
                <c:pt idx="69">
                  <c:v>0.55815199999999998</c:v>
                </c:pt>
                <c:pt idx="70">
                  <c:v>0.56588533333333335</c:v>
                </c:pt>
                <c:pt idx="71">
                  <c:v>0.57361866666666672</c:v>
                </c:pt>
                <c:pt idx="72">
                  <c:v>0.58135199999999998</c:v>
                </c:pt>
                <c:pt idx="73">
                  <c:v>0.58908533333333335</c:v>
                </c:pt>
                <c:pt idx="74">
                  <c:v>0.59681866666666661</c:v>
                </c:pt>
                <c:pt idx="75">
                  <c:v>0.60455199999999998</c:v>
                </c:pt>
                <c:pt idx="76">
                  <c:v>0.61228533333333335</c:v>
                </c:pt>
                <c:pt idx="77">
                  <c:v>0.62001866666666672</c:v>
                </c:pt>
                <c:pt idx="78">
                  <c:v>0.62775199999999998</c:v>
                </c:pt>
                <c:pt idx="79">
                  <c:v>0.63548533333333335</c:v>
                </c:pt>
                <c:pt idx="80">
                  <c:v>0.64321866666666661</c:v>
                </c:pt>
                <c:pt idx="81">
                  <c:v>0.65095199999999998</c:v>
                </c:pt>
                <c:pt idx="82">
                  <c:v>0.65868533333333334</c:v>
                </c:pt>
                <c:pt idx="83">
                  <c:v>0.6664186666666666</c:v>
                </c:pt>
                <c:pt idx="84">
                  <c:v>0.67415200000000008</c:v>
                </c:pt>
                <c:pt idx="85">
                  <c:v>0.68188533333333334</c:v>
                </c:pt>
                <c:pt idx="86">
                  <c:v>0.68961866666666671</c:v>
                </c:pt>
                <c:pt idx="87">
                  <c:v>0.69735200000000008</c:v>
                </c:pt>
                <c:pt idx="88">
                  <c:v>0.70508533333333334</c:v>
                </c:pt>
                <c:pt idx="89">
                  <c:v>0.71281866666666671</c:v>
                </c:pt>
                <c:pt idx="90">
                  <c:v>0.72055200000000008</c:v>
                </c:pt>
                <c:pt idx="91">
                  <c:v>0.72828533333333334</c:v>
                </c:pt>
                <c:pt idx="92">
                  <c:v>0.73601866666666671</c:v>
                </c:pt>
                <c:pt idx="93">
                  <c:v>0.74375199999999997</c:v>
                </c:pt>
                <c:pt idx="94">
                  <c:v>0.75148533333333334</c:v>
                </c:pt>
                <c:pt idx="95">
                  <c:v>0.75921866666666671</c:v>
                </c:pt>
                <c:pt idx="96">
                  <c:v>0.76695199999999997</c:v>
                </c:pt>
                <c:pt idx="97">
                  <c:v>0.77468533333333334</c:v>
                </c:pt>
                <c:pt idx="98">
                  <c:v>0.7824186666666666</c:v>
                </c:pt>
                <c:pt idx="99">
                  <c:v>0.79015199999999997</c:v>
                </c:pt>
                <c:pt idx="100">
                  <c:v>0.79788533333333334</c:v>
                </c:pt>
                <c:pt idx="101">
                  <c:v>0.80561866666666659</c:v>
                </c:pt>
                <c:pt idx="102">
                  <c:v>0.81335200000000007</c:v>
                </c:pt>
                <c:pt idx="103">
                  <c:v>0.82108533333333344</c:v>
                </c:pt>
                <c:pt idx="104">
                  <c:v>0.8288186666666667</c:v>
                </c:pt>
                <c:pt idx="105">
                  <c:v>0.83655200000000007</c:v>
                </c:pt>
                <c:pt idx="106">
                  <c:v>0.84428533333333333</c:v>
                </c:pt>
                <c:pt idx="107">
                  <c:v>0.8520186666666667</c:v>
                </c:pt>
                <c:pt idx="108">
                  <c:v>0.85975200000000007</c:v>
                </c:pt>
                <c:pt idx="109">
                  <c:v>0.86748533333333333</c:v>
                </c:pt>
                <c:pt idx="110">
                  <c:v>0.8752186666666667</c:v>
                </c:pt>
                <c:pt idx="111">
                  <c:v>0.88295200000000007</c:v>
                </c:pt>
                <c:pt idx="112">
                  <c:v>0.89068533333333333</c:v>
                </c:pt>
                <c:pt idx="113">
                  <c:v>0.8984186666666667</c:v>
                </c:pt>
                <c:pt idx="114">
                  <c:v>0.90615199999999996</c:v>
                </c:pt>
                <c:pt idx="115">
                  <c:v>0.91388533333333333</c:v>
                </c:pt>
                <c:pt idx="116">
                  <c:v>0.9216186666666667</c:v>
                </c:pt>
                <c:pt idx="117">
                  <c:v>0.92935199999999996</c:v>
                </c:pt>
                <c:pt idx="118">
                  <c:v>0.93708533333333333</c:v>
                </c:pt>
                <c:pt idx="119">
                  <c:v>0.94481866666666658</c:v>
                </c:pt>
                <c:pt idx="120">
                  <c:v>0.95255199999999995</c:v>
                </c:pt>
                <c:pt idx="121">
                  <c:v>0.96028533333333344</c:v>
                </c:pt>
                <c:pt idx="122">
                  <c:v>0.96801866666666669</c:v>
                </c:pt>
                <c:pt idx="123">
                  <c:v>0.97575200000000006</c:v>
                </c:pt>
                <c:pt idx="124">
                  <c:v>0.98348533333333343</c:v>
                </c:pt>
                <c:pt idx="125">
                  <c:v>0.99121866666666669</c:v>
                </c:pt>
                <c:pt idx="126">
                  <c:v>0.99895200000000006</c:v>
                </c:pt>
                <c:pt idx="127">
                  <c:v>1.0066853333333332</c:v>
                </c:pt>
                <c:pt idx="128">
                  <c:v>1.0144186666666666</c:v>
                </c:pt>
                <c:pt idx="129">
                  <c:v>1.0221519999999999</c:v>
                </c:pt>
                <c:pt idx="130">
                  <c:v>1.0298853333333331</c:v>
                </c:pt>
                <c:pt idx="131">
                  <c:v>1.0376186666666667</c:v>
                </c:pt>
                <c:pt idx="132">
                  <c:v>1.0453519999999998</c:v>
                </c:pt>
                <c:pt idx="133">
                  <c:v>1.0530853333333332</c:v>
                </c:pt>
                <c:pt idx="134">
                  <c:v>1.0608186666666666</c:v>
                </c:pt>
                <c:pt idx="135">
                  <c:v>1.0685519999999999</c:v>
                </c:pt>
                <c:pt idx="136">
                  <c:v>1.0762853333333333</c:v>
                </c:pt>
                <c:pt idx="137">
                  <c:v>1.0840186666666667</c:v>
                </c:pt>
                <c:pt idx="138">
                  <c:v>1.0917519999999998</c:v>
                </c:pt>
                <c:pt idx="139">
                  <c:v>1.0994853333333332</c:v>
                </c:pt>
                <c:pt idx="140">
                  <c:v>1.1072186666666666</c:v>
                </c:pt>
                <c:pt idx="141">
                  <c:v>1.1149519999999999</c:v>
                </c:pt>
                <c:pt idx="142">
                  <c:v>1.1226853333333333</c:v>
                </c:pt>
                <c:pt idx="143">
                  <c:v>1.1304186666666665</c:v>
                </c:pt>
                <c:pt idx="144">
                  <c:v>1.1381519999999998</c:v>
                </c:pt>
                <c:pt idx="145">
                  <c:v>1.1458853333333332</c:v>
                </c:pt>
                <c:pt idx="146">
                  <c:v>1.1536186666666666</c:v>
                </c:pt>
                <c:pt idx="147">
                  <c:v>1.1613519999999999</c:v>
                </c:pt>
                <c:pt idx="148">
                  <c:v>1.1690853333333331</c:v>
                </c:pt>
                <c:pt idx="149">
                  <c:v>1.1768186666666667</c:v>
                </c:pt>
                <c:pt idx="150">
                  <c:v>1.1845519999999998</c:v>
                </c:pt>
              </c:numCache>
            </c:numRef>
          </c:yVal>
          <c:smooth val="1"/>
          <c:extLst>
            <c:ext xmlns:c16="http://schemas.microsoft.com/office/drawing/2014/chart" uri="{C3380CC4-5D6E-409C-BE32-E72D297353CC}">
              <c16:uniqueId val="{00000002-D428-476F-9D9B-414A5D21B4D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Eff_vs_IOUT!$AO$7:$AO$157</c:f>
              <c:numCache>
                <c:formatCode>General</c:formatCode>
                <c:ptCount val="151"/>
                <c:pt idx="0">
                  <c:v>0</c:v>
                </c:pt>
                <c:pt idx="1">
                  <c:v>1.2361698415453879E-5</c:v>
                </c:pt>
                <c:pt idx="2">
                  <c:v>3.4964163106201735E-5</c:v>
                </c:pt>
                <c:pt idx="3">
                  <c:v>6.4233269170229379E-5</c:v>
                </c:pt>
                <c:pt idx="4">
                  <c:v>9.8893587323631003E-5</c:v>
                </c:pt>
                <c:pt idx="5">
                  <c:v>1.382079898715315E-4</c:v>
                </c:pt>
                <c:pt idx="6">
                  <c:v>1.8167912083220006E-4</c:v>
                </c:pt>
                <c:pt idx="7">
                  <c:v>2.2894185852770512E-4</c:v>
                </c:pt>
                <c:pt idx="8">
                  <c:v>2.7971330484961388E-4</c:v>
                </c:pt>
                <c:pt idx="9">
                  <c:v>3.3376585721725478E-4</c:v>
                </c:pt>
                <c:pt idx="10">
                  <c:v>3.9091122740928647E-4</c:v>
                </c:pt>
                <c:pt idx="11">
                  <c:v>4.5099026957150533E-4</c:v>
                </c:pt>
                <c:pt idx="12">
                  <c:v>5.1386615336183514E-4</c:v>
                </c:pt>
                <c:pt idx="13">
                  <c:v>5.7941958735363173E-4</c:v>
                </c:pt>
                <c:pt idx="14">
                  <c:v>6.4754536264956632E-4</c:v>
                </c:pt>
                <c:pt idx="15">
                  <c:v>7.1814978140837243E-4</c:v>
                </c:pt>
                <c:pt idx="16">
                  <c:v>7.9114869858904824E-4</c:v>
                </c:pt>
                <c:pt idx="17">
                  <c:v>8.6646600074209593E-4</c:v>
                </c:pt>
                <c:pt idx="18">
                  <c:v>9.4403240386744689E-4</c:v>
                </c:pt>
                <c:pt idx="19">
                  <c:v>1.0237844891063165E-3</c:v>
                </c:pt>
                <c:pt idx="20">
                  <c:v>1.105663918972252E-3</c:v>
                </c:pt>
                <c:pt idx="21">
                  <c:v>1.1896167928476945E-3</c:v>
                </c:pt>
                <c:pt idx="22">
                  <c:v>1.2755931114526423E-3</c:v>
                </c:pt>
                <c:pt idx="23">
                  <c:v>1.3635463276779282E-3</c:v>
                </c:pt>
                <c:pt idx="24">
                  <c:v>1.4534329666576007E-3</c:v>
                </c:pt>
                <c:pt idx="25">
                  <c:v>1.545212301931734E-3</c:v>
                </c:pt>
                <c:pt idx="26">
                  <c:v>1.6388460774802557E-3</c:v>
                </c:pt>
                <c:pt idx="27">
                  <c:v>1.7342982675961946E-3</c:v>
                </c:pt>
                <c:pt idx="28">
                  <c:v>1.8315348682216412E-3</c:v>
                </c:pt>
                <c:pt idx="29">
                  <c:v>1.9305237146360643E-3</c:v>
                </c:pt>
                <c:pt idx="30">
                  <c:v>2.0312343213659866E-3</c:v>
                </c:pt>
                <c:pt idx="31">
                  <c:v>2.1336377409501115E-3</c:v>
                </c:pt>
                <c:pt idx="32">
                  <c:v>2.237706438796911E-3</c:v>
                </c:pt>
                <c:pt idx="33">
                  <c:v>2.3434141818510935E-3</c:v>
                </c:pt>
                <c:pt idx="34">
                  <c:v>2.4507359391692965E-3</c:v>
                </c:pt>
                <c:pt idx="35">
                  <c:v>2.5596477928154439E-3</c:v>
                </c:pt>
                <c:pt idx="36">
                  <c:v>2.6701268577380378E-3</c:v>
                </c:pt>
                <c:pt idx="37">
                  <c:v>2.7821512094976788E-3</c:v>
                </c:pt>
                <c:pt idx="38">
                  <c:v>2.8956998188827254E-3</c:v>
                </c:pt>
                <c:pt idx="39">
                  <c:v>3.0107524925912501E-3</c:v>
                </c:pt>
                <c:pt idx="40">
                  <c:v>3.6820454437583058E-3</c:v>
                </c:pt>
                <c:pt idx="41">
                  <c:v>3.8297832092246053E-3</c:v>
                </c:pt>
                <c:pt idx="42">
                  <c:v>3.9811688207517983E-3</c:v>
                </c:pt>
                <c:pt idx="43">
                  <c:v>4.1362022783398853E-3</c:v>
                </c:pt>
                <c:pt idx="44">
                  <c:v>4.2948835819888722E-3</c:v>
                </c:pt>
                <c:pt idx="45">
                  <c:v>4.4572127316987575E-3</c:v>
                </c:pt>
                <c:pt idx="46">
                  <c:v>4.6231897274695332E-3</c:v>
                </c:pt>
                <c:pt idx="47">
                  <c:v>4.792814569301208E-3</c:v>
                </c:pt>
                <c:pt idx="48">
                  <c:v>4.9660872571937785E-3</c:v>
                </c:pt>
                <c:pt idx="49">
                  <c:v>5.1430077911472482E-3</c:v>
                </c:pt>
                <c:pt idx="50">
                  <c:v>5.3235761711616101E-3</c:v>
                </c:pt>
                <c:pt idx="51">
                  <c:v>5.5077923972368693E-3</c:v>
                </c:pt>
                <c:pt idx="52">
                  <c:v>5.695656469373026E-3</c:v>
                </c:pt>
                <c:pt idx="53">
                  <c:v>5.8871683875700758E-3</c:v>
                </c:pt>
                <c:pt idx="54">
                  <c:v>6.0823281518280273E-3</c:v>
                </c:pt>
                <c:pt idx="55">
                  <c:v>6.281135762146871E-3</c:v>
                </c:pt>
                <c:pt idx="56">
                  <c:v>6.4835912185266121E-3</c:v>
                </c:pt>
                <c:pt idx="57">
                  <c:v>6.6896945209672489E-3</c:v>
                </c:pt>
                <c:pt idx="58">
                  <c:v>6.8994456694687822E-3</c:v>
                </c:pt>
                <c:pt idx="59">
                  <c:v>7.1128446640312121E-3</c:v>
                </c:pt>
                <c:pt idx="60">
                  <c:v>7.3298915046545367E-3</c:v>
                </c:pt>
                <c:pt idx="61">
                  <c:v>7.5505861913387571E-3</c:v>
                </c:pt>
                <c:pt idx="62">
                  <c:v>7.7749287240838818E-3</c:v>
                </c:pt>
                <c:pt idx="63">
                  <c:v>8.0029191028898935E-3</c:v>
                </c:pt>
                <c:pt idx="64">
                  <c:v>8.2345573277568043E-3</c:v>
                </c:pt>
                <c:pt idx="65">
                  <c:v>8.4698433986846091E-3</c:v>
                </c:pt>
                <c:pt idx="66">
                  <c:v>8.7087773156733182E-3</c:v>
                </c:pt>
                <c:pt idx="67">
                  <c:v>8.9513590787229074E-3</c:v>
                </c:pt>
                <c:pt idx="68">
                  <c:v>9.1975886878334096E-3</c:v>
                </c:pt>
                <c:pt idx="69">
                  <c:v>9.447466143004804E-3</c:v>
                </c:pt>
                <c:pt idx="70">
                  <c:v>9.7009914442370906E-3</c:v>
                </c:pt>
                <c:pt idx="71">
                  <c:v>9.9581645915302799E-3</c:v>
                </c:pt>
                <c:pt idx="72">
                  <c:v>1.0218985584884351E-2</c:v>
                </c:pt>
                <c:pt idx="73">
                  <c:v>1.0483454424299333E-2</c:v>
                </c:pt>
                <c:pt idx="74">
                  <c:v>1.0751571109775204E-2</c:v>
                </c:pt>
                <c:pt idx="75">
                  <c:v>1.1023335641311967E-2</c:v>
                </c:pt>
                <c:pt idx="76">
                  <c:v>1.1298748018909637E-2</c:v>
                </c:pt>
                <c:pt idx="77">
                  <c:v>1.1577808242568209E-2</c:v>
                </c:pt>
                <c:pt idx="78">
                  <c:v>1.1860516312287661E-2</c:v>
                </c:pt>
                <c:pt idx="79">
                  <c:v>1.2146872228068015E-2</c:v>
                </c:pt>
                <c:pt idx="80">
                  <c:v>1.2436875989909264E-2</c:v>
                </c:pt>
                <c:pt idx="81">
                  <c:v>1.2730527597811408E-2</c:v>
                </c:pt>
                <c:pt idx="82">
                  <c:v>1.302782705177445E-2</c:v>
                </c:pt>
                <c:pt idx="83">
                  <c:v>1.3328774351798385E-2</c:v>
                </c:pt>
                <c:pt idx="84">
                  <c:v>1.3633369497883224E-2</c:v>
                </c:pt>
                <c:pt idx="85">
                  <c:v>1.3941612490028945E-2</c:v>
                </c:pt>
                <c:pt idx="86">
                  <c:v>1.4253503328235587E-2</c:v>
                </c:pt>
                <c:pt idx="87">
                  <c:v>1.4569042012503114E-2</c:v>
                </c:pt>
                <c:pt idx="88">
                  <c:v>1.4888228542831528E-2</c:v>
                </c:pt>
                <c:pt idx="89">
                  <c:v>1.5211062919220846E-2</c:v>
                </c:pt>
                <c:pt idx="90">
                  <c:v>1.5537545141671058E-2</c:v>
                </c:pt>
                <c:pt idx="91">
                  <c:v>1.5867675210182161E-2</c:v>
                </c:pt>
                <c:pt idx="92">
                  <c:v>1.620145312475417E-2</c:v>
                </c:pt>
                <c:pt idx="93">
                  <c:v>1.6538878885387073E-2</c:v>
                </c:pt>
                <c:pt idx="94">
                  <c:v>1.6879952492080873E-2</c:v>
                </c:pt>
                <c:pt idx="95">
                  <c:v>1.722467394483557E-2</c:v>
                </c:pt>
                <c:pt idx="96">
                  <c:v>1.7573043243651151E-2</c:v>
                </c:pt>
                <c:pt idx="97">
                  <c:v>1.792506038852764E-2</c:v>
                </c:pt>
                <c:pt idx="98">
                  <c:v>1.8280725379465023E-2</c:v>
                </c:pt>
                <c:pt idx="99">
                  <c:v>1.864003821646331E-2</c:v>
                </c:pt>
                <c:pt idx="100">
                  <c:v>1.9002998899522484E-2</c:v>
                </c:pt>
                <c:pt idx="101">
                  <c:v>1.9369607428642546E-2</c:v>
                </c:pt>
                <c:pt idx="102">
                  <c:v>1.9739863803823518E-2</c:v>
                </c:pt>
                <c:pt idx="103">
                  <c:v>2.0113768025065384E-2</c:v>
                </c:pt>
                <c:pt idx="104">
                  <c:v>2.0491320092368141E-2</c:v>
                </c:pt>
                <c:pt idx="105">
                  <c:v>2.0872520005731796E-2</c:v>
                </c:pt>
                <c:pt idx="106">
                  <c:v>2.1257367765156344E-2</c:v>
                </c:pt>
                <c:pt idx="107">
                  <c:v>2.16458633706418E-2</c:v>
                </c:pt>
                <c:pt idx="108">
                  <c:v>2.2038006822188146E-2</c:v>
                </c:pt>
                <c:pt idx="109">
                  <c:v>2.243379811979538E-2</c:v>
                </c:pt>
                <c:pt idx="110">
                  <c:v>2.2833237263463514E-2</c:v>
                </c:pt>
                <c:pt idx="111">
                  <c:v>2.3236324253192553E-2</c:v>
                </c:pt>
                <c:pt idx="112">
                  <c:v>2.3643059088982479E-2</c:v>
                </c:pt>
                <c:pt idx="113">
                  <c:v>2.4053441770833305E-2</c:v>
                </c:pt>
                <c:pt idx="114">
                  <c:v>2.4467472298745029E-2</c:v>
                </c:pt>
                <c:pt idx="115">
                  <c:v>2.4885150672717647E-2</c:v>
                </c:pt>
                <c:pt idx="116">
                  <c:v>2.5306476892751173E-2</c:v>
                </c:pt>
                <c:pt idx="117">
                  <c:v>2.5731450958845582E-2</c:v>
                </c:pt>
                <c:pt idx="118">
                  <c:v>2.6160072871000879E-2</c:v>
                </c:pt>
                <c:pt idx="119">
                  <c:v>2.6592342629217086E-2</c:v>
                </c:pt>
                <c:pt idx="120">
                  <c:v>2.7028260233494174E-2</c:v>
                </c:pt>
                <c:pt idx="121">
                  <c:v>2.7467825683832183E-2</c:v>
                </c:pt>
                <c:pt idx="122">
                  <c:v>2.7911038980231066E-2</c:v>
                </c:pt>
                <c:pt idx="123">
                  <c:v>2.8357900122690866E-2</c:v>
                </c:pt>
                <c:pt idx="124">
                  <c:v>2.880840911121155E-2</c:v>
                </c:pt>
                <c:pt idx="125">
                  <c:v>2.9262565945793132E-2</c:v>
                </c:pt>
                <c:pt idx="126">
                  <c:v>2.9720370626435601E-2</c:v>
                </c:pt>
                <c:pt idx="127">
                  <c:v>3.0181823153138984E-2</c:v>
                </c:pt>
                <c:pt idx="128">
                  <c:v>3.0646923525903237E-2</c:v>
                </c:pt>
                <c:pt idx="129">
                  <c:v>3.1115671744728415E-2</c:v>
                </c:pt>
                <c:pt idx="130">
                  <c:v>3.1588067809614484E-2</c:v>
                </c:pt>
                <c:pt idx="131">
                  <c:v>3.2064111720561436E-2</c:v>
                </c:pt>
                <c:pt idx="132">
                  <c:v>3.2543803477569293E-2</c:v>
                </c:pt>
                <c:pt idx="133">
                  <c:v>3.302714308063804E-2</c:v>
                </c:pt>
                <c:pt idx="134">
                  <c:v>3.3514130529767677E-2</c:v>
                </c:pt>
                <c:pt idx="135">
                  <c:v>3.4004765824958233E-2</c:v>
                </c:pt>
                <c:pt idx="136">
                  <c:v>3.4499048966209651E-2</c:v>
                </c:pt>
                <c:pt idx="137">
                  <c:v>3.4996979953522009E-2</c:v>
                </c:pt>
                <c:pt idx="138">
                  <c:v>3.5498558786895236E-2</c:v>
                </c:pt>
                <c:pt idx="139">
                  <c:v>3.600378546632936E-2</c:v>
                </c:pt>
                <c:pt idx="140">
                  <c:v>3.6512659991824389E-2</c:v>
                </c:pt>
                <c:pt idx="141">
                  <c:v>3.7025182363380309E-2</c:v>
                </c:pt>
                <c:pt idx="142">
                  <c:v>3.7541352580997125E-2</c:v>
                </c:pt>
                <c:pt idx="143">
                  <c:v>3.806117064467484E-2</c:v>
                </c:pt>
                <c:pt idx="144">
                  <c:v>3.8584636554413444E-2</c:v>
                </c:pt>
                <c:pt idx="145">
                  <c:v>3.9111750310212939E-2</c:v>
                </c:pt>
                <c:pt idx="146">
                  <c:v>3.9642511912073346E-2</c:v>
                </c:pt>
                <c:pt idx="147">
                  <c:v>4.0176921359994643E-2</c:v>
                </c:pt>
                <c:pt idx="148">
                  <c:v>4.0714978653976844E-2</c:v>
                </c:pt>
                <c:pt idx="149">
                  <c:v>4.1256683794019915E-2</c:v>
                </c:pt>
                <c:pt idx="150">
                  <c:v>4.1802036780123918E-2</c:v>
                </c:pt>
              </c:numCache>
            </c:numRef>
          </c:yVal>
          <c:smooth val="1"/>
          <c:extLst>
            <c:ext xmlns:c16="http://schemas.microsoft.com/office/drawing/2014/chart" uri="{C3380CC4-5D6E-409C-BE32-E72D297353CC}">
              <c16:uniqueId val="{00000003-D428-476F-9D9B-414A5D21B4D3}"/>
            </c:ext>
          </c:extLst>
        </c:ser>
        <c:dLbls>
          <c:showLegendKey val="0"/>
          <c:showVal val="0"/>
          <c:showCatName val="0"/>
          <c:showSerName val="0"/>
          <c:showPercent val="0"/>
          <c:showBubbleSize val="0"/>
        </c:dLbls>
        <c:axId val="162552448"/>
        <c:axId val="162550528"/>
      </c:scatterChart>
      <c:valAx>
        <c:axId val="161084544"/>
        <c:scaling>
          <c:orientation val="minMax"/>
        </c:scaling>
        <c:delete val="0"/>
        <c:axPos val="b"/>
        <c:majorGridlines/>
        <c:numFmt formatCode="General" sourceLinked="1"/>
        <c:majorTickMark val="out"/>
        <c:minorTickMark val="none"/>
        <c:tickLblPos val="nextTo"/>
        <c:crossAx val="161086080"/>
        <c:crosses val="autoZero"/>
        <c:crossBetween val="midCat"/>
      </c:valAx>
      <c:valAx>
        <c:axId val="161086080"/>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61084544"/>
        <c:crosses val="autoZero"/>
        <c:crossBetween val="midCat"/>
      </c:valAx>
      <c:valAx>
        <c:axId val="162550528"/>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62552448"/>
        <c:crosses val="max"/>
        <c:crossBetween val="midCat"/>
      </c:valAx>
      <c:valAx>
        <c:axId val="162552448"/>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62550528"/>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6" fmlaRange="$1:$1048576" noThreeD="1" sel="0" val="0"/>
</file>

<file path=xl/ctrlProps/ctrlProp2.xml><?xml version="1.0" encoding="utf-8"?>
<formControlPr xmlns="http://schemas.microsoft.com/office/spreadsheetml/2009/9/main" objectType="Spin" dx="20" fmlaLink="$H$8" max="45" noThreeD="1" page="10" val="3"/>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chart" Target="../charts/chart4.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drawing8.xml.rels><?xml version="1.0" encoding="UTF-8" standalone="yes"?>
<Relationships xmlns="http://schemas.openxmlformats.org/package/2006/relationships"><Relationship Id="rId3" Type="http://schemas.openxmlformats.org/officeDocument/2006/relationships/hyperlink" Target="http://www.ti.com/corp/docs/legal/copyright.shtml" TargetMode="External"/><Relationship Id="rId2" Type="http://schemas.openxmlformats.org/officeDocument/2006/relationships/image" Target="../media/image11.gif"/><Relationship Id="rId1" Type="http://schemas.openxmlformats.org/officeDocument/2006/relationships/hyperlink" Target="http://www.ti.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596900</xdr:colOff>
          <xdr:row>30</xdr:row>
          <xdr:rowOff>88900</xdr:rowOff>
        </xdr:from>
        <xdr:to>
          <xdr:col>16</xdr:col>
          <xdr:colOff>215900</xdr:colOff>
          <xdr:row>31</xdr:row>
          <xdr:rowOff>114300</xdr:rowOff>
        </xdr:to>
        <xdr:sp macro="" textlink="">
          <xdr:nvSpPr>
            <xdr:cNvPr id="1170" name="Drop Down 146" descr="This is just there to fix the excel issue with comments and linked pictures" hidden="1">
              <a:extLst>
                <a:ext uri="{63B3BB69-23CF-44E3-9099-C40C66FF867C}">
                  <a14:compatExt spid="_x0000_s1170"/>
                </a:ext>
                <a:ext uri="{FF2B5EF4-FFF2-40B4-BE49-F238E27FC236}">
                  <a16:creationId xmlns:a16="http://schemas.microsoft.com/office/drawing/2014/main" id="{00000000-0008-0000-0000-00009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twoCellAnchor>
    <xdr:from>
      <xdr:col>9</xdr:col>
      <xdr:colOff>22860</xdr:colOff>
      <xdr:row>50</xdr:row>
      <xdr:rowOff>1</xdr:rowOff>
    </xdr:from>
    <xdr:to>
      <xdr:col>25</xdr:col>
      <xdr:colOff>598714</xdr:colOff>
      <xdr:row>71</xdr:row>
      <xdr:rowOff>175261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22861</xdr:colOff>
      <xdr:row>74</xdr:row>
      <xdr:rowOff>7620</xdr:rowOff>
    </xdr:from>
    <xdr:to>
      <xdr:col>25</xdr:col>
      <xdr:colOff>600637</xdr:colOff>
      <xdr:row>98</xdr:row>
      <xdr:rowOff>163286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7</xdr:col>
          <xdr:colOff>508000</xdr:colOff>
          <xdr:row>56</xdr:row>
          <xdr:rowOff>0</xdr:rowOff>
        </xdr:from>
        <xdr:to>
          <xdr:col>8</xdr:col>
          <xdr:colOff>12700</xdr:colOff>
          <xdr:row>58</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134501</xdr:colOff>
      <xdr:row>49</xdr:row>
      <xdr:rowOff>62752</xdr:rowOff>
    </xdr:from>
    <xdr:to>
      <xdr:col>15</xdr:col>
      <xdr:colOff>484124</xdr:colOff>
      <xdr:row>51</xdr:row>
      <xdr:rowOff>161363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326001" y="10338546"/>
          <a:ext cx="943535" cy="5468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197245</xdr:colOff>
      <xdr:row>49</xdr:row>
      <xdr:rowOff>71718</xdr:rowOff>
    </xdr:from>
    <xdr:to>
      <xdr:col>16</xdr:col>
      <xdr:colOff>528939</xdr:colOff>
      <xdr:row>51</xdr:row>
      <xdr:rowOff>170330</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8955763" y="9538447"/>
          <a:ext cx="941294" cy="493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3.8</a:t>
          </a:fld>
          <a:endParaRPr lang="en-US" sz="2400"/>
        </a:p>
      </xdr:txBody>
    </xdr:sp>
    <xdr:clientData/>
  </xdr:twoCellAnchor>
  <xdr:twoCellAnchor>
    <xdr:from>
      <xdr:col>15</xdr:col>
      <xdr:colOff>568726</xdr:colOff>
      <xdr:row>49</xdr:row>
      <xdr:rowOff>62752</xdr:rowOff>
    </xdr:from>
    <xdr:to>
      <xdr:col>17</xdr:col>
      <xdr:colOff>318274</xdr:colOff>
      <xdr:row>51</xdr:row>
      <xdr:rowOff>161363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354138" y="10338546"/>
          <a:ext cx="937371" cy="5468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74</xdr:row>
      <xdr:rowOff>26894</xdr:rowOff>
    </xdr:from>
    <xdr:to>
      <xdr:col>13</xdr:col>
      <xdr:colOff>116540</xdr:colOff>
      <xdr:row>76</xdr:row>
      <xdr:rowOff>134470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12</xdr:col>
      <xdr:colOff>439261</xdr:colOff>
      <xdr:row>74</xdr:row>
      <xdr:rowOff>35860</xdr:rowOff>
    </xdr:from>
    <xdr:to>
      <xdr:col>14</xdr:col>
      <xdr:colOff>161355</xdr:colOff>
      <xdr:row>76</xdr:row>
      <xdr:rowOff>143437</xdr:rowOff>
    </xdr:to>
    <xdr:sp macro="" textlink="VIN_nom">
      <xdr:nvSpPr>
        <xdr:cNvPr id="10" name="TextBox 9">
          <a:extLst>
            <a:ext uri="{FF2B5EF4-FFF2-40B4-BE49-F238E27FC236}">
              <a16:creationId xmlns:a16="http://schemas.microsoft.com/office/drawing/2014/main" id="{00000000-0008-0000-0000-00000A000000}"/>
            </a:ext>
          </a:extLst>
        </xdr:cNvPr>
        <xdr:cNvSpPr txBox="1"/>
      </xdr:nvSpPr>
      <xdr:spPr>
        <a:xfrm>
          <a:off x="7368979" y="14388354"/>
          <a:ext cx="941294" cy="493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3.8</a:t>
          </a:fld>
          <a:endParaRPr lang="en-US" sz="2400"/>
        </a:p>
      </xdr:txBody>
    </xdr:sp>
    <xdr:clientData/>
  </xdr:twoCellAnchor>
  <xdr:twoCellAnchor>
    <xdr:from>
      <xdr:col>13</xdr:col>
      <xdr:colOff>233079</xdr:colOff>
      <xdr:row>74</xdr:row>
      <xdr:rowOff>26894</xdr:rowOff>
    </xdr:from>
    <xdr:to>
      <xdr:col>14</xdr:col>
      <xdr:colOff>582702</xdr:colOff>
      <xdr:row>76</xdr:row>
      <xdr:rowOff>134470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7772397"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99097</xdr:colOff>
      <xdr:row>67</xdr:row>
      <xdr:rowOff>155530</xdr:rowOff>
    </xdr:from>
    <xdr:to>
      <xdr:col>13</xdr:col>
      <xdr:colOff>150962</xdr:colOff>
      <xdr:row>68</xdr:row>
      <xdr:rowOff>132991</xdr:rowOff>
    </xdr:to>
    <xdr:sp macro="" textlink="Loop_Modeling!A69">
      <xdr:nvSpPr>
        <xdr:cNvPr id="14" name="TextBox 13">
          <a:extLst>
            <a:ext uri="{FF2B5EF4-FFF2-40B4-BE49-F238E27FC236}">
              <a16:creationId xmlns:a16="http://schemas.microsoft.com/office/drawing/2014/main" id="{00000000-0008-0000-0000-00000E000000}"/>
            </a:ext>
          </a:extLst>
        </xdr:cNvPr>
        <xdr:cNvSpPr txBox="1"/>
      </xdr:nvSpPr>
      <xdr:spPr>
        <a:xfrm>
          <a:off x="6475455" y="14328011"/>
          <a:ext cx="1230809" cy="1787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96E2E744-8A5D-4458-A426-E4363EDE50C7}" type="TxLink">
            <a:rPr lang="en-US" sz="1100" b="1" i="0" u="none" strike="noStrike">
              <a:solidFill>
                <a:schemeClr val="accent1">
                  <a:lumMod val="75000"/>
                </a:schemeClr>
              </a:solidFill>
              <a:latin typeface="Calibri"/>
              <a:cs typeface="Calibri"/>
            </a:rPr>
            <a:pPr/>
            <a:t>Phase Margin = 84°</a:t>
          </a:fld>
          <a:endParaRPr lang="en-US" sz="2400" b="1">
            <a:solidFill>
              <a:schemeClr val="accent1">
                <a:lumMod val="75000"/>
              </a:schemeClr>
            </a:solidFill>
          </a:endParaRPr>
        </a:p>
      </xdr:txBody>
    </xdr:sp>
    <xdr:clientData/>
  </xdr:twoCellAnchor>
  <xdr:twoCellAnchor>
    <xdr:from>
      <xdr:col>11</xdr:col>
      <xdr:colOff>98632</xdr:colOff>
      <xdr:row>66</xdr:row>
      <xdr:rowOff>109818</xdr:rowOff>
    </xdr:from>
    <xdr:to>
      <xdr:col>15</xdr:col>
      <xdr:colOff>224116</xdr:colOff>
      <xdr:row>67</xdr:row>
      <xdr:rowOff>123265</xdr:rowOff>
    </xdr:to>
    <xdr:sp macro="" textlink="Loop_Modeling!A68">
      <xdr:nvSpPr>
        <xdr:cNvPr id="15" name="TextBox 14">
          <a:extLst>
            <a:ext uri="{FF2B5EF4-FFF2-40B4-BE49-F238E27FC236}">
              <a16:creationId xmlns:a16="http://schemas.microsoft.com/office/drawing/2014/main" id="{00000000-0008-0000-0000-00000F000000}"/>
            </a:ext>
          </a:extLst>
        </xdr:cNvPr>
        <xdr:cNvSpPr txBox="1"/>
      </xdr:nvSpPr>
      <xdr:spPr>
        <a:xfrm>
          <a:off x="6508397" y="13982700"/>
          <a:ext cx="2501131" cy="2039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EF506B42-A944-4597-8E98-BD1D41977E0E}" type="TxLink">
            <a:rPr lang="en-US" sz="1100" b="1" i="0" u="none" strike="noStrike">
              <a:solidFill>
                <a:srgbClr val="C00000"/>
              </a:solidFill>
              <a:latin typeface="+mn-lt"/>
              <a:cs typeface="Arial" panose="020B0604020202020204" pitchFamily="34" charset="0"/>
            </a:rPr>
            <a:pPr/>
            <a:t>Crossover Frequency = 4 kHz</a:t>
          </a:fld>
          <a:endParaRPr lang="en-US" sz="2400" b="1">
            <a:solidFill>
              <a:srgbClr val="C00000"/>
            </a:solidFill>
            <a:latin typeface="+mn-lt"/>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10</xdr:col>
          <xdr:colOff>18648</xdr:colOff>
          <xdr:row>6</xdr:row>
          <xdr:rowOff>9525</xdr:rowOff>
        </xdr:from>
        <xdr:to>
          <xdr:col>25</xdr:col>
          <xdr:colOff>417820</xdr:colOff>
          <xdr:row>36</xdr:row>
          <xdr:rowOff>167640</xdr:rowOff>
        </xdr:to>
        <xdr:pic>
          <xdr:nvPicPr>
            <xdr:cNvPr id="18" name="Picture 17">
              <a:extLst>
                <a:ext uri="{FF2B5EF4-FFF2-40B4-BE49-F238E27FC236}">
                  <a16:creationId xmlns:a16="http://schemas.microsoft.com/office/drawing/2014/main" id="{00000000-0008-0000-0000-000012000000}"/>
                </a:ext>
              </a:extLst>
            </xdr:cNvPr>
            <xdr:cNvPicPr>
              <a:picLocks noChangeAspect="1"/>
              <a:extLst>
                <a:ext uri="{84589F7E-364E-4C9E-8A38-B11213B215E9}">
                  <a14:cameraTool cellRange="display_SCH" spid="_x0000_s1218"/>
                </a:ext>
              </a:extLst>
            </xdr:cNvPicPr>
          </xdr:nvPicPr>
          <xdr:blipFill rotWithShape="1">
            <a:blip xmlns:r="http://schemas.openxmlformats.org/officeDocument/2006/relationships" r:embed="rId3"/>
            <a:srcRect/>
            <a:stretch>
              <a:fillRect/>
            </a:stretch>
          </xdr:blipFill>
          <xdr:spPr>
            <a:xfrm>
              <a:off x="5834501" y="1567143"/>
              <a:ext cx="9195790" cy="6116058"/>
            </a:xfrm>
            <a:prstGeom prst="rect">
              <a:avLst/>
            </a:prstGeom>
            <a:solidFill>
              <a:schemeClr val="bg1"/>
            </a:solidFill>
          </xdr:spPr>
        </xdr:pic>
        <xdr:clientData/>
      </xdr:twoCellAnchor>
    </mc:Choice>
    <mc:Fallback/>
  </mc:AlternateContent>
  <xdr:twoCellAnchor>
    <xdr:from>
      <xdr:col>14</xdr:col>
      <xdr:colOff>333375</xdr:colOff>
      <xdr:row>16</xdr:row>
      <xdr:rowOff>85724</xdr:rowOff>
    </xdr:from>
    <xdr:to>
      <xdr:col>16</xdr:col>
      <xdr:colOff>428625</xdr:colOff>
      <xdr:row>18</xdr:row>
      <xdr:rowOff>57149</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8486775" y="3543299"/>
          <a:ext cx="1276350"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latin typeface="Arial" panose="020B0604020202020204" pitchFamily="34" charset="0"/>
              <a:cs typeface="Arial" panose="020B0604020202020204" pitchFamily="34" charset="0"/>
            </a:rPr>
            <a:t>LM5155/56</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851647</xdr:colOff>
      <xdr:row>215</xdr:row>
      <xdr:rowOff>170330</xdr:rowOff>
    </xdr:from>
    <xdr:to>
      <xdr:col>14</xdr:col>
      <xdr:colOff>484094</xdr:colOff>
      <xdr:row>223</xdr:row>
      <xdr:rowOff>71719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807388" y="26544495"/>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63500</xdr:colOff>
          <xdr:row>154</xdr:row>
          <xdr:rowOff>139700</xdr:rowOff>
        </xdr:from>
        <xdr:to>
          <xdr:col>12</xdr:col>
          <xdr:colOff>393700</xdr:colOff>
          <xdr:row>157</xdr:row>
          <xdr:rowOff>25400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8</xdr:col>
      <xdr:colOff>842683</xdr:colOff>
      <xdr:row>186</xdr:row>
      <xdr:rowOff>17930</xdr:rowOff>
    </xdr:from>
    <xdr:to>
      <xdr:col>14</xdr:col>
      <xdr:colOff>475130</xdr:colOff>
      <xdr:row>195</xdr:row>
      <xdr:rowOff>98613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voltage range</a:t>
          </a:r>
          <a:endParaRPr lang="en-US" sz="1100"/>
        </a:p>
      </xdr:txBody>
    </xdr:sp>
    <xdr:clientData/>
  </xdr:twoCellAnchor>
  <xdr:twoCellAnchor>
    <xdr:from>
      <xdr:col>14</xdr:col>
      <xdr:colOff>11205</xdr:colOff>
      <xdr:row>33</xdr:row>
      <xdr:rowOff>100853</xdr:rowOff>
    </xdr:from>
    <xdr:to>
      <xdr:col>18</xdr:col>
      <xdr:colOff>582705</xdr:colOff>
      <xdr:row>38</xdr:row>
      <xdr:rowOff>78441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2920381" y="6555441"/>
          <a:ext cx="2991971" cy="930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a:t>
          </a:r>
          <a:r>
            <a:rPr lang="en-US" sz="1100" baseline="0"/>
            <a:t> Lm is </a:t>
          </a:r>
        </a:p>
        <a:p>
          <a:r>
            <a:rPr lang="en-US" sz="1100" baseline="0"/>
            <a:t>lower then each of them -&gt; CCM</a:t>
          </a:r>
        </a:p>
        <a:p>
          <a:r>
            <a:rPr lang="en-US" sz="1100" baseline="0"/>
            <a:t>Higher </a:t>
          </a:r>
          <a:r>
            <a:rPr lang="en-US" sz="1100" baseline="0">
              <a:solidFill>
                <a:schemeClr val="dk1"/>
              </a:solidFill>
              <a:effectLst/>
              <a:latin typeface="+mn-lt"/>
              <a:ea typeface="+mn-ea"/>
              <a:cs typeface="+mn-cs"/>
            </a:rPr>
            <a:t>lower then each of them </a:t>
          </a:r>
          <a:r>
            <a:rPr lang="en-US" sz="1100" baseline="0"/>
            <a:t> -&gt; DCM</a:t>
          </a:r>
        </a:p>
        <a:p>
          <a:r>
            <a:rPr lang="en-US" sz="1100" baseline="0"/>
            <a:t>else CCM and DCM </a:t>
          </a:r>
          <a:endParaRPr lang="en-US" sz="1100"/>
        </a:p>
      </xdr:txBody>
    </xdr:sp>
    <xdr:clientData/>
  </xdr:twoCellAnchor>
  <xdr:twoCellAnchor>
    <xdr:from>
      <xdr:col>13</xdr:col>
      <xdr:colOff>268941</xdr:colOff>
      <xdr:row>23</xdr:row>
      <xdr:rowOff>112059</xdr:rowOff>
    </xdr:from>
    <xdr:to>
      <xdr:col>16</xdr:col>
      <xdr:colOff>571500</xdr:colOff>
      <xdr:row>28</xdr:row>
      <xdr:rowOff>168088</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920382" y="4661647"/>
          <a:ext cx="2330824" cy="1008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Check</a:t>
          </a:r>
          <a:r>
            <a:rPr lang="en-US" sz="1100" baseline="0"/>
            <a:t> if DC for DCM would be less the DC for CCM -&gt; in this case it would run in DCM mode</a:t>
          </a:r>
        </a:p>
        <a:p>
          <a:r>
            <a:rPr lang="en-US" sz="1100" baseline="0"/>
            <a:t>Check if at the 3 points CCM or DCM would be used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21</xdr:col>
      <xdr:colOff>528917</xdr:colOff>
      <xdr:row>67</xdr:row>
      <xdr:rowOff>89006</xdr:rowOff>
    </xdr:from>
    <xdr:to>
      <xdr:col>30</xdr:col>
      <xdr:colOff>79513</xdr:colOff>
      <xdr:row>86</xdr:row>
      <xdr:rowOff>92765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32</xdr:col>
      <xdr:colOff>186690</xdr:colOff>
      <xdr:row>39</xdr:row>
      <xdr:rowOff>167640</xdr:rowOff>
    </xdr:from>
    <xdr:to>
      <xdr:col>34</xdr:col>
      <xdr:colOff>530487</xdr:colOff>
      <xdr:row>45</xdr:row>
      <xdr:rowOff>56599</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34</xdr:col>
      <xdr:colOff>247650</xdr:colOff>
      <xdr:row>40</xdr:row>
      <xdr:rowOff>60960</xdr:rowOff>
    </xdr:from>
    <xdr:to>
      <xdr:col>38</xdr:col>
      <xdr:colOff>567929</xdr:colOff>
      <xdr:row>44</xdr:row>
      <xdr:rowOff>148662</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31</xdr:col>
      <xdr:colOff>30480</xdr:colOff>
      <xdr:row>49</xdr:row>
      <xdr:rowOff>64770</xdr:rowOff>
    </xdr:from>
    <xdr:to>
      <xdr:col>42</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317182</xdr:colOff>
      <xdr:row>23</xdr:row>
      <xdr:rowOff>62388</xdr:rowOff>
    </xdr:from>
    <xdr:to>
      <xdr:col>24</xdr:col>
      <xdr:colOff>450532</xdr:colOff>
      <xdr:row>47</xdr:row>
      <xdr:rowOff>20478</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38</xdr:row>
      <xdr:rowOff>8964</xdr:rowOff>
    </xdr:from>
    <xdr:to>
      <xdr:col>11</xdr:col>
      <xdr:colOff>591031</xdr:colOff>
      <xdr:row>46</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187669" y="7533714"/>
          <a:ext cx="2571050" cy="1646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 points</a:t>
          </a:r>
          <a:r>
            <a:rPr lang="en-US" sz="1100" baseline="0"/>
            <a:t> later to show where the pole and zerDc_Mode_Loopos of the loops are at. Similar to the LM5175 QS</a:t>
          </a:r>
        </a:p>
        <a:p>
          <a:endParaRPr lang="en-US" sz="1100" baseline="0"/>
        </a:p>
        <a:p>
          <a:r>
            <a:rPr lang="en-US" sz="1100" baseline="0"/>
            <a:t>Should also update to the more accurate equation of the DC gain. See Mathcad and Sheehan paper.</a:t>
          </a:r>
          <a:endParaRPr lang="en-US" sz="1100"/>
        </a:p>
      </xdr:txBody>
    </xdr:sp>
    <xdr:clientData/>
  </xdr:twoCellAnchor>
  <xdr:twoCellAnchor>
    <xdr:from>
      <xdr:col>8</xdr:col>
      <xdr:colOff>0</xdr:colOff>
      <xdr:row>52</xdr:row>
      <xdr:rowOff>13855</xdr:rowOff>
    </xdr:from>
    <xdr:to>
      <xdr:col>12</xdr:col>
      <xdr:colOff>83127</xdr:colOff>
      <xdr:row>63</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Next</a:t>
          </a:r>
          <a:r>
            <a:rPr lang="en-US" sz="1100" baseline="0"/>
            <a:t> Revision additions</a:t>
          </a:r>
        </a:p>
        <a:p>
          <a:r>
            <a:rPr lang="en-US" sz="1100" baseline="0"/>
            <a:t>- Add the effect of the EA output resistance and capacitance</a:t>
          </a:r>
        </a:p>
      </xdr:txBody>
    </xdr:sp>
    <xdr:clientData/>
  </xdr:twoCellAnchor>
  <xdr:twoCellAnchor>
    <xdr:from>
      <xdr:col>8</xdr:col>
      <xdr:colOff>291694</xdr:colOff>
      <xdr:row>12</xdr:row>
      <xdr:rowOff>113739</xdr:rowOff>
    </xdr:from>
    <xdr:to>
      <xdr:col>12</xdr:col>
      <xdr:colOff>267182</xdr:colOff>
      <xdr:row>20</xdr:row>
      <xdr:rowOff>188419</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6471038" y="2637864"/>
          <a:ext cx="2571050" cy="1646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Duty Cycle</a:t>
          </a:r>
          <a:r>
            <a:rPr lang="en-US" sz="1100" baseline="0"/>
            <a:t> mode for </a:t>
          </a:r>
          <a:r>
            <a:rPr lang="en-US" sz="1100"/>
            <a:t>Loop Comenstation is fixed to</a:t>
          </a:r>
          <a:r>
            <a:rPr lang="en-US" sz="1100" baseline="0"/>
            <a:t> CCM as it stable in DCM when stable in CCM but if required could be also set to selected mode on variable Management page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129540</xdr:colOff>
      <xdr:row>22</xdr:row>
      <xdr:rowOff>0</xdr:rowOff>
    </xdr:from>
    <xdr:to>
      <xdr:col>13</xdr:col>
      <xdr:colOff>76200</xdr:colOff>
      <xdr:row>30</xdr:row>
      <xdr:rowOff>45370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69580" y="4198620"/>
          <a:ext cx="2385060" cy="152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1</xdr:row>
      <xdr:rowOff>0</xdr:rowOff>
    </xdr:from>
    <xdr:to>
      <xdr:col>1</xdr:col>
      <xdr:colOff>5057640</xdr:colOff>
      <xdr:row>1</xdr:row>
      <xdr:rowOff>2762250</xdr:rowOff>
    </xdr:to>
    <xdr:pic>
      <xdr:nvPicPr>
        <xdr:cNvPr id="7" name="Picture 6">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599" y="190500"/>
          <a:ext cx="5057641"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609599</xdr:colOff>
      <xdr:row>3</xdr:row>
      <xdr:rowOff>0</xdr:rowOff>
    </xdr:from>
    <xdr:to>
      <xdr:col>1</xdr:col>
      <xdr:colOff>5057640</xdr:colOff>
      <xdr:row>3</xdr:row>
      <xdr:rowOff>2762250</xdr:rowOff>
    </xdr:to>
    <xdr:pic>
      <xdr:nvPicPr>
        <xdr:cNvPr id="8" name="Picture 7">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599" y="3771900"/>
          <a:ext cx="5057641"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1</xdr:col>
      <xdr:colOff>592455</xdr:colOff>
      <xdr:row>2</xdr:row>
      <xdr:rowOff>93296</xdr:rowOff>
    </xdr:to>
    <xdr:pic>
      <xdr:nvPicPr>
        <xdr:cNvPr id="2" name="Picture 1" descr="ti logo">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5240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200025</xdr:colOff>
      <xdr:row>0</xdr:row>
      <xdr:rowOff>114300</xdr:rowOff>
    </xdr:from>
    <xdr:ext cx="3752850" cy="381708"/>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914525" y="114300"/>
          <a:ext cx="3752850"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About this tool...</a:t>
          </a:r>
        </a:p>
      </xdr:txBody>
    </xdr:sp>
    <xdr:clientData/>
  </xdr:oneCellAnchor>
  <xdr:oneCellAnchor>
    <xdr:from>
      <xdr:col>3</xdr:col>
      <xdr:colOff>323850</xdr:colOff>
      <xdr:row>1</xdr:row>
      <xdr:rowOff>28575</xdr:rowOff>
    </xdr:from>
    <xdr:ext cx="4719497" cy="254557"/>
    <xdr:sp macro="" textlink="">
      <xdr:nvSpPr>
        <xdr:cNvPr id="4" name="TextBox 3">
          <a:hlinkClick xmlns:r="http://schemas.openxmlformats.org/officeDocument/2006/relationships" r:id="rId3"/>
          <a:extLst>
            <a:ext uri="{FF2B5EF4-FFF2-40B4-BE49-F238E27FC236}">
              <a16:creationId xmlns:a16="http://schemas.microsoft.com/office/drawing/2014/main" id="{00000000-0008-0000-0800-000004000000}"/>
            </a:ext>
          </a:extLst>
        </xdr:cNvPr>
        <xdr:cNvSpPr txBox="1"/>
      </xdr:nvSpPr>
      <xdr:spPr>
        <a:xfrm>
          <a:off x="6419850" y="209550"/>
          <a:ext cx="471949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Arial" panose="020B0604020202020204" pitchFamily="34" charset="0"/>
              <a:ea typeface="+mn-ea"/>
              <a:cs typeface="Arial" panose="020B0604020202020204" pitchFamily="34" charset="0"/>
              <a:hlinkClick xmlns:r="http://schemas.openxmlformats.org/officeDocument/2006/relationships" r:id=""/>
            </a:rPr>
            <a:t>© Copyright 2021</a:t>
          </a:r>
          <a:r>
            <a:rPr lang="en-US" sz="1100" b="0" i="0">
              <a:solidFill>
                <a:schemeClr val="tx1"/>
              </a:solidFill>
              <a:effectLst/>
              <a:latin typeface="Arial" panose="020B0604020202020204" pitchFamily="34" charset="0"/>
              <a:ea typeface="+mn-ea"/>
              <a:cs typeface="Arial" panose="020B0604020202020204" pitchFamily="34" charset="0"/>
            </a:rPr>
            <a:t> Texas Instruments Incorporated. All rights reserved.</a:t>
          </a:r>
          <a:endParaRPr lang="en-US" sz="1100" b="0">
            <a:latin typeface="Arial" panose="020B0604020202020204" pitchFamily="34" charset="0"/>
            <a:cs typeface="Arial" panose="020B0604020202020204" pitchFamily="34" charset="0"/>
          </a:endParaRPr>
        </a:p>
      </xdr:txBody>
    </xdr:sp>
    <xdr:clientData/>
  </xdr:oneCellAnchor>
  <xdr:oneCellAnchor>
    <xdr:from>
      <xdr:col>0</xdr:col>
      <xdr:colOff>95247</xdr:colOff>
      <xdr:row>6</xdr:row>
      <xdr:rowOff>47623</xdr:rowOff>
    </xdr:from>
    <xdr:ext cx="11229977" cy="4086227"/>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95247" y="1114423"/>
          <a:ext cx="11229977" cy="4086227"/>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1">
              <a:latin typeface="Arial" panose="020B0604020202020204" pitchFamily="34" charset="0"/>
              <a:cs typeface="Arial" panose="020B0604020202020204" pitchFamily="34" charset="0"/>
            </a:rPr>
            <a:t>LICENSE INFORMATION:</a:t>
          </a:r>
        </a:p>
        <a:p>
          <a:r>
            <a:rPr lang="en-US" sz="900">
              <a:solidFill>
                <a:schemeClr val="tx1"/>
              </a:solidFill>
              <a:effectLst/>
              <a:latin typeface="Arial" panose="020B0604020202020204" pitchFamily="34" charset="0"/>
              <a:ea typeface="+mn-ea"/>
              <a:cs typeface="Arial" panose="020B0604020202020204" pitchFamily="34" charset="0"/>
            </a:rPr>
            <a:t>Copyright (c) 2021 Texas Instruments Incorporated</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All rights reserved not granted herein.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Limited License.  </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Redistributions must preserve existing copyright notices and reproduce this license (including the above copyright notice and the disclaimer and (if applicable) source code license limitations below) in the documentation and/or other materials provided with the distribution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 and use in binary form, without modification,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No reverse engineering, decompilation, or disassembly of this software is permitted with respect to any software provided in binary form. </a:t>
          </a:r>
        </a:p>
        <a:p>
          <a:r>
            <a:rPr lang="en-US" sz="900">
              <a:solidFill>
                <a:schemeClr val="tx1"/>
              </a:solidFill>
              <a:effectLst/>
              <a:latin typeface="Arial" panose="020B0604020202020204" pitchFamily="34" charset="0"/>
              <a:ea typeface="+mn-ea"/>
              <a:cs typeface="Arial" panose="020B0604020202020204" pitchFamily="34" charset="0"/>
            </a:rPr>
            <a:t>*	Any redistribution and use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Nothing shall obligate TI to provide you with source code for the software licensed and provided to you in object code.</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If software source code is provided to you, modification and redistribution of the source code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the source code, including any resulting derivative works,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any object code compiled from the source code and any resulting derivative works, are licensed by TI for use only with TI Devices.</a:t>
          </a:r>
        </a:p>
        <a:p>
          <a:endParaRPr lang="en-US" sz="900">
            <a:solidFill>
              <a:schemeClr val="tx1"/>
            </a:solidFill>
            <a:effectLst/>
            <a:latin typeface="Arial" panose="020B0604020202020204" pitchFamily="34" charset="0"/>
            <a:ea typeface="+mn-ea"/>
            <a:cs typeface="Arial" panose="020B0604020202020204" pitchFamily="34" charset="0"/>
          </a:endParaRPr>
        </a:p>
        <a:p>
          <a:r>
            <a:rPr lang="en-US" sz="900">
              <a:solidFill>
                <a:schemeClr val="tx1"/>
              </a:solidFill>
              <a:effectLst/>
              <a:latin typeface="Arial" panose="020B0604020202020204" pitchFamily="34" charset="0"/>
              <a:ea typeface="+mn-ea"/>
              <a:cs typeface="Arial" panose="020B0604020202020204" pitchFamily="34" charset="0"/>
            </a:rPr>
            <a:t>Neither the name of Texas Instruments Incorporated nor the names of its suppliers may be used to endorse or promote products derived from this software without specific prior written permission.</a:t>
          </a:r>
          <a:endParaRPr lang="en-US" sz="1000" b="1">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1" baseline="0">
              <a:latin typeface="Arial" panose="020B0604020202020204" pitchFamily="34" charset="0"/>
              <a:cs typeface="Arial" panose="020B0604020202020204" pitchFamily="34" charset="0"/>
            </a:rPr>
            <a:t>DISCLAMER:</a:t>
          </a:r>
        </a:p>
        <a:p>
          <a:pPr marL="0" marR="0" indent="0" defTabSz="914400" eaLnBrk="1" fontAlgn="auto" latinLnBrk="0" hangingPunct="1">
            <a:lnSpc>
              <a:spcPct val="100000"/>
            </a:lnSpc>
            <a:spcBef>
              <a:spcPts val="0"/>
            </a:spcBef>
            <a:spcAft>
              <a:spcPts val="0"/>
            </a:spcAft>
            <a:buClrTx/>
            <a:buSzTx/>
            <a:buFontTx/>
            <a:buNone/>
            <a:tabLst/>
            <a:defRPr/>
          </a:pPr>
          <a:r>
            <a:rPr lang="en-US" sz="800" baseline="0">
              <a:latin typeface="Arial" panose="020B0604020202020204" pitchFamily="34" charset="0"/>
              <a:cs typeface="Arial" panose="020B0604020202020204" pitchFamily="34" charset="0"/>
            </a:rPr>
            <a:t>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a:t>
          </a:r>
        </a:p>
      </xdr:txBody>
    </xdr:sp>
    <xdr:clientData/>
  </xdr:oneCellAnchor>
  <xdr:oneCellAnchor>
    <xdr:from>
      <xdr:col>0</xdr:col>
      <xdr:colOff>95247</xdr:colOff>
      <xdr:row>29</xdr:row>
      <xdr:rowOff>47623</xdr:rowOff>
    </xdr:from>
    <xdr:ext cx="11229977" cy="809627"/>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95247" y="5276848"/>
          <a:ext cx="11229977" cy="80962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IMPORTANT</a:t>
          </a:r>
          <a:r>
            <a:rPr lang="en-US" sz="1100" b="1" baseline="0">
              <a:solidFill>
                <a:schemeClr val="tx1"/>
              </a:solidFill>
              <a:effectLst/>
              <a:latin typeface="+mn-lt"/>
              <a:ea typeface="+mn-ea"/>
              <a:cs typeface="+mn-cs"/>
            </a:rPr>
            <a:t>:   </a:t>
          </a:r>
          <a:endParaRPr lang="en-US" sz="800">
            <a:effectLst/>
          </a:endParaRPr>
        </a:p>
        <a:p>
          <a:r>
            <a:rPr lang="en-US" sz="1100" baseline="0">
              <a:solidFill>
                <a:schemeClr val="tx1"/>
              </a:solidFill>
              <a:effectLst/>
              <a:latin typeface="+mn-lt"/>
              <a:ea typeface="+mn-ea"/>
              <a:cs typeface="+mn-cs"/>
            </a:rPr>
            <a:t>1.  Do not delete this worksheet!</a:t>
          </a:r>
          <a:endParaRPr lang="en-US" sz="800">
            <a:effectLst/>
          </a:endParaRPr>
        </a:p>
        <a:p>
          <a:pPr eaLnBrk="1" fontAlgn="auto" latinLnBrk="0" hangingPunct="1"/>
          <a:r>
            <a:rPr lang="en-US" sz="1100" baseline="0">
              <a:solidFill>
                <a:schemeClr val="tx1"/>
              </a:solidFill>
              <a:effectLst/>
              <a:latin typeface="+mn-lt"/>
              <a:ea typeface="+mn-ea"/>
              <a:cs typeface="+mn-cs"/>
            </a:rPr>
            <a:t>2.  Redistributions must retain the above copyright and the following disclaimer.</a:t>
          </a:r>
          <a:endParaRPr lang="en-US" sz="800">
            <a:effectLst/>
          </a:endParaRPr>
        </a:p>
        <a:p>
          <a:endParaRPr lang="en-US" sz="800" baseline="0">
            <a:latin typeface="Arial" panose="020B0604020202020204" pitchFamily="34" charset="0"/>
            <a:cs typeface="Arial" panose="020B0604020202020204" pitchFamily="34" charset="0"/>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0196876/Downloads/ADS1235%20Design%20Calcu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
      <sheetName val="Common-Mode Range"/>
      <sheetName val="Code Conversions"/>
      <sheetName val="Digital Filter"/>
      <sheetName val="STATUS"/>
      <sheetName val="CRC"/>
      <sheetName val="About"/>
      <sheetName val="Help"/>
    </sheetNames>
    <sheetDataSet>
      <sheetData sheetId="0" refreshError="1"/>
      <sheetData sheetId="1" refreshError="1"/>
      <sheetData sheetId="2" refreshError="1"/>
      <sheetData sheetId="3">
        <row r="84">
          <cell r="T84" t="b">
            <v>0</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100"/>
  <sheetViews>
    <sheetView tabSelected="1" topLeftCell="A19" zoomScale="139" zoomScaleNormal="139" workbookViewId="0">
      <selection activeCell="H41" sqref="H41"/>
    </sheetView>
  </sheetViews>
  <sheetFormatPr baseColWidth="10" defaultColWidth="8.83203125" defaultRowHeight="15" x14ac:dyDescent="0.2"/>
  <cols>
    <col min="1" max="5" width="8.83203125" style="57" customWidth="1"/>
    <col min="6" max="6" width="12.6640625" style="57" bestFit="1" customWidth="1"/>
    <col min="7" max="7" width="8.83203125" style="113" customWidth="1"/>
    <col min="8" max="8" width="12" style="57" bestFit="1" customWidth="1"/>
    <col min="9" max="9" width="4.33203125" style="57" bestFit="1" customWidth="1"/>
    <col min="10" max="10" width="4.6640625" style="57" customWidth="1"/>
    <col min="11" max="21" width="8.83203125" style="57" customWidth="1"/>
    <col min="22" max="22" width="7.33203125" style="57" customWidth="1"/>
    <col min="23" max="26" width="8.83203125" style="57" customWidth="1"/>
    <col min="27" max="27" width="1.6640625" style="114" customWidth="1"/>
    <col min="28" max="16384" width="8.83203125" style="57"/>
  </cols>
  <sheetData>
    <row r="1" spans="1:27" ht="47" customHeight="1" x14ac:dyDescent="0.2">
      <c r="A1" s="53"/>
      <c r="B1" s="53"/>
      <c r="C1" s="53"/>
      <c r="D1" s="53"/>
      <c r="E1" s="54" t="s">
        <v>579</v>
      </c>
      <c r="F1" s="53"/>
      <c r="G1" s="55"/>
      <c r="H1" s="53"/>
      <c r="I1" s="53"/>
      <c r="J1" s="53"/>
      <c r="K1" s="53"/>
      <c r="L1" s="53"/>
      <c r="M1" s="53"/>
      <c r="N1" s="53"/>
      <c r="O1" s="53"/>
      <c r="P1" s="53"/>
      <c r="Q1" s="53"/>
      <c r="R1" s="53"/>
      <c r="S1" s="53"/>
      <c r="T1" s="53"/>
      <c r="U1" s="53"/>
      <c r="V1" s="53"/>
      <c r="W1" s="53"/>
      <c r="X1" s="53"/>
      <c r="Y1" s="53"/>
      <c r="Z1" s="53"/>
      <c r="AA1" s="56"/>
    </row>
    <row r="2" spans="1:27" x14ac:dyDescent="0.2">
      <c r="A2" s="58"/>
      <c r="B2" s="58"/>
      <c r="C2" s="58"/>
      <c r="D2" s="58"/>
      <c r="E2" s="58"/>
      <c r="F2" s="58"/>
      <c r="G2" s="59"/>
      <c r="H2" s="58"/>
      <c r="I2" s="58"/>
      <c r="J2" s="58"/>
      <c r="K2" s="58"/>
      <c r="L2" s="58"/>
      <c r="M2" s="58"/>
      <c r="N2" s="58"/>
      <c r="O2" s="58"/>
      <c r="P2" s="58"/>
      <c r="Q2" s="58"/>
      <c r="R2" s="58"/>
      <c r="S2" s="58"/>
      <c r="T2" s="58"/>
      <c r="U2" s="58"/>
      <c r="V2" s="58"/>
      <c r="W2" s="58"/>
      <c r="X2" s="58"/>
      <c r="Y2" s="58"/>
      <c r="Z2" s="58"/>
      <c r="AA2" s="56"/>
    </row>
    <row r="3" spans="1:27" x14ac:dyDescent="0.2">
      <c r="A3" s="60" t="s">
        <v>1</v>
      </c>
      <c r="B3" s="58"/>
      <c r="C3" s="58"/>
      <c r="D3" s="58"/>
      <c r="E3" s="61"/>
      <c r="F3" s="62" t="s">
        <v>2</v>
      </c>
      <c r="G3" s="59"/>
      <c r="H3" s="58"/>
      <c r="I3" s="58"/>
      <c r="J3" s="58"/>
      <c r="K3" s="58"/>
      <c r="L3" s="58"/>
      <c r="M3" s="58"/>
      <c r="N3" s="228" t="s">
        <v>0</v>
      </c>
      <c r="O3" s="228"/>
      <c r="P3" s="58"/>
      <c r="Q3" s="58"/>
      <c r="R3" s="58"/>
      <c r="S3" s="58"/>
      <c r="T3" s="58"/>
      <c r="U3" s="58"/>
      <c r="V3" s="58"/>
      <c r="W3" s="58"/>
      <c r="X3" s="58"/>
      <c r="Y3" s="58"/>
      <c r="Z3" s="58"/>
      <c r="AA3" s="56"/>
    </row>
    <row r="4" spans="1:27" s="66" customFormat="1" x14ac:dyDescent="0.2">
      <c r="A4" s="63"/>
      <c r="B4" s="63"/>
      <c r="C4" s="63"/>
      <c r="D4" s="63"/>
      <c r="E4" s="63"/>
      <c r="F4" s="63"/>
      <c r="G4" s="64"/>
      <c r="H4" s="63"/>
      <c r="I4" s="63"/>
      <c r="J4" s="63"/>
      <c r="K4" s="63"/>
      <c r="L4" s="63"/>
      <c r="M4" s="63"/>
      <c r="N4" s="63"/>
      <c r="O4" s="63"/>
      <c r="P4" s="63"/>
      <c r="Q4" s="63"/>
      <c r="R4" s="63"/>
      <c r="S4" s="63"/>
      <c r="T4" s="63"/>
      <c r="U4" s="63"/>
      <c r="V4" s="63"/>
      <c r="W4" s="63"/>
      <c r="X4" s="63"/>
      <c r="Y4" s="63"/>
      <c r="Z4" s="63"/>
      <c r="AA4" s="65"/>
    </row>
    <row r="5" spans="1:27" x14ac:dyDescent="0.2">
      <c r="A5" s="67"/>
      <c r="B5" s="67"/>
      <c r="C5" s="67"/>
      <c r="D5" s="67"/>
      <c r="E5" s="67"/>
      <c r="F5" s="67"/>
      <c r="G5" s="68"/>
      <c r="H5" s="67"/>
      <c r="I5" s="67"/>
      <c r="J5" s="67"/>
      <c r="K5" s="67"/>
      <c r="L5" s="67"/>
      <c r="M5" s="67"/>
      <c r="N5" s="67" t="s">
        <v>577</v>
      </c>
      <c r="O5" s="69" t="s">
        <v>578</v>
      </c>
      <c r="P5" s="67"/>
      <c r="Q5" s="67"/>
      <c r="R5" s="67"/>
      <c r="S5" s="67"/>
      <c r="T5" s="67"/>
      <c r="U5" s="67"/>
      <c r="V5" s="67"/>
      <c r="W5" s="67"/>
      <c r="X5" s="67"/>
      <c r="Y5" s="67"/>
      <c r="Z5" s="67"/>
      <c r="AA5" s="56"/>
    </row>
    <row r="6" spans="1:27" ht="16" thickBot="1" x14ac:dyDescent="0.25">
      <c r="A6" s="70" t="s">
        <v>3</v>
      </c>
      <c r="B6" s="67"/>
      <c r="C6" s="67"/>
      <c r="D6" s="67"/>
      <c r="E6" s="67"/>
      <c r="F6" s="67"/>
      <c r="G6" s="68"/>
      <c r="H6" s="67"/>
      <c r="I6" s="67"/>
      <c r="J6" s="67"/>
      <c r="K6" s="67"/>
      <c r="L6" s="67"/>
      <c r="M6" s="67"/>
      <c r="N6" s="67"/>
      <c r="O6" s="67"/>
      <c r="P6" s="67"/>
      <c r="Q6" s="67"/>
      <c r="R6" s="67"/>
      <c r="S6" s="67"/>
      <c r="T6" s="67"/>
      <c r="U6" s="67"/>
      <c r="V6" s="67"/>
      <c r="W6" s="67"/>
      <c r="X6" s="67"/>
      <c r="Y6" s="67"/>
      <c r="Z6" s="67"/>
      <c r="AA6" s="56"/>
    </row>
    <row r="7" spans="1:27" ht="16" x14ac:dyDescent="0.25">
      <c r="A7" s="71"/>
      <c r="B7" s="72"/>
      <c r="C7" s="72"/>
      <c r="D7" s="72"/>
      <c r="E7" s="72"/>
      <c r="F7" s="72"/>
      <c r="G7" s="73" t="s">
        <v>4</v>
      </c>
      <c r="H7" s="116">
        <v>3.5</v>
      </c>
      <c r="I7" s="74" t="s">
        <v>10</v>
      </c>
      <c r="J7" s="67"/>
      <c r="K7" s="67"/>
      <c r="L7" s="67"/>
      <c r="M7" s="67"/>
      <c r="N7" s="67"/>
      <c r="O7" s="67"/>
      <c r="P7" s="67"/>
      <c r="Q7" s="67"/>
      <c r="R7" s="67"/>
      <c r="S7" s="67"/>
      <c r="T7" s="67"/>
      <c r="U7" s="67"/>
      <c r="V7" s="67"/>
      <c r="W7" s="67"/>
      <c r="X7" s="67"/>
      <c r="Y7" s="67"/>
      <c r="Z7" s="67"/>
      <c r="AA7" s="56"/>
    </row>
    <row r="8" spans="1:27" ht="16" x14ac:dyDescent="0.25">
      <c r="A8" s="75"/>
      <c r="B8" s="67"/>
      <c r="C8" s="67"/>
      <c r="D8" s="67"/>
      <c r="E8" s="67"/>
      <c r="F8" s="67"/>
      <c r="G8" s="76" t="s">
        <v>5</v>
      </c>
      <c r="H8" s="117">
        <v>3.8</v>
      </c>
      <c r="I8" s="77" t="s">
        <v>10</v>
      </c>
      <c r="J8" s="67"/>
      <c r="K8" s="67"/>
      <c r="L8" s="67"/>
      <c r="M8" s="67"/>
      <c r="N8" s="67"/>
      <c r="O8" s="67"/>
      <c r="P8" s="67"/>
      <c r="Q8" s="67"/>
      <c r="R8" s="67"/>
      <c r="S8" s="67"/>
      <c r="T8" s="67"/>
      <c r="U8" s="67"/>
      <c r="V8" s="67"/>
      <c r="W8" s="67"/>
      <c r="X8" s="67"/>
      <c r="Y8" s="67"/>
      <c r="Z8" s="67"/>
      <c r="AA8" s="56"/>
    </row>
    <row r="9" spans="1:27" ht="16" x14ac:dyDescent="0.25">
      <c r="A9" s="75"/>
      <c r="B9" s="67"/>
      <c r="C9" s="67"/>
      <c r="D9" s="67"/>
      <c r="E9" s="67"/>
      <c r="F9" s="67"/>
      <c r="G9" s="76" t="s">
        <v>6</v>
      </c>
      <c r="H9" s="117">
        <v>4.2</v>
      </c>
      <c r="I9" s="77" t="s">
        <v>10</v>
      </c>
      <c r="J9" s="67"/>
      <c r="K9" s="67"/>
      <c r="L9" s="67"/>
      <c r="M9" s="67"/>
      <c r="N9" s="67"/>
      <c r="O9" s="67"/>
      <c r="P9" s="67"/>
      <c r="Q9" s="67"/>
      <c r="R9" s="67"/>
      <c r="S9" s="67"/>
      <c r="T9" s="67"/>
      <c r="U9" s="67"/>
      <c r="V9" s="67"/>
      <c r="W9" s="67"/>
      <c r="X9" s="67"/>
      <c r="Y9" s="67"/>
      <c r="Z9" s="67"/>
      <c r="AA9" s="56"/>
    </row>
    <row r="10" spans="1:27" ht="16" x14ac:dyDescent="0.25">
      <c r="A10" s="75"/>
      <c r="B10" s="67"/>
      <c r="C10" s="67"/>
      <c r="D10" s="67"/>
      <c r="E10" s="67"/>
      <c r="F10" s="67"/>
      <c r="G10" s="76" t="s">
        <v>540</v>
      </c>
      <c r="H10" s="117">
        <v>5</v>
      </c>
      <c r="I10" s="77" t="s">
        <v>10</v>
      </c>
      <c r="J10" s="67"/>
      <c r="K10" s="67"/>
      <c r="L10" s="67"/>
      <c r="M10" s="67"/>
      <c r="N10" s="67"/>
      <c r="O10" s="67"/>
      <c r="P10" s="67"/>
      <c r="Q10" s="67"/>
      <c r="R10" s="67"/>
      <c r="S10" s="67"/>
      <c r="T10" s="67"/>
      <c r="U10" s="67"/>
      <c r="V10" s="67"/>
      <c r="W10" s="67"/>
      <c r="X10" s="67"/>
      <c r="Y10" s="67"/>
      <c r="Z10" s="67"/>
      <c r="AA10" s="56"/>
    </row>
    <row r="11" spans="1:27" ht="16" x14ac:dyDescent="0.25">
      <c r="A11" s="75"/>
      <c r="B11" s="67"/>
      <c r="C11" s="67"/>
      <c r="D11" s="67"/>
      <c r="E11" s="67"/>
      <c r="F11" s="67"/>
      <c r="G11" s="76" t="s">
        <v>7</v>
      </c>
      <c r="H11" s="117">
        <v>2</v>
      </c>
      <c r="I11" s="77" t="s">
        <v>11</v>
      </c>
      <c r="J11" s="67"/>
      <c r="K11" s="67"/>
      <c r="L11" s="67"/>
      <c r="M11" s="67"/>
      <c r="N11" s="67"/>
      <c r="O11" s="67"/>
      <c r="P11" s="67"/>
      <c r="Q11" s="67"/>
      <c r="R11" s="67"/>
      <c r="S11" s="67"/>
      <c r="T11" s="67"/>
      <c r="U11" s="67"/>
      <c r="V11" s="67"/>
      <c r="W11" s="67"/>
      <c r="X11" s="67"/>
      <c r="Y11" s="67"/>
      <c r="Z11" s="67"/>
      <c r="AA11" s="56"/>
    </row>
    <row r="12" spans="1:27" ht="16" x14ac:dyDescent="0.25">
      <c r="A12" s="75"/>
      <c r="B12" s="67"/>
      <c r="C12" s="67"/>
      <c r="D12" s="67"/>
      <c r="E12" s="67"/>
      <c r="F12" s="67"/>
      <c r="G12" s="76" t="s">
        <v>8</v>
      </c>
      <c r="H12" s="117">
        <v>440</v>
      </c>
      <c r="I12" s="77" t="s">
        <v>12</v>
      </c>
      <c r="J12" s="67"/>
      <c r="K12" s="67"/>
      <c r="L12" s="67"/>
      <c r="M12" s="67"/>
      <c r="N12" s="67"/>
      <c r="O12" s="67"/>
      <c r="P12" s="67"/>
      <c r="Q12" s="67"/>
      <c r="R12" s="67"/>
      <c r="S12" s="67"/>
      <c r="T12" s="67"/>
      <c r="U12" s="67"/>
      <c r="V12" s="67"/>
      <c r="W12" s="67"/>
      <c r="X12" s="67"/>
      <c r="Y12" s="67"/>
      <c r="Z12" s="67"/>
      <c r="AA12" s="56"/>
    </row>
    <row r="13" spans="1:27" ht="16" x14ac:dyDescent="0.25">
      <c r="A13" s="75"/>
      <c r="B13" s="67"/>
      <c r="C13" s="67"/>
      <c r="D13" s="67"/>
      <c r="E13" s="67"/>
      <c r="F13" s="67"/>
      <c r="G13" s="76" t="s">
        <v>75</v>
      </c>
      <c r="H13" s="118">
        <f>RT/1000</f>
        <v>49.272272727272728</v>
      </c>
      <c r="I13" s="77" t="s">
        <v>76</v>
      </c>
      <c r="J13" s="67"/>
      <c r="K13" s="67"/>
      <c r="L13" s="67"/>
      <c r="M13" s="67"/>
      <c r="N13" s="67"/>
      <c r="O13" s="67"/>
      <c r="P13" s="67"/>
      <c r="Q13" s="67"/>
      <c r="R13" s="67"/>
      <c r="S13" s="67"/>
      <c r="T13" s="67"/>
      <c r="U13" s="67"/>
      <c r="V13" s="67"/>
      <c r="W13" s="67"/>
      <c r="X13" s="67"/>
      <c r="Y13" s="67"/>
      <c r="Z13" s="67"/>
      <c r="AA13" s="56"/>
    </row>
    <row r="14" spans="1:27" x14ac:dyDescent="0.2">
      <c r="A14" s="75"/>
      <c r="B14" s="67"/>
      <c r="C14" s="67"/>
      <c r="D14" s="67"/>
      <c r="E14" s="67"/>
      <c r="F14" s="67"/>
      <c r="G14" s="76" t="s">
        <v>9</v>
      </c>
      <c r="H14" s="117">
        <v>90</v>
      </c>
      <c r="I14" s="77" t="s">
        <v>13</v>
      </c>
      <c r="J14" s="67"/>
      <c r="K14" s="67"/>
      <c r="L14" s="67"/>
      <c r="M14" s="67"/>
      <c r="N14" s="67"/>
      <c r="O14" s="67"/>
      <c r="P14" s="67"/>
      <c r="Q14" s="67"/>
      <c r="R14" s="67"/>
      <c r="S14" s="67"/>
      <c r="T14" s="67"/>
      <c r="U14" s="67"/>
      <c r="V14" s="67"/>
      <c r="W14" s="67"/>
      <c r="X14" s="67"/>
      <c r="Y14" s="67"/>
      <c r="Z14" s="67"/>
      <c r="AA14" s="56"/>
    </row>
    <row r="15" spans="1:27" ht="16" x14ac:dyDescent="0.25">
      <c r="A15" s="75"/>
      <c r="B15" s="67"/>
      <c r="C15" s="67"/>
      <c r="D15" s="67"/>
      <c r="E15" s="67"/>
      <c r="F15" s="67"/>
      <c r="G15" s="76" t="s">
        <v>14</v>
      </c>
      <c r="H15" s="119">
        <f>POUT</f>
        <v>10</v>
      </c>
      <c r="I15" s="77" t="s">
        <v>38</v>
      </c>
      <c r="J15" s="67"/>
      <c r="K15" s="67"/>
      <c r="L15" s="67"/>
      <c r="M15" s="67"/>
      <c r="N15" s="67"/>
      <c r="O15" s="67"/>
      <c r="P15" s="67"/>
      <c r="Q15" s="67"/>
      <c r="R15" s="67"/>
      <c r="S15" s="67"/>
      <c r="T15" s="67"/>
      <c r="U15" s="67"/>
      <c r="V15" s="67"/>
      <c r="W15" s="67"/>
      <c r="X15" s="67"/>
      <c r="Y15" s="67"/>
      <c r="Z15" s="67"/>
      <c r="AA15" s="56"/>
    </row>
    <row r="16" spans="1:27" ht="16" x14ac:dyDescent="0.25">
      <c r="A16" s="78"/>
      <c r="B16" s="79"/>
      <c r="C16" s="79"/>
      <c r="D16" s="79"/>
      <c r="E16" s="79"/>
      <c r="F16" s="67"/>
      <c r="G16" s="80" t="s">
        <v>486</v>
      </c>
      <c r="H16" s="119">
        <f>Dc_max_IC*100</f>
        <v>93</v>
      </c>
      <c r="I16" s="77" t="s">
        <v>13</v>
      </c>
      <c r="J16" s="67"/>
      <c r="K16" s="67"/>
      <c r="L16" s="67"/>
      <c r="M16" s="67"/>
      <c r="N16" s="67"/>
      <c r="O16" s="67"/>
      <c r="P16" s="67"/>
      <c r="Q16" s="67"/>
      <c r="R16" s="67"/>
      <c r="S16" s="67"/>
      <c r="T16" s="67"/>
      <c r="U16" s="67"/>
      <c r="V16" s="67"/>
      <c r="W16" s="67"/>
      <c r="X16" s="67"/>
      <c r="Y16" s="67"/>
      <c r="Z16" s="67"/>
      <c r="AA16" s="56"/>
    </row>
    <row r="17" spans="1:27" ht="16" thickBot="1" x14ac:dyDescent="0.25">
      <c r="A17" s="78"/>
      <c r="B17" s="79"/>
      <c r="C17" s="79"/>
      <c r="D17" s="79"/>
      <c r="E17" s="79"/>
      <c r="F17" s="67"/>
      <c r="G17" s="80" t="s">
        <v>518</v>
      </c>
      <c r="H17" s="142">
        <f>Variable_Management!B39*100</f>
        <v>30.000000000000004</v>
      </c>
      <c r="I17" s="77" t="s">
        <v>13</v>
      </c>
      <c r="J17" s="67"/>
      <c r="K17" s="67"/>
      <c r="L17" s="67"/>
      <c r="M17" s="67"/>
      <c r="N17" s="67"/>
      <c r="O17" s="67"/>
      <c r="P17" s="67"/>
      <c r="Q17" s="67"/>
      <c r="R17" s="67"/>
      <c r="S17" s="67"/>
      <c r="T17" s="67"/>
      <c r="U17" s="67"/>
      <c r="V17" s="67"/>
      <c r="W17" s="67"/>
      <c r="X17" s="67"/>
      <c r="Y17" s="67"/>
      <c r="Z17" s="67"/>
      <c r="AA17" s="56"/>
    </row>
    <row r="18" spans="1:27" ht="16" thickBot="1" x14ac:dyDescent="0.25">
      <c r="A18" s="81"/>
      <c r="B18" s="82"/>
      <c r="C18" s="82"/>
      <c r="D18" s="82"/>
      <c r="E18" s="82"/>
      <c r="F18" s="83"/>
      <c r="G18" s="84" t="s">
        <v>522</v>
      </c>
      <c r="H18" s="138" t="s">
        <v>495</v>
      </c>
      <c r="I18" s="85"/>
      <c r="J18" s="67"/>
      <c r="K18" s="67"/>
      <c r="L18" s="67"/>
      <c r="M18" s="67"/>
      <c r="N18" s="67"/>
      <c r="O18" s="67"/>
      <c r="P18" s="67"/>
      <c r="Q18" s="67"/>
      <c r="R18" s="67"/>
      <c r="S18" s="67"/>
      <c r="T18" s="67"/>
      <c r="U18" s="67"/>
      <c r="V18" s="67"/>
      <c r="W18" s="67"/>
      <c r="X18" s="67"/>
      <c r="Y18" s="67"/>
      <c r="Z18" s="67"/>
      <c r="AA18" s="56"/>
    </row>
    <row r="19" spans="1:27" x14ac:dyDescent="0.2">
      <c r="A19" s="79"/>
      <c r="B19" s="79"/>
      <c r="C19" s="79"/>
      <c r="D19" s="79"/>
      <c r="E19" s="79"/>
      <c r="F19" s="67"/>
      <c r="G19" s="68"/>
      <c r="H19" s="67"/>
      <c r="I19" s="67"/>
      <c r="J19" s="67"/>
      <c r="K19" s="67"/>
      <c r="L19" s="67"/>
      <c r="M19" s="67"/>
      <c r="N19" s="67"/>
      <c r="O19" s="67"/>
      <c r="P19" s="67"/>
      <c r="Q19" s="67"/>
      <c r="R19" s="67"/>
      <c r="S19" s="67"/>
      <c r="T19" s="67"/>
      <c r="U19" s="67"/>
      <c r="V19" s="67"/>
      <c r="W19" s="67"/>
      <c r="X19" s="67"/>
      <c r="Y19" s="67"/>
      <c r="Z19" s="67"/>
      <c r="AA19" s="56"/>
    </row>
    <row r="20" spans="1:27" ht="16" thickBot="1" x14ac:dyDescent="0.25">
      <c r="A20" s="70" t="s">
        <v>77</v>
      </c>
      <c r="B20" s="79"/>
      <c r="C20" s="79"/>
      <c r="D20" s="79"/>
      <c r="E20" s="79"/>
      <c r="F20" s="67"/>
      <c r="G20" s="68"/>
      <c r="H20" s="67"/>
      <c r="I20" s="67"/>
      <c r="J20" s="67"/>
      <c r="K20" s="67"/>
      <c r="L20" s="67"/>
      <c r="M20" s="67"/>
      <c r="N20" s="67"/>
      <c r="O20" s="67"/>
      <c r="P20" s="67"/>
      <c r="Q20" s="67"/>
      <c r="R20" s="67"/>
      <c r="S20" s="67"/>
      <c r="T20" s="67"/>
      <c r="U20" s="67"/>
      <c r="V20" s="67"/>
      <c r="W20" s="67"/>
      <c r="X20" s="67"/>
      <c r="Y20" s="67"/>
      <c r="Z20" s="67"/>
      <c r="AA20" s="56"/>
    </row>
    <row r="21" spans="1:27" ht="16" x14ac:dyDescent="0.25">
      <c r="A21" s="86"/>
      <c r="B21" s="87"/>
      <c r="C21" s="87"/>
      <c r="D21" s="87"/>
      <c r="E21" s="87"/>
      <c r="F21" s="72"/>
      <c r="G21" s="73" t="s">
        <v>487</v>
      </c>
      <c r="H21" s="116">
        <v>60</v>
      </c>
      <c r="I21" s="74" t="s">
        <v>13</v>
      </c>
      <c r="J21" s="67"/>
      <c r="K21" s="67"/>
      <c r="L21" s="67"/>
      <c r="M21" s="67"/>
      <c r="N21" s="67"/>
      <c r="O21" s="67"/>
      <c r="P21" s="67"/>
      <c r="Q21" s="67"/>
      <c r="R21" s="67"/>
      <c r="S21" s="67"/>
      <c r="T21" s="67"/>
      <c r="U21" s="67"/>
      <c r="V21" s="67"/>
      <c r="W21" s="67"/>
      <c r="X21" s="67"/>
      <c r="Y21" s="67"/>
      <c r="Z21" s="67"/>
      <c r="AA21" s="56"/>
    </row>
    <row r="22" spans="1:27" ht="16" x14ac:dyDescent="0.25">
      <c r="A22" s="75"/>
      <c r="B22" s="67"/>
      <c r="C22" s="67"/>
      <c r="D22" s="67"/>
      <c r="E22" s="67"/>
      <c r="F22" s="67"/>
      <c r="G22" s="76" t="s">
        <v>459</v>
      </c>
      <c r="H22" s="120">
        <f>IF(H18="CCM",Lopt_2*10^6,L_DCM*10^6)</f>
        <v>1.4028124999999998</v>
      </c>
      <c r="I22" s="77" t="s">
        <v>542</v>
      </c>
      <c r="J22" s="67"/>
      <c r="K22" s="67"/>
      <c r="L22" s="67"/>
      <c r="M22" s="67"/>
      <c r="N22" s="67"/>
      <c r="O22" s="67"/>
      <c r="P22" s="67"/>
      <c r="Q22" s="67"/>
      <c r="R22" s="67"/>
      <c r="S22" s="67"/>
      <c r="T22" s="67"/>
      <c r="U22" s="67"/>
      <c r="V22" s="67"/>
      <c r="W22" s="67"/>
      <c r="X22" s="67"/>
      <c r="Y22" s="67"/>
      <c r="Z22" s="67"/>
      <c r="AA22" s="56"/>
    </row>
    <row r="23" spans="1:27" ht="16" x14ac:dyDescent="0.25">
      <c r="A23" s="75"/>
      <c r="B23" s="67"/>
      <c r="C23" s="67"/>
      <c r="D23" s="67"/>
      <c r="E23" s="67"/>
      <c r="F23" s="67"/>
      <c r="G23" s="76" t="s">
        <v>460</v>
      </c>
      <c r="H23" s="117">
        <v>1.5</v>
      </c>
      <c r="I23" s="77" t="s">
        <v>542</v>
      </c>
      <c r="J23" s="67"/>
      <c r="K23" s="67"/>
      <c r="L23" s="67"/>
      <c r="M23" s="67"/>
      <c r="N23" s="67"/>
      <c r="O23" s="67"/>
      <c r="P23" s="67"/>
      <c r="Q23" s="67"/>
      <c r="R23" s="67"/>
      <c r="S23" s="67"/>
      <c r="T23" s="67"/>
      <c r="U23" s="67"/>
      <c r="V23" s="67"/>
      <c r="W23" s="67"/>
      <c r="X23" s="67"/>
      <c r="Y23" s="67"/>
      <c r="Z23" s="67"/>
      <c r="AA23" s="56"/>
    </row>
    <row r="24" spans="1:27" ht="16" x14ac:dyDescent="0.25">
      <c r="A24" s="75"/>
      <c r="B24" s="67"/>
      <c r="C24" s="67"/>
      <c r="D24" s="67"/>
      <c r="E24" s="67"/>
      <c r="F24" s="67"/>
      <c r="G24" s="76" t="s">
        <v>81</v>
      </c>
      <c r="H24" s="117">
        <v>8.9</v>
      </c>
      <c r="I24" s="77" t="s">
        <v>105</v>
      </c>
      <c r="J24" s="67"/>
      <c r="K24" s="67"/>
      <c r="L24" s="67"/>
      <c r="M24" s="67"/>
      <c r="N24" s="67"/>
      <c r="O24" s="67"/>
      <c r="P24" s="67"/>
      <c r="Q24" s="67"/>
      <c r="R24" s="67"/>
      <c r="S24" s="67"/>
      <c r="T24" s="67"/>
      <c r="U24" s="67"/>
      <c r="V24" s="67"/>
      <c r="W24" s="67"/>
      <c r="X24" s="67"/>
      <c r="Y24" s="67"/>
      <c r="Z24" s="67"/>
      <c r="AA24" s="56"/>
    </row>
    <row r="25" spans="1:27" ht="17" thickBot="1" x14ac:dyDescent="0.3">
      <c r="A25" s="88"/>
      <c r="B25" s="83"/>
      <c r="C25" s="83"/>
      <c r="D25" s="83"/>
      <c r="E25" s="83"/>
      <c r="F25" s="83"/>
      <c r="G25" s="89" t="s">
        <v>106</v>
      </c>
      <c r="H25" s="121">
        <f>ILp_VINmin</f>
        <v>3.9700577200577198</v>
      </c>
      <c r="I25" s="85" t="s">
        <v>11</v>
      </c>
      <c r="J25" s="67"/>
      <c r="K25" s="67"/>
      <c r="L25" s="67"/>
      <c r="M25" s="67"/>
      <c r="N25" s="67"/>
      <c r="O25" s="67"/>
      <c r="P25" s="67"/>
      <c r="Q25" s="67"/>
      <c r="R25" s="67"/>
      <c r="S25" s="67"/>
      <c r="T25" s="67"/>
      <c r="U25" s="67"/>
      <c r="V25" s="67"/>
      <c r="W25" s="67"/>
      <c r="X25" s="67"/>
      <c r="Y25" s="67"/>
      <c r="Z25" s="67"/>
      <c r="AA25" s="56"/>
    </row>
    <row r="26" spans="1:27" x14ac:dyDescent="0.2">
      <c r="A26" s="67"/>
      <c r="B26" s="67"/>
      <c r="C26" s="67"/>
      <c r="D26" s="67"/>
      <c r="E26" s="67"/>
      <c r="F26" s="67"/>
      <c r="G26" s="68"/>
      <c r="H26" s="67"/>
      <c r="I26" s="67"/>
      <c r="J26" s="67"/>
      <c r="K26" s="67"/>
      <c r="L26" s="67"/>
      <c r="M26" s="67"/>
      <c r="N26" s="67"/>
      <c r="O26" s="67"/>
      <c r="P26" s="67"/>
      <c r="Q26" s="67"/>
      <c r="R26" s="67"/>
      <c r="S26" s="67"/>
      <c r="T26" s="67"/>
      <c r="U26" s="67"/>
      <c r="V26" s="67"/>
      <c r="W26" s="67"/>
      <c r="X26" s="67"/>
      <c r="Y26" s="67"/>
      <c r="Z26" s="67"/>
      <c r="AA26" s="56"/>
    </row>
    <row r="27" spans="1:27" ht="16" thickBot="1" x14ac:dyDescent="0.25">
      <c r="A27" s="70" t="s">
        <v>127</v>
      </c>
      <c r="B27" s="67"/>
      <c r="C27" s="67"/>
      <c r="D27" s="67"/>
      <c r="E27" s="67"/>
      <c r="F27" s="67"/>
      <c r="G27" s="68"/>
      <c r="H27" s="67"/>
      <c r="I27" s="67"/>
      <c r="J27" s="67"/>
      <c r="K27" s="67"/>
      <c r="L27" s="67"/>
      <c r="M27" s="67"/>
      <c r="N27" s="67"/>
      <c r="O27" s="67"/>
      <c r="P27" s="67"/>
      <c r="Q27" s="67"/>
      <c r="R27" s="67"/>
      <c r="S27" s="67"/>
      <c r="T27" s="67"/>
      <c r="U27" s="67"/>
      <c r="V27" s="67"/>
      <c r="W27" s="67"/>
      <c r="X27" s="67"/>
      <c r="Y27" s="67"/>
      <c r="Z27" s="67"/>
      <c r="AA27" s="56"/>
    </row>
    <row r="28" spans="1:27" x14ac:dyDescent="0.2">
      <c r="A28" s="71"/>
      <c r="B28" s="72"/>
      <c r="C28" s="72"/>
      <c r="D28" s="72"/>
      <c r="E28" s="72"/>
      <c r="F28" s="72"/>
      <c r="G28" s="73" t="s">
        <v>488</v>
      </c>
      <c r="H28" s="116">
        <v>20</v>
      </c>
      <c r="I28" s="74" t="s">
        <v>13</v>
      </c>
      <c r="J28" s="67"/>
      <c r="K28" s="67"/>
      <c r="L28" s="67"/>
      <c r="M28" s="67"/>
      <c r="N28" s="67"/>
      <c r="O28" s="67"/>
      <c r="P28" s="67"/>
      <c r="Q28" s="67"/>
      <c r="R28" s="67"/>
      <c r="S28" s="67"/>
      <c r="T28" s="67"/>
      <c r="U28" s="67"/>
      <c r="V28" s="67"/>
      <c r="W28" s="67"/>
      <c r="X28" s="67"/>
      <c r="Y28" s="67"/>
      <c r="Z28" s="67"/>
      <c r="AA28" s="56"/>
    </row>
    <row r="29" spans="1:27" ht="17" x14ac:dyDescent="0.25">
      <c r="A29" s="75"/>
      <c r="B29" s="67"/>
      <c r="C29" s="67"/>
      <c r="D29" s="67"/>
      <c r="E29" s="67"/>
      <c r="F29" s="67"/>
      <c r="G29" s="68" t="s">
        <v>203</v>
      </c>
      <c r="H29" s="118">
        <f>Ipk_selected</f>
        <v>4.7640692640692635</v>
      </c>
      <c r="I29" s="77" t="s">
        <v>11</v>
      </c>
      <c r="J29" s="67"/>
      <c r="K29" s="67"/>
      <c r="L29" s="67"/>
      <c r="M29" s="67"/>
      <c r="N29" s="67"/>
      <c r="O29" s="67"/>
      <c r="P29" s="67"/>
      <c r="Q29" s="67"/>
      <c r="R29" s="67"/>
      <c r="S29" s="67"/>
      <c r="T29" s="67"/>
      <c r="U29" s="67"/>
      <c r="V29" s="67"/>
      <c r="W29" s="67"/>
      <c r="X29" s="67"/>
      <c r="Y29" s="67"/>
      <c r="Z29" s="67"/>
      <c r="AA29" s="56"/>
    </row>
    <row r="30" spans="1:27" ht="17" x14ac:dyDescent="0.25">
      <c r="A30" s="75"/>
      <c r="B30" s="67"/>
      <c r="C30" s="67"/>
      <c r="D30" s="67"/>
      <c r="E30" s="67"/>
      <c r="F30" s="67"/>
      <c r="G30" s="68" t="s">
        <v>493</v>
      </c>
      <c r="H30" s="118">
        <f>Variable_Management!B135*1000</f>
        <v>20.990458882326219</v>
      </c>
      <c r="I30" s="77" t="s">
        <v>105</v>
      </c>
      <c r="J30" s="67"/>
      <c r="K30" s="67"/>
      <c r="L30" s="67"/>
      <c r="M30" s="67"/>
      <c r="N30" s="67"/>
      <c r="O30" s="67"/>
      <c r="P30" s="67"/>
      <c r="Q30" s="67"/>
      <c r="R30" s="67"/>
      <c r="S30" s="67"/>
      <c r="T30" s="67"/>
      <c r="U30" s="67"/>
      <c r="V30" s="67"/>
      <c r="W30" s="67"/>
      <c r="X30" s="67"/>
      <c r="Y30" s="67"/>
      <c r="Z30" s="67"/>
      <c r="AA30" s="56"/>
    </row>
    <row r="31" spans="1:27" ht="17" x14ac:dyDescent="0.25">
      <c r="A31" s="75"/>
      <c r="B31" s="67"/>
      <c r="C31" s="67"/>
      <c r="D31" s="67"/>
      <c r="E31" s="67"/>
      <c r="F31" s="67"/>
      <c r="G31" s="68" t="s">
        <v>166</v>
      </c>
      <c r="H31" s="122">
        <f>Variable_Management!B136</f>
        <v>0</v>
      </c>
      <c r="I31" s="90" t="s">
        <v>36</v>
      </c>
      <c r="J31" s="67"/>
      <c r="K31" s="67"/>
      <c r="L31" s="67"/>
      <c r="M31" s="67"/>
      <c r="N31" s="67"/>
      <c r="O31" s="67"/>
      <c r="P31" s="67"/>
      <c r="Q31" s="67"/>
      <c r="R31" s="67"/>
      <c r="S31" s="67"/>
      <c r="T31" s="67"/>
      <c r="U31" s="67"/>
      <c r="V31" s="67"/>
      <c r="W31" s="67"/>
      <c r="X31" s="67"/>
      <c r="Y31" s="67"/>
      <c r="Z31" s="67"/>
      <c r="AA31" s="56"/>
    </row>
    <row r="32" spans="1:27" ht="17" x14ac:dyDescent="0.25">
      <c r="A32" s="75"/>
      <c r="B32" s="67"/>
      <c r="C32" s="67"/>
      <c r="D32" s="67"/>
      <c r="E32" s="67"/>
      <c r="F32" s="67"/>
      <c r="G32" s="68" t="s">
        <v>494</v>
      </c>
      <c r="H32" s="117">
        <v>20</v>
      </c>
      <c r="I32" s="77" t="s">
        <v>105</v>
      </c>
      <c r="J32" s="67"/>
      <c r="K32" s="67"/>
      <c r="L32" s="67"/>
      <c r="M32" s="67"/>
      <c r="N32" s="67"/>
      <c r="O32" s="67"/>
      <c r="P32" s="67"/>
      <c r="Q32" s="67"/>
      <c r="R32" s="67"/>
      <c r="S32" s="67"/>
      <c r="T32" s="67"/>
      <c r="U32" s="67"/>
      <c r="V32" s="67"/>
      <c r="W32" s="67"/>
      <c r="X32" s="67"/>
      <c r="Y32" s="67"/>
      <c r="Z32" s="67"/>
      <c r="AA32" s="56"/>
    </row>
    <row r="33" spans="1:27" ht="17" x14ac:dyDescent="0.25">
      <c r="A33" s="75"/>
      <c r="B33" s="67"/>
      <c r="C33" s="67"/>
      <c r="D33" s="67"/>
      <c r="E33" s="67"/>
      <c r="F33" s="67"/>
      <c r="G33" s="68" t="s">
        <v>169</v>
      </c>
      <c r="H33" s="117">
        <v>0</v>
      </c>
      <c r="I33" s="90" t="s">
        <v>36</v>
      </c>
      <c r="J33" s="67"/>
      <c r="K33" s="67"/>
      <c r="L33" s="67"/>
      <c r="M33" s="67"/>
      <c r="N33" s="67"/>
      <c r="O33" s="67"/>
      <c r="P33" s="67"/>
      <c r="Q33" s="67"/>
      <c r="R33" s="67"/>
      <c r="S33" s="67"/>
      <c r="T33" s="67"/>
      <c r="U33" s="67"/>
      <c r="V33" s="67"/>
      <c r="W33" s="67"/>
      <c r="X33" s="67"/>
      <c r="Y33" s="67"/>
      <c r="Z33" s="67"/>
      <c r="AA33" s="56"/>
    </row>
    <row r="34" spans="1:27" x14ac:dyDescent="0.2">
      <c r="A34" s="75"/>
      <c r="B34" s="67"/>
      <c r="C34" s="67"/>
      <c r="D34" s="67"/>
      <c r="E34" s="67"/>
      <c r="F34" s="67"/>
      <c r="G34" s="68" t="s">
        <v>173</v>
      </c>
      <c r="H34" s="118">
        <f>IL_pk_max</f>
        <v>5</v>
      </c>
      <c r="I34" s="90" t="s">
        <v>11</v>
      </c>
      <c r="J34" s="67"/>
      <c r="K34" s="67"/>
      <c r="L34" s="67"/>
      <c r="M34" s="67"/>
      <c r="N34" s="67"/>
      <c r="O34" s="67"/>
      <c r="P34" s="67"/>
      <c r="Q34" s="67"/>
      <c r="R34" s="67"/>
      <c r="S34" s="67"/>
      <c r="T34" s="67"/>
      <c r="U34" s="67"/>
      <c r="V34" s="67"/>
      <c r="W34" s="67"/>
      <c r="X34" s="67"/>
      <c r="Y34" s="67"/>
      <c r="Z34" s="67"/>
      <c r="AA34" s="56"/>
    </row>
    <row r="35" spans="1:27" ht="16" thickBot="1" x14ac:dyDescent="0.25">
      <c r="A35" s="88"/>
      <c r="B35" s="83"/>
      <c r="C35" s="83"/>
      <c r="D35" s="83"/>
      <c r="E35" s="83"/>
      <c r="F35" s="83"/>
      <c r="G35" s="91" t="s">
        <v>191</v>
      </c>
      <c r="H35" s="123">
        <f>Variable_Management!B145</f>
        <v>5.75</v>
      </c>
      <c r="I35" s="92" t="s">
        <v>11</v>
      </c>
      <c r="J35" s="67"/>
      <c r="K35" s="67"/>
      <c r="L35" s="67"/>
      <c r="M35" s="67"/>
      <c r="N35" s="67"/>
      <c r="O35" s="67"/>
      <c r="P35" s="67"/>
      <c r="Q35" s="67"/>
      <c r="R35" s="67"/>
      <c r="S35" s="67"/>
      <c r="T35" s="67"/>
      <c r="U35" s="67"/>
      <c r="V35" s="67"/>
      <c r="W35" s="67"/>
      <c r="X35" s="67"/>
      <c r="Y35" s="67"/>
      <c r="Z35" s="67"/>
      <c r="AA35" s="56"/>
    </row>
    <row r="36" spans="1:27" x14ac:dyDescent="0.2">
      <c r="A36" s="67"/>
      <c r="B36" s="67"/>
      <c r="C36" s="67"/>
      <c r="D36" s="67"/>
      <c r="E36" s="67"/>
      <c r="F36" s="67"/>
      <c r="G36" s="68"/>
      <c r="H36" s="67"/>
      <c r="I36" s="67"/>
      <c r="J36" s="67"/>
      <c r="K36" s="67"/>
      <c r="L36" s="67"/>
      <c r="M36" s="67"/>
      <c r="N36" s="67"/>
      <c r="O36" s="67"/>
      <c r="P36" s="67"/>
      <c r="Q36" s="67"/>
      <c r="R36" s="67"/>
      <c r="S36" s="67"/>
      <c r="T36" s="67"/>
      <c r="U36" s="67"/>
      <c r="V36" s="67"/>
      <c r="W36" s="67"/>
      <c r="X36" s="67"/>
      <c r="Y36" s="67"/>
      <c r="Z36" s="67"/>
      <c r="AA36" s="56"/>
    </row>
    <row r="37" spans="1:27" ht="16" thickBot="1" x14ac:dyDescent="0.25">
      <c r="A37" s="70" t="s">
        <v>185</v>
      </c>
      <c r="B37" s="67"/>
      <c r="C37" s="67"/>
      <c r="D37" s="67"/>
      <c r="E37" s="67"/>
      <c r="F37" s="67"/>
      <c r="G37" s="68"/>
      <c r="H37" s="67"/>
      <c r="I37" s="67"/>
      <c r="J37" s="67"/>
      <c r="K37" s="67"/>
      <c r="L37" s="67"/>
      <c r="M37" s="67"/>
      <c r="N37" s="67"/>
      <c r="O37" s="67"/>
      <c r="P37" s="67"/>
      <c r="Q37" s="67"/>
      <c r="R37" s="67"/>
      <c r="S37" s="67"/>
      <c r="T37" s="67"/>
      <c r="U37" s="67"/>
      <c r="V37" s="67"/>
      <c r="W37" s="67"/>
      <c r="X37" s="67"/>
      <c r="Y37" s="67"/>
      <c r="Z37" s="67"/>
      <c r="AA37" s="56"/>
    </row>
    <row r="38" spans="1:27" ht="17" x14ac:dyDescent="0.25">
      <c r="A38" s="71"/>
      <c r="B38" s="72"/>
      <c r="C38" s="72"/>
      <c r="D38" s="72"/>
      <c r="E38" s="72"/>
      <c r="F38" s="72"/>
      <c r="G38" s="93" t="s">
        <v>541</v>
      </c>
      <c r="H38" s="116">
        <v>50</v>
      </c>
      <c r="I38" s="74" t="s">
        <v>186</v>
      </c>
      <c r="J38" s="67"/>
      <c r="K38" s="67"/>
      <c r="L38" s="67"/>
      <c r="M38" s="67"/>
      <c r="N38" s="67"/>
      <c r="O38" s="67"/>
      <c r="P38" s="67"/>
      <c r="Q38" s="67"/>
      <c r="R38" s="67"/>
      <c r="S38" s="67"/>
      <c r="T38" s="67"/>
      <c r="U38" s="67"/>
      <c r="V38" s="67"/>
      <c r="W38" s="67"/>
      <c r="X38" s="67"/>
      <c r="Y38" s="67"/>
      <c r="Z38" s="67"/>
      <c r="AA38" s="56"/>
    </row>
    <row r="39" spans="1:27" x14ac:dyDescent="0.2">
      <c r="A39" s="75"/>
      <c r="B39" s="67"/>
      <c r="C39" s="67"/>
      <c r="D39" s="67"/>
      <c r="E39" s="67"/>
      <c r="F39" s="67"/>
      <c r="G39" s="68" t="s">
        <v>187</v>
      </c>
      <c r="H39" s="143">
        <f>Cout_min*10^6</f>
        <v>27.272727272727277</v>
      </c>
      <c r="I39" s="77" t="s">
        <v>543</v>
      </c>
      <c r="J39" s="67"/>
      <c r="K39" s="67"/>
      <c r="L39" s="67"/>
      <c r="M39" s="67"/>
      <c r="N39" s="67"/>
      <c r="O39" s="67"/>
      <c r="P39" s="67"/>
      <c r="Q39" s="67"/>
      <c r="R39" s="67"/>
      <c r="S39" s="67"/>
      <c r="T39" s="67"/>
      <c r="U39" s="67"/>
      <c r="V39" s="67"/>
      <c r="W39" s="67"/>
      <c r="X39" s="67"/>
      <c r="Y39" s="67"/>
      <c r="Z39" s="67"/>
      <c r="AA39" s="56"/>
    </row>
    <row r="40" spans="1:27" ht="17" x14ac:dyDescent="0.25">
      <c r="A40" s="75"/>
      <c r="B40" s="67"/>
      <c r="C40" s="67"/>
      <c r="D40" s="67"/>
      <c r="E40" s="67"/>
      <c r="F40" s="67"/>
      <c r="G40" s="68" t="s">
        <v>195</v>
      </c>
      <c r="H40" s="118">
        <f>IRMS_COUT</f>
        <v>1.5181733934494195</v>
      </c>
      <c r="I40" s="77" t="s">
        <v>11</v>
      </c>
      <c r="J40" s="67"/>
      <c r="K40" s="67"/>
      <c r="L40" s="67"/>
      <c r="M40" s="67"/>
      <c r="N40" s="67"/>
      <c r="O40" s="67"/>
      <c r="P40" s="67"/>
      <c r="Q40" s="67"/>
      <c r="R40" s="67"/>
      <c r="S40" s="67"/>
      <c r="T40" s="67"/>
      <c r="U40" s="67"/>
      <c r="V40" s="67"/>
      <c r="W40" s="67"/>
      <c r="X40" s="67"/>
      <c r="Y40" s="67"/>
      <c r="Z40" s="67"/>
      <c r="AA40" s="56"/>
    </row>
    <row r="41" spans="1:27" ht="17" x14ac:dyDescent="0.25">
      <c r="A41" s="75"/>
      <c r="B41" s="67"/>
      <c r="C41" s="67"/>
      <c r="D41" s="67"/>
      <c r="E41" s="67"/>
      <c r="F41" s="67"/>
      <c r="G41" s="68" t="s">
        <v>188</v>
      </c>
      <c r="H41" s="117">
        <v>200</v>
      </c>
      <c r="I41" s="77" t="s">
        <v>543</v>
      </c>
      <c r="J41" s="67"/>
      <c r="K41" s="67"/>
      <c r="L41" s="67"/>
      <c r="M41" s="67"/>
      <c r="N41" s="67"/>
      <c r="O41" s="67"/>
      <c r="P41" s="67"/>
      <c r="Q41" s="67"/>
      <c r="R41" s="67"/>
      <c r="S41" s="67"/>
      <c r="T41" s="67"/>
      <c r="U41" s="67"/>
      <c r="V41" s="67"/>
      <c r="W41" s="67"/>
      <c r="X41" s="67"/>
      <c r="Y41" s="67"/>
      <c r="Z41" s="67"/>
      <c r="AA41" s="56"/>
    </row>
    <row r="42" spans="1:27" ht="18" thickBot="1" x14ac:dyDescent="0.3">
      <c r="A42" s="88"/>
      <c r="B42" s="83"/>
      <c r="C42" s="83"/>
      <c r="D42" s="83"/>
      <c r="E42" s="83"/>
      <c r="F42" s="83"/>
      <c r="G42" s="91" t="s">
        <v>198</v>
      </c>
      <c r="H42" s="124">
        <v>2</v>
      </c>
      <c r="I42" s="85" t="s">
        <v>105</v>
      </c>
      <c r="J42" s="67"/>
      <c r="K42" s="67"/>
      <c r="L42" s="67"/>
      <c r="M42" s="67"/>
      <c r="N42" s="67"/>
      <c r="O42" s="67"/>
      <c r="P42" s="67"/>
      <c r="Q42" s="67"/>
      <c r="R42" s="67"/>
      <c r="S42" s="67"/>
      <c r="T42" s="67"/>
      <c r="U42" s="67"/>
      <c r="V42" s="67"/>
      <c r="W42" s="67"/>
      <c r="X42" s="67"/>
      <c r="Y42" s="67"/>
      <c r="Z42" s="67"/>
      <c r="AA42" s="56"/>
    </row>
    <row r="43" spans="1:27" x14ac:dyDescent="0.2">
      <c r="A43" s="67"/>
      <c r="B43" s="67"/>
      <c r="C43" s="67"/>
      <c r="D43" s="67"/>
      <c r="E43" s="67"/>
      <c r="F43" s="67"/>
      <c r="G43" s="68"/>
      <c r="H43" s="67"/>
      <c r="I43" s="67"/>
      <c r="J43" s="67"/>
      <c r="K43" s="67"/>
      <c r="L43" s="67"/>
      <c r="M43" s="67"/>
      <c r="N43" s="67"/>
      <c r="O43" s="67"/>
      <c r="P43" s="67"/>
      <c r="Q43" s="67"/>
      <c r="R43" s="67"/>
      <c r="S43" s="67"/>
      <c r="T43" s="67"/>
      <c r="U43" s="67"/>
      <c r="V43" s="67"/>
      <c r="W43" s="67"/>
      <c r="X43" s="67"/>
      <c r="Y43" s="67"/>
      <c r="Z43" s="67"/>
      <c r="AA43" s="56"/>
    </row>
    <row r="44" spans="1:27" ht="16" thickBot="1" x14ac:dyDescent="0.25">
      <c r="A44" s="70" t="s">
        <v>319</v>
      </c>
      <c r="B44" s="67"/>
      <c r="C44" s="67"/>
      <c r="D44" s="67"/>
      <c r="E44" s="67"/>
      <c r="F44" s="67"/>
      <c r="G44" s="68"/>
      <c r="H44" s="67"/>
      <c r="I44" s="67"/>
      <c r="J44" s="67"/>
      <c r="K44" s="67"/>
      <c r="L44" s="67"/>
      <c r="M44" s="67"/>
      <c r="N44" s="67"/>
      <c r="O44" s="67"/>
      <c r="P44" s="67"/>
      <c r="Q44" s="67"/>
      <c r="R44" s="67"/>
      <c r="S44" s="67"/>
      <c r="T44" s="67"/>
      <c r="U44" s="67"/>
      <c r="V44" s="67"/>
      <c r="W44" s="67"/>
      <c r="X44" s="67"/>
      <c r="Y44" s="67"/>
      <c r="Z44" s="67"/>
      <c r="AA44" s="56"/>
    </row>
    <row r="45" spans="1:27" ht="17" x14ac:dyDescent="0.25">
      <c r="A45" s="71"/>
      <c r="B45" s="72"/>
      <c r="C45" s="72"/>
      <c r="D45" s="72"/>
      <c r="E45" s="72"/>
      <c r="F45" s="72"/>
      <c r="G45" s="93" t="s">
        <v>342</v>
      </c>
      <c r="H45" s="126">
        <f>Variable_Management!B161*(10^9)</f>
        <v>4.9999999999999991</v>
      </c>
      <c r="I45" s="74" t="s">
        <v>218</v>
      </c>
      <c r="J45" s="67"/>
      <c r="K45" s="67"/>
      <c r="L45" s="67"/>
      <c r="M45" s="67"/>
      <c r="N45" s="67"/>
      <c r="O45" s="67"/>
      <c r="P45" s="67"/>
      <c r="Q45" s="67"/>
      <c r="R45" s="67"/>
      <c r="S45" s="67"/>
      <c r="T45" s="67"/>
      <c r="U45" s="67"/>
      <c r="V45" s="67"/>
      <c r="W45" s="67"/>
      <c r="X45" s="67"/>
      <c r="Y45" s="67"/>
      <c r="Z45" s="67"/>
      <c r="AA45" s="56"/>
    </row>
    <row r="46" spans="1:27" ht="17" x14ac:dyDescent="0.25">
      <c r="A46" s="75"/>
      <c r="B46" s="67"/>
      <c r="C46" s="67"/>
      <c r="D46" s="67"/>
      <c r="E46" s="67"/>
      <c r="F46" s="67"/>
      <c r="G46" s="68" t="s">
        <v>529</v>
      </c>
      <c r="H46" s="117">
        <v>20</v>
      </c>
      <c r="I46" s="77" t="s">
        <v>343</v>
      </c>
      <c r="J46" s="67"/>
      <c r="K46" s="67"/>
      <c r="L46" s="67"/>
      <c r="M46" s="67"/>
      <c r="N46" s="67"/>
      <c r="O46" s="67"/>
      <c r="P46" s="67"/>
      <c r="Q46" s="67"/>
      <c r="R46" s="67"/>
      <c r="S46" s="67"/>
      <c r="T46" s="67"/>
      <c r="U46" s="67"/>
      <c r="V46" s="67"/>
      <c r="W46" s="67"/>
      <c r="X46" s="67"/>
      <c r="Y46" s="67"/>
      <c r="Z46" s="67"/>
      <c r="AA46" s="56"/>
    </row>
    <row r="47" spans="1:27" ht="18" thickBot="1" x14ac:dyDescent="0.3">
      <c r="A47" s="88"/>
      <c r="B47" s="83"/>
      <c r="C47" s="83"/>
      <c r="D47" s="83"/>
      <c r="E47" s="83"/>
      <c r="F47" s="83"/>
      <c r="G47" s="91" t="s">
        <v>346</v>
      </c>
      <c r="H47" s="127">
        <f>Variable_Management!B163*(10^9)</f>
        <v>666.66666666666652</v>
      </c>
      <c r="I47" s="85" t="s">
        <v>218</v>
      </c>
      <c r="J47" s="67"/>
      <c r="K47" s="67"/>
      <c r="L47" s="67"/>
      <c r="M47" s="67"/>
      <c r="N47" s="67"/>
      <c r="O47" s="67"/>
      <c r="P47" s="67"/>
      <c r="Q47" s="67"/>
      <c r="R47" s="67"/>
      <c r="S47" s="67"/>
      <c r="T47" s="67"/>
      <c r="U47" s="67"/>
      <c r="V47" s="67"/>
      <c r="W47" s="67"/>
      <c r="X47" s="67"/>
      <c r="Y47" s="67"/>
      <c r="Z47" s="67"/>
      <c r="AA47" s="56"/>
    </row>
    <row r="48" spans="1:27" x14ac:dyDescent="0.2">
      <c r="A48" s="67"/>
      <c r="B48" s="67"/>
      <c r="C48" s="67"/>
      <c r="D48" s="67"/>
      <c r="E48" s="67"/>
      <c r="F48" s="67"/>
      <c r="G48" s="68"/>
      <c r="H48" s="67"/>
      <c r="I48" s="67"/>
      <c r="J48" s="67"/>
      <c r="K48" s="67"/>
      <c r="L48" s="67"/>
      <c r="M48" s="67"/>
      <c r="N48" s="67"/>
      <c r="O48" s="67"/>
      <c r="P48" s="67"/>
      <c r="Q48" s="67"/>
      <c r="R48" s="67"/>
      <c r="S48" s="67"/>
      <c r="T48" s="67"/>
      <c r="U48" s="67"/>
      <c r="V48" s="67"/>
      <c r="W48" s="67"/>
      <c r="X48" s="67"/>
      <c r="Y48" s="67"/>
      <c r="Z48" s="67"/>
      <c r="AA48" s="56"/>
    </row>
    <row r="49" spans="1:27" ht="16" thickBot="1" x14ac:dyDescent="0.25">
      <c r="A49" s="70" t="s">
        <v>320</v>
      </c>
      <c r="B49" s="67"/>
      <c r="C49" s="67"/>
      <c r="D49" s="67"/>
      <c r="E49" s="67"/>
      <c r="F49" s="67"/>
      <c r="G49" s="68"/>
      <c r="H49" s="67"/>
      <c r="I49" s="67"/>
      <c r="J49" s="67"/>
      <c r="K49" s="67"/>
      <c r="L49" s="67"/>
      <c r="M49" s="67"/>
      <c r="N49" s="67"/>
      <c r="O49" s="67"/>
      <c r="P49" s="67"/>
      <c r="Q49" s="67"/>
      <c r="R49" s="67"/>
      <c r="S49" s="67"/>
      <c r="T49" s="67"/>
      <c r="U49" s="67"/>
      <c r="V49" s="67"/>
      <c r="W49" s="67"/>
      <c r="X49" s="67"/>
      <c r="Y49" s="67"/>
      <c r="Z49" s="67"/>
      <c r="AA49" s="56"/>
    </row>
    <row r="50" spans="1:27" ht="17" x14ac:dyDescent="0.25">
      <c r="A50" s="71"/>
      <c r="B50" s="72"/>
      <c r="C50" s="72"/>
      <c r="D50" s="72"/>
      <c r="E50" s="72"/>
      <c r="F50" s="72"/>
      <c r="G50" s="93" t="s">
        <v>348</v>
      </c>
      <c r="H50" s="116">
        <v>5.8</v>
      </c>
      <c r="I50" s="74" t="s">
        <v>10</v>
      </c>
      <c r="J50" s="67"/>
      <c r="K50" s="67"/>
      <c r="L50" s="67"/>
      <c r="M50" s="67"/>
      <c r="N50" s="67"/>
      <c r="O50" s="67"/>
      <c r="P50" s="67"/>
      <c r="Q50" s="67"/>
      <c r="R50" s="67"/>
      <c r="S50" s="67"/>
      <c r="T50" s="67"/>
      <c r="U50" s="67"/>
      <c r="V50" s="67"/>
      <c r="W50" s="67"/>
      <c r="X50" s="67"/>
      <c r="Y50" s="67"/>
      <c r="Z50" s="67"/>
      <c r="AA50" s="56"/>
    </row>
    <row r="51" spans="1:27" ht="17" x14ac:dyDescent="0.25">
      <c r="A51" s="75"/>
      <c r="B51" s="67"/>
      <c r="C51" s="67"/>
      <c r="D51" s="67"/>
      <c r="E51" s="67"/>
      <c r="F51" s="67"/>
      <c r="G51" s="68" t="s">
        <v>347</v>
      </c>
      <c r="H51" s="117">
        <v>5.4</v>
      </c>
      <c r="I51" s="77" t="s">
        <v>10</v>
      </c>
      <c r="J51" s="67"/>
      <c r="K51" s="67"/>
      <c r="L51" s="67"/>
      <c r="M51" s="67"/>
      <c r="N51" s="67"/>
      <c r="O51" s="67"/>
      <c r="P51" s="67"/>
      <c r="Q51" s="115">
        <f>VIN_min</f>
        <v>3.5</v>
      </c>
      <c r="R51" s="67"/>
      <c r="S51" s="67"/>
      <c r="T51" s="67"/>
      <c r="U51" s="67"/>
      <c r="V51" s="67"/>
      <c r="W51" s="67"/>
      <c r="X51" s="67"/>
      <c r="Y51" s="67"/>
      <c r="Z51" s="67"/>
      <c r="AA51" s="56"/>
    </row>
    <row r="52" spans="1:27" ht="17" x14ac:dyDescent="0.25">
      <c r="A52" s="75"/>
      <c r="B52" s="67"/>
      <c r="C52" s="67"/>
      <c r="D52" s="67"/>
      <c r="E52" s="67"/>
      <c r="F52" s="67"/>
      <c r="G52" s="68" t="s">
        <v>463</v>
      </c>
      <c r="H52" s="125">
        <f>Ruvlo_top_calc/1000</f>
        <v>41.719999999999942</v>
      </c>
      <c r="I52" s="90" t="s">
        <v>215</v>
      </c>
      <c r="J52" s="67"/>
      <c r="K52" s="67"/>
      <c r="L52" s="67"/>
      <c r="M52" s="67"/>
      <c r="N52" s="67"/>
      <c r="O52" s="67"/>
      <c r="P52" s="67"/>
      <c r="Q52" s="67"/>
      <c r="R52" s="67"/>
      <c r="S52" s="67"/>
      <c r="T52" s="67"/>
      <c r="U52" s="67"/>
      <c r="V52" s="67"/>
      <c r="W52" s="67"/>
      <c r="X52" s="67"/>
      <c r="Y52" s="67"/>
      <c r="Z52" s="67"/>
      <c r="AA52" s="56"/>
    </row>
    <row r="53" spans="1:27" ht="17" x14ac:dyDescent="0.25">
      <c r="A53" s="75"/>
      <c r="B53" s="67"/>
      <c r="C53" s="67"/>
      <c r="D53" s="67"/>
      <c r="E53" s="67"/>
      <c r="F53" s="67"/>
      <c r="G53" s="68" t="s">
        <v>464</v>
      </c>
      <c r="H53" s="117">
        <v>21</v>
      </c>
      <c r="I53" s="90" t="s">
        <v>215</v>
      </c>
      <c r="J53" s="67"/>
      <c r="K53" s="67"/>
      <c r="L53" s="67"/>
      <c r="M53" s="67"/>
      <c r="N53" s="67"/>
      <c r="O53" s="67"/>
      <c r="P53" s="67"/>
      <c r="Q53" s="67"/>
      <c r="R53" s="67"/>
      <c r="S53" s="67"/>
      <c r="T53" s="67"/>
      <c r="U53" s="67"/>
      <c r="V53" s="67"/>
      <c r="W53" s="67"/>
      <c r="X53" s="67"/>
      <c r="Y53" s="67"/>
      <c r="Z53" s="67"/>
      <c r="AA53" s="56"/>
    </row>
    <row r="54" spans="1:27" ht="18" thickBot="1" x14ac:dyDescent="0.3">
      <c r="A54" s="88"/>
      <c r="B54" s="83"/>
      <c r="C54" s="83"/>
      <c r="D54" s="83"/>
      <c r="E54" s="83"/>
      <c r="F54" s="83"/>
      <c r="G54" s="91" t="s">
        <v>465</v>
      </c>
      <c r="H54" s="219">
        <f>IF(Ruvlo_bottom_calc/1000=0,"NA",Ruvlo_bottom_calc/1000)</f>
        <v>7.3255813953488378</v>
      </c>
      <c r="I54" s="92" t="s">
        <v>215</v>
      </c>
      <c r="J54" s="67"/>
      <c r="K54" s="67"/>
      <c r="L54" s="67"/>
      <c r="M54" s="67"/>
      <c r="N54" s="67"/>
      <c r="O54" s="67"/>
      <c r="P54" s="67"/>
      <c r="Q54" s="67"/>
      <c r="R54" s="67"/>
      <c r="S54" s="67"/>
      <c r="T54" s="67"/>
      <c r="U54" s="67"/>
      <c r="V54" s="67"/>
      <c r="W54" s="67"/>
      <c r="X54" s="67"/>
      <c r="Y54" s="67"/>
      <c r="Z54" s="67"/>
      <c r="AA54" s="56"/>
    </row>
    <row r="55" spans="1:27" x14ac:dyDescent="0.2">
      <c r="A55" s="67"/>
      <c r="B55" s="67"/>
      <c r="C55" s="67"/>
      <c r="D55" s="67"/>
      <c r="E55" s="67"/>
      <c r="F55" s="67"/>
      <c r="G55" s="68"/>
      <c r="H55" s="67"/>
      <c r="I55" s="67"/>
      <c r="J55" s="67"/>
      <c r="K55" s="67"/>
      <c r="L55" s="67"/>
      <c r="M55" s="67"/>
      <c r="N55" s="67"/>
      <c r="O55" s="67"/>
      <c r="P55" s="67"/>
      <c r="Q55" s="67"/>
      <c r="R55" s="67"/>
      <c r="S55" s="67"/>
      <c r="T55" s="67"/>
      <c r="U55" s="67"/>
      <c r="V55" s="67"/>
      <c r="W55" s="67"/>
      <c r="X55" s="67"/>
      <c r="Y55" s="67"/>
      <c r="Z55" s="67"/>
      <c r="AA55" s="56"/>
    </row>
    <row r="56" spans="1:27" ht="16" thickBot="1" x14ac:dyDescent="0.25">
      <c r="A56" s="70" t="s">
        <v>371</v>
      </c>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56"/>
    </row>
    <row r="57" spans="1:27" ht="17" x14ac:dyDescent="0.25">
      <c r="A57" s="94"/>
      <c r="B57" s="72"/>
      <c r="C57" s="72"/>
      <c r="D57" s="72"/>
      <c r="E57" s="72"/>
      <c r="F57" s="72"/>
      <c r="G57" s="95" t="s">
        <v>489</v>
      </c>
      <c r="H57" s="128" t="str">
        <f>VIN_nom&amp;"V"</f>
        <v>3.8V</v>
      </c>
      <c r="I57" s="74"/>
      <c r="J57" s="67"/>
      <c r="K57" s="67"/>
      <c r="L57" s="67"/>
      <c r="M57" s="67"/>
      <c r="N57" s="67"/>
      <c r="O57" s="67"/>
      <c r="P57" s="67"/>
      <c r="Q57" s="67"/>
      <c r="R57" s="67"/>
      <c r="S57" s="67"/>
      <c r="T57" s="67"/>
      <c r="U57" s="67"/>
      <c r="V57" s="67"/>
      <c r="W57" s="67"/>
      <c r="X57" s="67"/>
      <c r="Y57" s="67"/>
      <c r="Z57" s="67"/>
      <c r="AA57" s="56"/>
    </row>
    <row r="58" spans="1:27" x14ac:dyDescent="0.2">
      <c r="A58" s="75"/>
      <c r="B58" s="67"/>
      <c r="C58" s="67"/>
      <c r="D58" s="67"/>
      <c r="E58" s="67"/>
      <c r="F58" s="67"/>
      <c r="G58" s="67"/>
      <c r="H58" s="129"/>
      <c r="I58" s="77"/>
      <c r="J58" s="67"/>
      <c r="K58" s="67"/>
      <c r="L58" s="67"/>
      <c r="M58" s="67"/>
      <c r="N58" s="67"/>
      <c r="O58" s="67"/>
      <c r="P58" s="67"/>
      <c r="Q58" s="67"/>
      <c r="R58" s="67"/>
      <c r="S58" s="67"/>
      <c r="T58" s="67"/>
      <c r="U58" s="67"/>
      <c r="V58" s="67"/>
      <c r="W58" s="67"/>
      <c r="X58" s="67"/>
      <c r="Y58" s="67"/>
      <c r="Z58" s="67"/>
      <c r="AA58" s="56"/>
    </row>
    <row r="59" spans="1:27" x14ac:dyDescent="0.2">
      <c r="A59" s="96"/>
      <c r="B59" s="67"/>
      <c r="C59" s="67"/>
      <c r="D59" s="67"/>
      <c r="E59" s="67"/>
      <c r="F59" s="67"/>
      <c r="G59" s="97" t="s">
        <v>216</v>
      </c>
      <c r="H59" s="119"/>
      <c r="I59" s="77"/>
      <c r="J59" s="67"/>
      <c r="K59" s="67"/>
      <c r="L59" s="67"/>
      <c r="M59" s="67"/>
      <c r="N59" s="67"/>
      <c r="O59" s="67"/>
      <c r="P59" s="67"/>
      <c r="Q59" s="67"/>
      <c r="R59" s="67"/>
      <c r="S59" s="67"/>
      <c r="T59" s="67"/>
      <c r="U59" s="67"/>
      <c r="V59" s="67"/>
      <c r="W59" s="67"/>
      <c r="X59" s="67"/>
      <c r="Y59" s="67"/>
      <c r="Z59" s="67"/>
      <c r="AA59" s="56"/>
    </row>
    <row r="60" spans="1:27" ht="17" x14ac:dyDescent="0.25">
      <c r="A60" s="96"/>
      <c r="B60" s="67"/>
      <c r="C60" s="67"/>
      <c r="D60" s="67"/>
      <c r="E60" s="67"/>
      <c r="F60" s="67"/>
      <c r="G60" s="68" t="s">
        <v>318</v>
      </c>
      <c r="H60" s="117">
        <v>47</v>
      </c>
      <c r="I60" s="90" t="s">
        <v>215</v>
      </c>
      <c r="J60" s="67"/>
      <c r="K60" s="67"/>
      <c r="L60" s="67"/>
      <c r="M60" s="67"/>
      <c r="N60" s="67"/>
      <c r="O60" s="67"/>
      <c r="P60" s="67"/>
      <c r="Q60" s="67"/>
      <c r="R60" s="67"/>
      <c r="S60" s="67"/>
      <c r="T60" s="67"/>
      <c r="U60" s="67"/>
      <c r="V60" s="67"/>
      <c r="W60" s="67"/>
      <c r="X60" s="67"/>
      <c r="Y60" s="67"/>
      <c r="Z60" s="67"/>
      <c r="AA60" s="56"/>
    </row>
    <row r="61" spans="1:27" ht="17" x14ac:dyDescent="0.25">
      <c r="A61" s="96"/>
      <c r="B61" s="67"/>
      <c r="C61" s="67"/>
      <c r="D61" s="67"/>
      <c r="E61" s="67"/>
      <c r="F61" s="67"/>
      <c r="G61" s="68" t="s">
        <v>294</v>
      </c>
      <c r="H61" s="125">
        <f>RFBB_calc/1000</f>
        <v>11.75</v>
      </c>
      <c r="I61" s="90" t="s">
        <v>215</v>
      </c>
      <c r="J61" s="67"/>
      <c r="K61" s="67"/>
      <c r="L61" s="67"/>
      <c r="M61" s="67"/>
      <c r="N61" s="67"/>
      <c r="O61" s="67"/>
      <c r="P61" s="67"/>
      <c r="Q61" s="67"/>
      <c r="R61" s="67"/>
      <c r="S61" s="67"/>
      <c r="T61" s="67"/>
      <c r="U61" s="67"/>
      <c r="V61" s="67"/>
      <c r="W61" s="67"/>
      <c r="X61" s="67"/>
      <c r="Y61" s="67"/>
      <c r="Z61" s="67"/>
      <c r="AA61" s="56"/>
    </row>
    <row r="62" spans="1:27" ht="17" x14ac:dyDescent="0.25">
      <c r="A62" s="96"/>
      <c r="B62" s="67"/>
      <c r="C62" s="67"/>
      <c r="D62" s="67"/>
      <c r="E62" s="67"/>
      <c r="F62" s="67"/>
      <c r="G62" s="68" t="s">
        <v>530</v>
      </c>
      <c r="H62" s="117">
        <v>2</v>
      </c>
      <c r="I62" s="90" t="s">
        <v>215</v>
      </c>
      <c r="J62" s="67"/>
      <c r="K62" s="67"/>
      <c r="L62" s="67"/>
      <c r="M62" s="67"/>
      <c r="N62" s="67"/>
      <c r="O62" s="67"/>
      <c r="P62" s="67"/>
      <c r="Q62" s="67"/>
      <c r="R62" s="67"/>
      <c r="S62" s="67"/>
      <c r="T62" s="67"/>
      <c r="U62" s="67"/>
      <c r="V62" s="67"/>
      <c r="W62" s="67"/>
      <c r="X62" s="67"/>
      <c r="Y62" s="67"/>
      <c r="Z62" s="67"/>
      <c r="AA62" s="56"/>
    </row>
    <row r="63" spans="1:27" x14ac:dyDescent="0.2">
      <c r="A63" s="75"/>
      <c r="B63" s="67"/>
      <c r="C63" s="67"/>
      <c r="D63" s="67"/>
      <c r="E63" s="67"/>
      <c r="F63" s="67"/>
      <c r="G63" s="68"/>
      <c r="H63" s="119"/>
      <c r="I63" s="77"/>
      <c r="J63" s="67"/>
      <c r="K63" s="67"/>
      <c r="L63" s="67"/>
      <c r="M63" s="67"/>
      <c r="N63" s="67"/>
      <c r="O63" s="67"/>
      <c r="P63" s="67"/>
      <c r="Q63" s="67"/>
      <c r="R63" s="67"/>
      <c r="S63" s="67"/>
      <c r="T63" s="67"/>
      <c r="U63" s="67"/>
      <c r="V63" s="67"/>
      <c r="W63" s="67"/>
      <c r="X63" s="67"/>
      <c r="Y63" s="67"/>
      <c r="Z63" s="67"/>
      <c r="AA63" s="56"/>
    </row>
    <row r="64" spans="1:27" x14ac:dyDescent="0.2">
      <c r="A64" s="75"/>
      <c r="B64" s="67"/>
      <c r="C64" s="67"/>
      <c r="D64" s="67"/>
      <c r="E64" s="67"/>
      <c r="F64" s="67"/>
      <c r="G64" s="68"/>
      <c r="H64" s="119"/>
      <c r="I64" s="77"/>
      <c r="J64" s="67"/>
      <c r="K64" s="67"/>
      <c r="L64" s="67"/>
      <c r="M64" s="67"/>
      <c r="N64" s="67"/>
      <c r="O64" s="67"/>
      <c r="P64" s="67"/>
      <c r="Q64" s="67"/>
      <c r="R64" s="67"/>
      <c r="S64" s="67"/>
      <c r="T64" s="67"/>
      <c r="U64" s="67"/>
      <c r="V64" s="67"/>
      <c r="W64" s="67"/>
      <c r="X64" s="67"/>
      <c r="Y64" s="67"/>
      <c r="Z64" s="67"/>
      <c r="AA64" s="56"/>
    </row>
    <row r="65" spans="1:27" x14ac:dyDescent="0.2">
      <c r="A65" s="75"/>
      <c r="B65" s="67"/>
      <c r="C65" s="67"/>
      <c r="D65" s="67"/>
      <c r="E65" s="67"/>
      <c r="F65" s="67"/>
      <c r="G65" s="68" t="s">
        <v>550</v>
      </c>
      <c r="H65" s="220">
        <f>fcross_est/1000</f>
        <v>25.995307371676233</v>
      </c>
      <c r="I65" s="77" t="s">
        <v>12</v>
      </c>
      <c r="J65" s="67"/>
      <c r="K65" s="67"/>
      <c r="L65" s="67"/>
      <c r="M65" s="67"/>
      <c r="N65" s="67"/>
      <c r="O65" s="67"/>
      <c r="P65" s="67"/>
      <c r="Q65" s="67"/>
      <c r="R65" s="67"/>
      <c r="S65" s="67"/>
      <c r="T65" s="67"/>
      <c r="U65" s="67"/>
      <c r="V65" s="67"/>
      <c r="W65" s="67"/>
      <c r="X65" s="67"/>
      <c r="Y65" s="67"/>
      <c r="Z65" s="67"/>
      <c r="AA65" s="56"/>
    </row>
    <row r="66" spans="1:27" ht="17" x14ac:dyDescent="0.25">
      <c r="A66" s="75"/>
      <c r="B66" s="67"/>
      <c r="C66" s="67"/>
      <c r="D66" s="67"/>
      <c r="E66" s="67"/>
      <c r="F66" s="67"/>
      <c r="G66" s="68" t="s">
        <v>551</v>
      </c>
      <c r="H66" s="117">
        <v>3.5</v>
      </c>
      <c r="I66" s="77" t="s">
        <v>12</v>
      </c>
      <c r="J66" s="67"/>
      <c r="K66" s="67"/>
      <c r="L66" s="67"/>
      <c r="M66" s="67"/>
      <c r="N66" s="67"/>
      <c r="O66" s="67"/>
      <c r="P66" s="67"/>
      <c r="Q66" s="67"/>
      <c r="R66" s="67"/>
      <c r="S66" s="67"/>
      <c r="T66" s="67"/>
      <c r="U66" s="67"/>
      <c r="V66" s="67"/>
      <c r="W66" s="67"/>
      <c r="X66" s="67"/>
      <c r="Y66" s="67"/>
      <c r="Z66" s="67"/>
      <c r="AA66" s="56"/>
    </row>
    <row r="67" spans="1:27" x14ac:dyDescent="0.2">
      <c r="A67" s="75"/>
      <c r="B67" s="67"/>
      <c r="C67" s="67"/>
      <c r="D67" s="67"/>
      <c r="E67" s="67"/>
      <c r="F67" s="67"/>
      <c r="G67" s="68"/>
      <c r="H67" s="119"/>
      <c r="I67" s="77"/>
      <c r="J67" s="67"/>
      <c r="K67" s="67"/>
      <c r="L67" s="67" t="str">
        <f>Loop_Modeling!A68</f>
        <v>Crossover Frequency = 4 kHz</v>
      </c>
      <c r="M67" s="67"/>
      <c r="N67" s="67"/>
      <c r="O67" s="67"/>
      <c r="P67" s="67"/>
      <c r="Q67" s="67"/>
      <c r="R67" s="67"/>
      <c r="S67" s="67"/>
      <c r="T67" s="67"/>
      <c r="U67" s="67"/>
      <c r="V67" s="67"/>
      <c r="W67" s="67"/>
      <c r="X67" s="67"/>
      <c r="Y67" s="67"/>
      <c r="Z67" s="67"/>
      <c r="AA67" s="56"/>
    </row>
    <row r="68" spans="1:27" ht="16" thickBot="1" x14ac:dyDescent="0.25">
      <c r="A68" s="75"/>
      <c r="B68" s="67"/>
      <c r="C68" s="67"/>
      <c r="D68" s="67"/>
      <c r="E68" s="67"/>
      <c r="F68" s="99" t="s">
        <v>323</v>
      </c>
      <c r="G68" s="99"/>
      <c r="H68" s="130" t="s">
        <v>324</v>
      </c>
      <c r="I68" s="100"/>
      <c r="J68" s="67"/>
      <c r="K68" s="67"/>
      <c r="L68" s="67" t="str">
        <f>Loop_Modeling!A69</f>
        <v>Phase Margin = 84°</v>
      </c>
      <c r="M68" s="67"/>
      <c r="N68" s="67"/>
      <c r="O68" s="67"/>
      <c r="P68" s="67"/>
      <c r="Q68" s="67"/>
      <c r="R68" s="67"/>
      <c r="S68" s="67"/>
      <c r="T68" s="67"/>
      <c r="U68" s="67"/>
      <c r="V68" s="67"/>
      <c r="W68" s="67"/>
      <c r="X68" s="67"/>
      <c r="Y68" s="67"/>
      <c r="Z68" s="67"/>
      <c r="AA68" s="56"/>
    </row>
    <row r="69" spans="1:27" ht="18" thickBot="1" x14ac:dyDescent="0.3">
      <c r="A69" s="75"/>
      <c r="B69" s="67"/>
      <c r="C69" s="67"/>
      <c r="D69" s="67"/>
      <c r="E69" s="68" t="s">
        <v>322</v>
      </c>
      <c r="F69" s="141">
        <f>Rcomp_calc/1000</f>
        <v>10.78724785381417</v>
      </c>
      <c r="G69" s="135" t="s">
        <v>215</v>
      </c>
      <c r="H69" s="132">
        <v>11.3</v>
      </c>
      <c r="I69" s="90" t="s">
        <v>215</v>
      </c>
      <c r="J69" s="67"/>
      <c r="K69" s="67"/>
      <c r="L69" s="67"/>
      <c r="M69" s="67"/>
      <c r="N69" s="67"/>
      <c r="O69" s="67"/>
      <c r="P69" s="67"/>
      <c r="Q69" s="67"/>
      <c r="R69" s="67"/>
      <c r="S69" s="67"/>
      <c r="T69" s="67"/>
      <c r="U69" s="67"/>
      <c r="V69" s="67"/>
      <c r="W69" s="67"/>
      <c r="X69" s="67"/>
      <c r="Y69" s="67"/>
      <c r="Z69" s="67"/>
      <c r="AA69" s="56"/>
    </row>
    <row r="70" spans="1:27" ht="18" thickBot="1" x14ac:dyDescent="0.3">
      <c r="A70" s="75"/>
      <c r="B70" s="67"/>
      <c r="C70" s="67"/>
      <c r="D70" s="67"/>
      <c r="E70" s="68" t="s">
        <v>448</v>
      </c>
      <c r="F70" s="133">
        <f>CComp_calc*(10^9)</f>
        <v>9.8840603976446193</v>
      </c>
      <c r="G70" s="135" t="s">
        <v>218</v>
      </c>
      <c r="H70" s="132">
        <v>22</v>
      </c>
      <c r="I70" s="77" t="s">
        <v>218</v>
      </c>
      <c r="J70" s="67"/>
      <c r="K70" s="67"/>
      <c r="L70" s="67"/>
      <c r="M70" s="67"/>
      <c r="N70" s="67"/>
      <c r="O70" s="67"/>
      <c r="P70" s="67"/>
      <c r="Q70" s="67"/>
      <c r="R70" s="67"/>
      <c r="S70" s="67"/>
      <c r="T70" s="67"/>
      <c r="U70" s="67"/>
      <c r="V70" s="67"/>
      <c r="W70" s="67"/>
      <c r="X70" s="67"/>
      <c r="Y70" s="67"/>
      <c r="Z70" s="67"/>
      <c r="AA70" s="56"/>
    </row>
    <row r="71" spans="1:27" ht="18" thickBot="1" x14ac:dyDescent="0.3">
      <c r="A71" s="88"/>
      <c r="B71" s="83"/>
      <c r="C71" s="83"/>
      <c r="D71" s="83"/>
      <c r="E71" s="91" t="s">
        <v>449</v>
      </c>
      <c r="F71" s="131">
        <f>Variable_Management!B231*(10^12)</f>
        <v>114.83148864494447</v>
      </c>
      <c r="G71" s="136" t="s">
        <v>217</v>
      </c>
      <c r="H71" s="124">
        <v>220</v>
      </c>
      <c r="I71" s="85" t="s">
        <v>217</v>
      </c>
      <c r="J71" s="67"/>
      <c r="K71" s="67"/>
      <c r="L71" s="67"/>
      <c r="M71" s="67"/>
      <c r="N71" s="67"/>
      <c r="O71" s="67"/>
      <c r="P71" s="67"/>
      <c r="Q71" s="67"/>
      <c r="R71" s="67"/>
      <c r="S71" s="67"/>
      <c r="T71" s="67"/>
      <c r="U71" s="67"/>
      <c r="V71" s="67"/>
      <c r="W71" s="67"/>
      <c r="X71" s="67"/>
      <c r="Y71" s="67"/>
      <c r="Z71" s="67"/>
      <c r="AA71" s="56"/>
    </row>
    <row r="72" spans="1:27" x14ac:dyDescent="0.2">
      <c r="A72" s="67"/>
      <c r="B72" s="67"/>
      <c r="C72" s="67"/>
      <c r="D72" s="67"/>
      <c r="E72" s="68"/>
      <c r="F72" s="101"/>
      <c r="G72" s="68"/>
      <c r="H72" s="98"/>
      <c r="I72" s="67"/>
      <c r="J72" s="67"/>
      <c r="K72" s="67"/>
      <c r="L72" s="67"/>
      <c r="M72" s="67"/>
      <c r="N72" s="67"/>
      <c r="O72" s="67"/>
      <c r="P72" s="67"/>
      <c r="Q72" s="67"/>
      <c r="R72" s="67"/>
      <c r="S72" s="67"/>
      <c r="T72" s="67"/>
      <c r="U72" s="67"/>
      <c r="V72" s="67"/>
      <c r="W72" s="67"/>
      <c r="X72" s="67"/>
      <c r="Y72" s="67"/>
      <c r="Z72" s="67"/>
      <c r="AA72" s="56"/>
    </row>
    <row r="73" spans="1:27" ht="24" x14ac:dyDescent="0.3">
      <c r="A73" s="102" t="s">
        <v>321</v>
      </c>
      <c r="B73" s="103"/>
      <c r="C73" s="103"/>
      <c r="D73" s="103"/>
      <c r="E73" s="103"/>
      <c r="F73" s="103"/>
      <c r="G73" s="104"/>
      <c r="H73" s="103"/>
      <c r="I73" s="103"/>
      <c r="J73" s="103"/>
      <c r="K73" s="103"/>
      <c r="L73" s="103"/>
      <c r="M73" s="103"/>
      <c r="N73" s="103"/>
      <c r="O73" s="103"/>
      <c r="P73" s="103"/>
      <c r="Q73" s="103"/>
      <c r="R73" s="103"/>
      <c r="S73" s="103"/>
      <c r="T73" s="105"/>
      <c r="U73" s="105"/>
      <c r="V73" s="105"/>
      <c r="W73" s="105"/>
      <c r="X73" s="105"/>
      <c r="Y73" s="105"/>
      <c r="Z73" s="105"/>
    </row>
    <row r="74" spans="1:27" x14ac:dyDescent="0.2">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56"/>
    </row>
    <row r="75" spans="1:27" ht="16" thickBot="1" x14ac:dyDescent="0.25">
      <c r="A75" s="106" t="s">
        <v>399</v>
      </c>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56"/>
    </row>
    <row r="76" spans="1:27" x14ac:dyDescent="0.2">
      <c r="A76" s="71"/>
      <c r="B76" s="72"/>
      <c r="C76" s="72"/>
      <c r="D76" s="72"/>
      <c r="E76" s="72"/>
      <c r="F76" s="72"/>
      <c r="G76" s="107" t="s">
        <v>387</v>
      </c>
      <c r="H76" s="116">
        <v>4.5999999999999996</v>
      </c>
      <c r="I76" s="108" t="s">
        <v>394</v>
      </c>
      <c r="J76" s="98"/>
      <c r="K76" s="98"/>
      <c r="L76" s="98"/>
      <c r="M76" s="98"/>
      <c r="N76" s="98"/>
      <c r="O76" s="98"/>
      <c r="P76" s="98"/>
      <c r="Q76" s="98"/>
      <c r="R76" s="98"/>
      <c r="S76" s="98"/>
      <c r="T76" s="98"/>
      <c r="U76" s="98"/>
      <c r="V76" s="98"/>
      <c r="W76" s="98"/>
      <c r="X76" s="98"/>
      <c r="Y76" s="98"/>
      <c r="Z76" s="98"/>
      <c r="AA76" s="56"/>
    </row>
    <row r="77" spans="1:27" x14ac:dyDescent="0.2">
      <c r="A77" s="96"/>
      <c r="B77" s="67"/>
      <c r="C77" s="67"/>
      <c r="D77" s="67"/>
      <c r="E77" s="67"/>
      <c r="F77" s="67"/>
      <c r="G77" s="109" t="s">
        <v>388</v>
      </c>
      <c r="H77" s="117">
        <v>39.4</v>
      </c>
      <c r="I77" s="110" t="s">
        <v>395</v>
      </c>
      <c r="J77" s="98"/>
      <c r="K77" s="98"/>
      <c r="L77" s="98"/>
      <c r="M77" s="98"/>
      <c r="N77" s="98"/>
      <c r="O77" s="98"/>
      <c r="P77" s="98"/>
      <c r="Q77" s="98"/>
      <c r="R77" s="98"/>
      <c r="S77" s="98"/>
      <c r="T77" s="98"/>
      <c r="U77" s="98"/>
      <c r="V77" s="98"/>
      <c r="W77" s="98"/>
      <c r="X77" s="98"/>
      <c r="Y77" s="98"/>
      <c r="Z77" s="98"/>
      <c r="AA77" s="56"/>
    </row>
    <row r="78" spans="1:27" x14ac:dyDescent="0.2">
      <c r="A78" s="96"/>
      <c r="B78" s="67"/>
      <c r="C78" s="67"/>
      <c r="D78" s="67"/>
      <c r="E78" s="67"/>
      <c r="F78" s="67"/>
      <c r="G78" s="109" t="s">
        <v>389</v>
      </c>
      <c r="H78" s="117">
        <v>11.1</v>
      </c>
      <c r="I78" s="110" t="s">
        <v>395</v>
      </c>
      <c r="J78" s="98"/>
      <c r="K78" s="98"/>
      <c r="L78" s="98"/>
      <c r="M78" s="98"/>
      <c r="N78" s="98"/>
      <c r="O78" s="98"/>
      <c r="P78" s="98"/>
      <c r="Q78" s="98"/>
      <c r="R78" s="98"/>
      <c r="S78" s="98"/>
      <c r="T78" s="98"/>
      <c r="U78" s="98"/>
      <c r="V78" s="98"/>
      <c r="W78" s="98"/>
      <c r="X78" s="98"/>
      <c r="Y78" s="98"/>
      <c r="Z78" s="98"/>
      <c r="AA78" s="56"/>
    </row>
    <row r="79" spans="1:27" x14ac:dyDescent="0.2">
      <c r="A79" s="75"/>
      <c r="B79" s="67"/>
      <c r="C79" s="67"/>
      <c r="D79" s="67"/>
      <c r="E79" s="67"/>
      <c r="F79" s="67"/>
      <c r="G79" s="109" t="s">
        <v>390</v>
      </c>
      <c r="H79" s="117">
        <v>12.3</v>
      </c>
      <c r="I79" s="110" t="s">
        <v>395</v>
      </c>
      <c r="J79" s="98"/>
      <c r="K79" s="98"/>
      <c r="L79" s="98"/>
      <c r="M79" s="98"/>
      <c r="N79" s="98"/>
      <c r="O79" s="98"/>
      <c r="P79" s="98"/>
      <c r="Q79" s="98"/>
      <c r="R79" s="98"/>
      <c r="S79" s="98"/>
      <c r="T79" s="98"/>
      <c r="U79" s="98"/>
      <c r="V79" s="98"/>
      <c r="W79" s="98"/>
      <c r="X79" s="98"/>
      <c r="Y79" s="98"/>
      <c r="Z79" s="98"/>
      <c r="AA79" s="56"/>
    </row>
    <row r="80" spans="1:27" x14ac:dyDescent="0.2">
      <c r="A80" s="75"/>
      <c r="B80" s="67"/>
      <c r="C80" s="67"/>
      <c r="D80" s="67"/>
      <c r="E80" s="67"/>
      <c r="F80" s="67"/>
      <c r="G80" s="109" t="s">
        <v>391</v>
      </c>
      <c r="H80" s="117">
        <v>1.5</v>
      </c>
      <c r="I80" s="110" t="s">
        <v>396</v>
      </c>
      <c r="J80" s="98"/>
      <c r="K80" s="98"/>
      <c r="L80" s="98"/>
      <c r="M80" s="98"/>
      <c r="N80" s="98"/>
      <c r="O80" s="98"/>
      <c r="P80" s="98"/>
      <c r="Q80" s="98"/>
      <c r="R80" s="98"/>
      <c r="S80" s="98"/>
      <c r="T80" s="98"/>
      <c r="U80" s="98"/>
      <c r="V80" s="98"/>
      <c r="W80" s="98"/>
      <c r="X80" s="98"/>
      <c r="Y80" s="98"/>
      <c r="Z80" s="98"/>
      <c r="AA80" s="56"/>
    </row>
    <row r="81" spans="1:27" x14ac:dyDescent="0.2">
      <c r="A81" s="75"/>
      <c r="B81" s="67"/>
      <c r="C81" s="67"/>
      <c r="D81" s="67"/>
      <c r="E81" s="67"/>
      <c r="F81" s="67"/>
      <c r="G81" s="109" t="s">
        <v>392</v>
      </c>
      <c r="H81" s="117">
        <v>60</v>
      </c>
      <c r="I81" s="110" t="s">
        <v>397</v>
      </c>
      <c r="J81" s="98"/>
      <c r="K81" s="98"/>
      <c r="L81" s="98"/>
      <c r="M81" s="98"/>
      <c r="N81" s="98"/>
      <c r="O81" s="98"/>
      <c r="P81" s="98"/>
      <c r="Q81" s="98"/>
      <c r="R81" s="98"/>
      <c r="S81" s="98"/>
      <c r="T81" s="98"/>
      <c r="U81" s="98"/>
      <c r="V81" s="98"/>
      <c r="W81" s="98"/>
      <c r="X81" s="98"/>
      <c r="Y81" s="98"/>
      <c r="Z81" s="98"/>
      <c r="AA81" s="56"/>
    </row>
    <row r="82" spans="1:27" ht="16" thickBot="1" x14ac:dyDescent="0.25">
      <c r="A82" s="88"/>
      <c r="B82" s="83"/>
      <c r="C82" s="83"/>
      <c r="D82" s="83"/>
      <c r="E82" s="83"/>
      <c r="F82" s="83"/>
      <c r="G82" s="111" t="s">
        <v>393</v>
      </c>
      <c r="H82" s="124">
        <v>1.7</v>
      </c>
      <c r="I82" s="112" t="s">
        <v>10</v>
      </c>
      <c r="J82" s="98"/>
      <c r="K82" s="98"/>
      <c r="L82" s="98"/>
      <c r="M82" s="98"/>
      <c r="N82" s="98"/>
      <c r="O82" s="98"/>
      <c r="P82" s="98"/>
      <c r="Q82" s="98"/>
      <c r="R82" s="98"/>
      <c r="S82" s="98"/>
      <c r="T82" s="98"/>
      <c r="U82" s="98"/>
      <c r="V82" s="98"/>
      <c r="W82" s="98"/>
      <c r="X82" s="98"/>
      <c r="Y82" s="98"/>
      <c r="Z82" s="98"/>
      <c r="AA82" s="56"/>
    </row>
    <row r="83" spans="1:27" x14ac:dyDescent="0.2">
      <c r="A83" s="67"/>
      <c r="B83" s="67"/>
      <c r="C83" s="67"/>
      <c r="D83" s="67"/>
      <c r="E83" s="67"/>
      <c r="F83" s="67"/>
      <c r="G83" s="68"/>
      <c r="H83" s="67"/>
      <c r="I83" s="67"/>
      <c r="J83" s="67"/>
      <c r="K83" s="67"/>
      <c r="L83" s="67"/>
      <c r="M83" s="67"/>
      <c r="N83" s="67"/>
      <c r="O83" s="67"/>
      <c r="P83" s="67"/>
      <c r="Q83" s="67"/>
      <c r="R83" s="67"/>
      <c r="S83" s="67"/>
      <c r="T83" s="67"/>
      <c r="U83" s="67"/>
      <c r="V83" s="67"/>
      <c r="W83" s="67"/>
      <c r="X83" s="67"/>
      <c r="Y83" s="67"/>
      <c r="Z83" s="67"/>
      <c r="AA83" s="56"/>
    </row>
    <row r="84" spans="1:27" ht="16" thickBot="1" x14ac:dyDescent="0.25">
      <c r="A84" s="106" t="s">
        <v>398</v>
      </c>
      <c r="B84" s="67"/>
      <c r="C84" s="67"/>
      <c r="D84" s="67"/>
      <c r="E84" s="67"/>
      <c r="F84" s="67"/>
      <c r="G84" s="68"/>
      <c r="H84" s="67"/>
      <c r="I84" s="67"/>
      <c r="J84" s="67"/>
      <c r="K84" s="67"/>
      <c r="L84" s="67"/>
      <c r="M84" s="67"/>
      <c r="N84" s="67"/>
      <c r="O84" s="67"/>
      <c r="P84" s="67"/>
      <c r="Q84" s="67"/>
      <c r="R84" s="67"/>
      <c r="S84" s="67"/>
      <c r="T84" s="67"/>
      <c r="U84" s="67"/>
      <c r="V84" s="67"/>
      <c r="W84" s="67"/>
      <c r="X84" s="67"/>
      <c r="Y84" s="67"/>
      <c r="Z84" s="67"/>
      <c r="AA84" s="56"/>
    </row>
    <row r="85" spans="1:27" ht="17" x14ac:dyDescent="0.25">
      <c r="A85" s="71"/>
      <c r="B85" s="72"/>
      <c r="C85" s="72"/>
      <c r="D85" s="72"/>
      <c r="E85" s="72"/>
      <c r="F85" s="72"/>
      <c r="G85" s="93" t="s">
        <v>492</v>
      </c>
      <c r="H85" s="134">
        <f>IOUT</f>
        <v>2</v>
      </c>
      <c r="I85" s="74" t="s">
        <v>11</v>
      </c>
      <c r="J85" s="98"/>
      <c r="K85" s="98"/>
      <c r="L85" s="98"/>
      <c r="M85" s="98"/>
      <c r="N85" s="98"/>
      <c r="O85" s="98"/>
      <c r="P85" s="98"/>
      <c r="Q85" s="98"/>
      <c r="R85" s="98"/>
      <c r="S85" s="98"/>
      <c r="T85" s="98"/>
      <c r="U85" s="98"/>
      <c r="V85" s="98"/>
      <c r="W85" s="98"/>
      <c r="X85" s="98"/>
      <c r="Y85" s="98"/>
      <c r="Z85" s="98"/>
      <c r="AA85" s="56"/>
    </row>
    <row r="86" spans="1:27" ht="17" x14ac:dyDescent="0.25">
      <c r="A86" s="75"/>
      <c r="B86" s="67"/>
      <c r="C86" s="67"/>
      <c r="D86" s="67"/>
      <c r="E86" s="67"/>
      <c r="F86" s="67"/>
      <c r="G86" s="68" t="s">
        <v>400</v>
      </c>
      <c r="H86" s="117">
        <v>580</v>
      </c>
      <c r="I86" s="77" t="s">
        <v>186</v>
      </c>
      <c r="J86" s="98"/>
      <c r="K86" s="98"/>
      <c r="L86" s="98"/>
      <c r="M86" s="98"/>
      <c r="N86" s="98"/>
      <c r="O86" s="98"/>
      <c r="P86" s="98"/>
      <c r="Q86" s="98"/>
      <c r="R86" s="98"/>
      <c r="S86" s="98"/>
      <c r="T86" s="98"/>
      <c r="U86" s="98"/>
      <c r="V86" s="98"/>
      <c r="W86" s="98"/>
      <c r="X86" s="98"/>
      <c r="Y86" s="98"/>
      <c r="Z86" s="98"/>
      <c r="AA86" s="56"/>
    </row>
    <row r="87" spans="1:27" ht="16" thickBot="1" x14ac:dyDescent="0.25">
      <c r="A87" s="88"/>
      <c r="B87" s="83"/>
      <c r="C87" s="83"/>
      <c r="D87" s="83"/>
      <c r="E87" s="83"/>
      <c r="F87" s="83"/>
      <c r="G87" s="91" t="s">
        <v>408</v>
      </c>
      <c r="H87" s="124">
        <v>10</v>
      </c>
      <c r="I87" s="85" t="s">
        <v>395</v>
      </c>
      <c r="J87" s="98"/>
      <c r="K87" s="98"/>
      <c r="L87" s="98"/>
      <c r="M87" s="98"/>
      <c r="N87" s="98"/>
      <c r="O87" s="98"/>
      <c r="P87" s="98"/>
      <c r="Q87" s="98"/>
      <c r="R87" s="98"/>
      <c r="S87" s="98"/>
      <c r="T87" s="98"/>
      <c r="U87" s="98"/>
      <c r="V87" s="98"/>
      <c r="W87" s="98"/>
      <c r="X87" s="98"/>
      <c r="Y87" s="98"/>
      <c r="Z87" s="98"/>
      <c r="AA87" s="56"/>
    </row>
    <row r="88" spans="1:27" x14ac:dyDescent="0.2">
      <c r="A88" s="67"/>
      <c r="B88" s="67"/>
      <c r="C88" s="67"/>
      <c r="D88" s="67"/>
      <c r="E88" s="67"/>
      <c r="F88" s="67"/>
      <c r="G88" s="68"/>
      <c r="H88" s="67"/>
      <c r="I88" s="67"/>
      <c r="J88" s="67"/>
      <c r="K88" s="67"/>
      <c r="L88" s="67"/>
      <c r="M88" s="67"/>
      <c r="N88" s="67"/>
      <c r="O88" s="67"/>
      <c r="P88" s="67"/>
      <c r="Q88" s="67"/>
      <c r="R88" s="67"/>
      <c r="S88" s="67"/>
      <c r="T88" s="67"/>
      <c r="U88" s="67"/>
      <c r="V88" s="67"/>
      <c r="W88" s="67"/>
      <c r="X88" s="67"/>
      <c r="Y88" s="67"/>
      <c r="Z88" s="67"/>
      <c r="AA88" s="56"/>
    </row>
    <row r="89" spans="1:27" x14ac:dyDescent="0.2">
      <c r="A89" s="67"/>
      <c r="B89" s="67"/>
      <c r="C89" s="67"/>
      <c r="D89" s="67"/>
      <c r="E89" s="67"/>
      <c r="F89" s="67"/>
      <c r="G89" s="68"/>
      <c r="H89" s="67"/>
      <c r="I89" s="67"/>
      <c r="J89" s="67"/>
      <c r="K89" s="67"/>
      <c r="L89" s="67"/>
      <c r="M89" s="67"/>
      <c r="N89" s="67"/>
      <c r="O89" s="67"/>
      <c r="P89" s="67"/>
      <c r="Q89" s="67"/>
      <c r="R89" s="67"/>
      <c r="S89" s="67"/>
      <c r="T89" s="67"/>
      <c r="U89" s="67"/>
      <c r="V89" s="67"/>
      <c r="W89" s="67"/>
      <c r="X89" s="67"/>
      <c r="Y89" s="67"/>
      <c r="Z89" s="67"/>
      <c r="AA89" s="56"/>
    </row>
    <row r="90" spans="1:27" x14ac:dyDescent="0.2">
      <c r="A90" s="67"/>
      <c r="B90" s="67"/>
      <c r="C90" s="67"/>
      <c r="D90" s="67"/>
      <c r="E90" s="67"/>
      <c r="F90" s="67"/>
      <c r="G90" s="68"/>
      <c r="H90" s="67"/>
      <c r="I90" s="67"/>
      <c r="J90" s="67"/>
      <c r="K90" s="67"/>
      <c r="L90" s="67"/>
      <c r="M90" s="67"/>
      <c r="N90" s="67"/>
      <c r="O90" s="67"/>
      <c r="P90" s="67"/>
      <c r="Q90" s="67"/>
      <c r="R90" s="67"/>
      <c r="S90" s="67"/>
      <c r="T90" s="67"/>
      <c r="U90" s="67"/>
      <c r="V90" s="67"/>
      <c r="W90" s="67"/>
      <c r="X90" s="67"/>
      <c r="Y90" s="67"/>
      <c r="Z90" s="67"/>
      <c r="AA90" s="56"/>
    </row>
    <row r="91" spans="1:27" x14ac:dyDescent="0.2">
      <c r="A91" s="67"/>
      <c r="B91" s="67"/>
      <c r="C91" s="67"/>
      <c r="D91" s="67"/>
      <c r="E91" s="67"/>
      <c r="F91" s="67"/>
      <c r="G91" s="68"/>
      <c r="H91" s="67"/>
      <c r="I91" s="67"/>
      <c r="J91" s="67"/>
      <c r="K91" s="67"/>
      <c r="L91" s="67"/>
      <c r="M91" s="67"/>
      <c r="N91" s="67"/>
      <c r="O91" s="67"/>
      <c r="P91" s="67"/>
      <c r="Q91" s="67"/>
      <c r="R91" s="67"/>
      <c r="S91" s="67"/>
      <c r="T91" s="67"/>
      <c r="U91" s="67"/>
      <c r="V91" s="67"/>
      <c r="W91" s="67"/>
      <c r="X91" s="67"/>
      <c r="Y91" s="67"/>
      <c r="Z91" s="67"/>
      <c r="AA91" s="56"/>
    </row>
    <row r="92" spans="1:27" x14ac:dyDescent="0.2">
      <c r="A92" s="67"/>
      <c r="B92" s="67"/>
      <c r="C92" s="67"/>
      <c r="D92" s="67"/>
      <c r="E92" s="67"/>
      <c r="F92" s="67"/>
      <c r="G92" s="68"/>
      <c r="H92" s="67"/>
      <c r="I92" s="67"/>
      <c r="J92" s="67"/>
      <c r="K92" s="67"/>
      <c r="L92" s="67"/>
      <c r="M92" s="67"/>
      <c r="N92" s="67"/>
      <c r="O92" s="67"/>
      <c r="P92" s="67"/>
      <c r="Q92" s="67"/>
      <c r="R92" s="67"/>
      <c r="S92" s="67"/>
      <c r="T92" s="67"/>
      <c r="U92" s="67"/>
      <c r="V92" s="67"/>
      <c r="W92" s="67"/>
      <c r="X92" s="67"/>
      <c r="Y92" s="67"/>
      <c r="Z92" s="67"/>
      <c r="AA92" s="56"/>
    </row>
    <row r="93" spans="1:27" x14ac:dyDescent="0.2">
      <c r="A93" s="67"/>
      <c r="B93" s="67"/>
      <c r="C93" s="67"/>
      <c r="D93" s="67"/>
      <c r="E93" s="67"/>
      <c r="F93" s="67"/>
      <c r="G93" s="68"/>
      <c r="H93" s="67"/>
      <c r="I93" s="67"/>
      <c r="J93" s="67"/>
      <c r="K93" s="67"/>
      <c r="L93" s="67"/>
      <c r="M93" s="67"/>
      <c r="N93" s="67"/>
      <c r="O93" s="67"/>
      <c r="P93" s="67"/>
      <c r="Q93" s="67"/>
      <c r="R93" s="67"/>
      <c r="S93" s="67"/>
      <c r="T93" s="67"/>
      <c r="U93" s="67"/>
      <c r="V93" s="67"/>
      <c r="W93" s="67"/>
      <c r="X93" s="67"/>
      <c r="Y93" s="67"/>
      <c r="Z93" s="67"/>
      <c r="AA93" s="56"/>
    </row>
    <row r="94" spans="1:27" x14ac:dyDescent="0.2">
      <c r="A94" s="67"/>
      <c r="B94" s="67"/>
      <c r="C94" s="67"/>
      <c r="D94" s="67"/>
      <c r="E94" s="67"/>
      <c r="F94" s="67"/>
      <c r="G94" s="68"/>
      <c r="H94" s="67"/>
      <c r="I94" s="67"/>
      <c r="J94" s="67"/>
      <c r="K94" s="67"/>
      <c r="L94" s="67"/>
      <c r="M94" s="67"/>
      <c r="N94" s="67"/>
      <c r="O94" s="67"/>
      <c r="P94" s="67"/>
      <c r="Q94" s="67"/>
      <c r="R94" s="67"/>
      <c r="S94" s="67"/>
      <c r="T94" s="67"/>
      <c r="U94" s="67"/>
      <c r="V94" s="67"/>
      <c r="W94" s="67"/>
      <c r="X94" s="67"/>
      <c r="Y94" s="67"/>
      <c r="Z94" s="67"/>
      <c r="AA94" s="56"/>
    </row>
    <row r="95" spans="1:27" x14ac:dyDescent="0.2">
      <c r="A95" s="67"/>
      <c r="B95" s="67"/>
      <c r="C95" s="67"/>
      <c r="D95" s="67"/>
      <c r="E95" s="67"/>
      <c r="F95" s="67"/>
      <c r="G95" s="68"/>
      <c r="H95" s="67"/>
      <c r="I95" s="67"/>
      <c r="J95" s="67"/>
      <c r="K95" s="67"/>
      <c r="L95" s="67"/>
      <c r="M95" s="67"/>
      <c r="N95" s="67"/>
      <c r="O95" s="67"/>
      <c r="P95" s="67"/>
      <c r="Q95" s="67"/>
      <c r="R95" s="67"/>
      <c r="S95" s="67"/>
      <c r="T95" s="67"/>
      <c r="U95" s="67"/>
      <c r="V95" s="67"/>
      <c r="W95" s="67"/>
      <c r="X95" s="67"/>
      <c r="Y95" s="67"/>
      <c r="Z95" s="67"/>
      <c r="AA95" s="56"/>
    </row>
    <row r="96" spans="1:27" x14ac:dyDescent="0.2">
      <c r="A96" s="67"/>
      <c r="B96" s="67"/>
      <c r="C96" s="67"/>
      <c r="D96" s="67"/>
      <c r="E96" s="67"/>
      <c r="F96" s="67"/>
      <c r="G96" s="68"/>
      <c r="H96" s="67"/>
      <c r="I96" s="67"/>
      <c r="J96" s="67"/>
      <c r="K96" s="67"/>
      <c r="L96" s="67"/>
      <c r="M96" s="67"/>
      <c r="N96" s="67"/>
      <c r="O96" s="67"/>
      <c r="P96" s="67"/>
      <c r="Q96" s="67"/>
      <c r="R96" s="67"/>
      <c r="S96" s="67"/>
      <c r="T96" s="67"/>
      <c r="U96" s="67"/>
      <c r="V96" s="67"/>
      <c r="W96" s="67"/>
      <c r="X96" s="67"/>
      <c r="Y96" s="67"/>
      <c r="Z96" s="67"/>
      <c r="AA96" s="56"/>
    </row>
    <row r="97" spans="1:27" x14ac:dyDescent="0.2">
      <c r="A97" s="67"/>
      <c r="B97" s="67"/>
      <c r="C97" s="67"/>
      <c r="D97" s="67"/>
      <c r="E97" s="67"/>
      <c r="F97" s="67"/>
      <c r="G97" s="68"/>
      <c r="H97" s="67"/>
      <c r="I97" s="67"/>
      <c r="J97" s="67"/>
      <c r="K97" s="67"/>
      <c r="L97" s="67"/>
      <c r="M97" s="67"/>
      <c r="N97" s="67"/>
      <c r="O97" s="67"/>
      <c r="P97" s="67"/>
      <c r="Q97" s="67"/>
      <c r="R97" s="67"/>
      <c r="S97" s="67"/>
      <c r="T97" s="67"/>
      <c r="U97" s="67"/>
      <c r="V97" s="67"/>
      <c r="W97" s="67"/>
      <c r="X97" s="67"/>
      <c r="Y97" s="67"/>
      <c r="Z97" s="67"/>
      <c r="AA97" s="56"/>
    </row>
    <row r="98" spans="1:27" x14ac:dyDescent="0.2">
      <c r="A98" s="67"/>
      <c r="B98" s="67"/>
      <c r="C98" s="67"/>
      <c r="D98" s="67"/>
      <c r="E98" s="67"/>
      <c r="F98" s="67"/>
      <c r="G98" s="68"/>
      <c r="H98" s="67"/>
      <c r="I98" s="67"/>
      <c r="J98" s="67"/>
      <c r="K98" s="67"/>
      <c r="L98" s="67"/>
      <c r="M98" s="67"/>
      <c r="N98" s="67"/>
      <c r="O98" s="67"/>
      <c r="P98" s="67"/>
      <c r="Q98" s="67"/>
      <c r="R98" s="67"/>
      <c r="S98" s="67"/>
      <c r="T98" s="67"/>
      <c r="U98" s="67"/>
      <c r="V98" s="67"/>
      <c r="W98" s="67"/>
      <c r="X98" s="67"/>
      <c r="Y98" s="67"/>
      <c r="Z98" s="67"/>
      <c r="AA98" s="56"/>
    </row>
    <row r="99" spans="1:27" x14ac:dyDescent="0.2">
      <c r="A99" s="67"/>
      <c r="B99" s="67"/>
      <c r="C99" s="67"/>
      <c r="D99" s="67"/>
      <c r="E99" s="67"/>
      <c r="F99" s="67"/>
      <c r="G99" s="68"/>
      <c r="H99" s="67"/>
      <c r="I99" s="67"/>
      <c r="J99" s="67"/>
      <c r="K99" s="67"/>
      <c r="L99" s="67"/>
      <c r="M99" s="67"/>
      <c r="N99" s="67"/>
      <c r="O99" s="67"/>
      <c r="P99" s="67"/>
      <c r="Q99" s="67"/>
      <c r="R99" s="67"/>
      <c r="S99" s="67"/>
      <c r="T99" s="67"/>
      <c r="U99" s="67"/>
      <c r="V99" s="67"/>
      <c r="W99" s="67"/>
      <c r="X99" s="67"/>
      <c r="Y99" s="67"/>
      <c r="Z99" s="67"/>
      <c r="AA99" s="56"/>
    </row>
    <row r="100" spans="1:27" x14ac:dyDescent="0.2">
      <c r="A100" s="58"/>
      <c r="B100" s="58"/>
      <c r="C100" s="58"/>
      <c r="D100" s="58"/>
      <c r="E100" s="58"/>
      <c r="F100" s="58"/>
      <c r="G100" s="59"/>
      <c r="H100" s="58"/>
      <c r="I100" s="58"/>
      <c r="J100" s="58"/>
      <c r="K100" s="58"/>
      <c r="L100" s="58"/>
      <c r="M100" s="58"/>
      <c r="N100" s="58"/>
      <c r="O100" s="58"/>
      <c r="P100" s="58"/>
      <c r="Q100" s="58"/>
      <c r="R100" s="58"/>
      <c r="S100" s="58"/>
      <c r="T100" s="58"/>
      <c r="U100" s="58"/>
      <c r="V100" s="58"/>
      <c r="W100" s="58"/>
      <c r="X100" s="58"/>
      <c r="Y100" s="58"/>
      <c r="Z100" s="58"/>
      <c r="AA100" s="56"/>
    </row>
  </sheetData>
  <sheetProtection algorithmName="SHA-512" hashValue="IUA5uLyW0mrRZkyPJKKIRFc3+5hN1b0hecgM8dzHCtjOUVEzhalBCWCXogf3HWMbmjeUOfL+5zp1szCxL2zuFA==" saltValue="VgYrN/Jn0z4UXKKRqvjtkQ==" spinCount="100000" sheet="1" objects="1" scenarios="1" selectLockedCells="1"/>
  <mergeCells count="1">
    <mergeCell ref="N3:O3"/>
  </mergeCells>
  <conditionalFormatting sqref="H7">
    <cfRule type="cellIs" dxfId="10" priority="18" operator="lessThan">
      <formula>VIN_op_min</formula>
    </cfRule>
    <cfRule type="cellIs" dxfId="9" priority="2" operator="greaterThan">
      <formula>VIN_op_max_56</formula>
    </cfRule>
    <cfRule type="cellIs" dxfId="8" priority="17" operator="greaterThan">
      <formula>VIN_op_max</formula>
    </cfRule>
  </conditionalFormatting>
  <conditionalFormatting sqref="H8">
    <cfRule type="cellIs" dxfId="7" priority="16" operator="notBetween">
      <formula>$H$7</formula>
      <formula>$H$9</formula>
    </cfRule>
  </conditionalFormatting>
  <conditionalFormatting sqref="H9">
    <cfRule type="cellIs" dxfId="6" priority="1" operator="greaterThan">
      <formula>VIN_op_max_56</formula>
    </cfRule>
    <cfRule type="cellIs" dxfId="5" priority="14" operator="lessThan">
      <formula>VIN_op_min</formula>
    </cfRule>
    <cfRule type="cellIs" dxfId="4" priority="13" operator="greaterThan">
      <formula>VIN_op_max</formula>
    </cfRule>
  </conditionalFormatting>
  <conditionalFormatting sqref="H57">
    <cfRule type="expression" dxfId="3" priority="11">
      <formula>$H$8&gt;$H$9</formula>
    </cfRule>
    <cfRule type="expression" dxfId="2" priority="12">
      <formula>$H$8&lt;$H$7</formula>
    </cfRule>
  </conditionalFormatting>
  <conditionalFormatting sqref="H17">
    <cfRule type="cellIs" dxfId="1" priority="6" operator="greaterThan">
      <formula>$H$16</formula>
    </cfRule>
  </conditionalFormatting>
  <dataValidations disablePrompts="1" count="1">
    <dataValidation type="list" allowBlank="1" showInputMessage="1" showErrorMessage="1" sqref="H18" xr:uid="{B6CBC9E4-52B2-4FA8-BCFD-24B327448BB5}">
      <formula1>CondMode</formula1>
    </dataValidation>
  </dataValidations>
  <hyperlinks>
    <hyperlink ref="N3" location="About!A1" display="TERMS OF USE" xr:uid="{EE270A3B-8816-419E-84BC-D008FEAD0366}"/>
    <hyperlink ref="N3:O3" location="Licenses!A1" display="TERMS OF USE" xr:uid="{7B8CA94F-4734-4CAD-88EF-98DE4E41009B}"/>
  </hyperlinks>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70" r:id="rId4" name="Drop Down 146">
              <controlPr defaultSize="0" print="0" autoLine="0" autoPict="0" altText="This is just there to fix the excel issue with comments and linked pictures">
                <anchor moveWithCells="1">
                  <from>
                    <xdr:col>14</xdr:col>
                    <xdr:colOff>596900</xdr:colOff>
                    <xdr:row>30</xdr:row>
                    <xdr:rowOff>88900</xdr:rowOff>
                  </from>
                  <to>
                    <xdr:col>16</xdr:col>
                    <xdr:colOff>215900</xdr:colOff>
                    <xdr:row>31</xdr:row>
                    <xdr:rowOff>114300</xdr:rowOff>
                  </to>
                </anchor>
              </controlPr>
            </control>
          </mc:Choice>
        </mc:AlternateContent>
        <mc:AlternateContent xmlns:mc="http://schemas.openxmlformats.org/markup-compatibility/2006">
          <mc:Choice Requires="x14">
            <control shapeId="1060" r:id="rId5" name="Spinner 36">
              <controlPr defaultSize="0" autoPict="0">
                <anchor moveWithCells="1" sizeWithCells="1">
                  <from>
                    <xdr:col>7</xdr:col>
                    <xdr:colOff>508000</xdr:colOff>
                    <xdr:row>56</xdr:row>
                    <xdr:rowOff>0</xdr:rowOff>
                  </from>
                  <to>
                    <xdr:col>8</xdr:col>
                    <xdr:colOff>12700</xdr:colOff>
                    <xdr:row>58</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 id="{AB53E77D-5294-4F50-832B-89A6F7F8A8A1}">
            <xm:f>NOT(Variable_Management!$K$30)</xm:f>
            <x14:dxf>
              <font>
                <color rgb="FFC00000"/>
              </font>
              <fill>
                <patternFill>
                  <bgColor theme="5" tint="0.59996337778862885"/>
                </patternFill>
              </fill>
            </x14:dxf>
          </x14:cfRule>
          <xm:sqref>H23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
  <sheetViews>
    <sheetView workbookViewId="0">
      <selection activeCell="C31" sqref="C31"/>
    </sheetView>
  </sheetViews>
  <sheetFormatPr baseColWidth="10" defaultColWidth="8.83203125"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256"/>
  <sheetViews>
    <sheetView zoomScale="85" zoomScaleNormal="85" workbookViewId="0">
      <pane ySplit="5" topLeftCell="A48" activePane="bottomLeft" state="frozen"/>
      <selection activeCell="N8" sqref="N8"/>
      <selection pane="bottomLeft" activeCell="B89" sqref="B89"/>
    </sheetView>
  </sheetViews>
  <sheetFormatPr baseColWidth="10" defaultColWidth="8.83203125" defaultRowHeight="15" x14ac:dyDescent="0.2"/>
  <cols>
    <col min="1" max="1" width="28.83203125" customWidth="1"/>
    <col min="2" max="2" width="19.5" customWidth="1"/>
    <col min="3" max="3" width="10.83203125" customWidth="1"/>
    <col min="4" max="4" width="10" bestFit="1" customWidth="1"/>
    <col min="5" max="5" width="18.6640625" customWidth="1"/>
    <col min="6" max="6" width="14.6640625" customWidth="1"/>
    <col min="7" max="7" width="15.1640625" customWidth="1"/>
    <col min="8" max="9" width="12.5" customWidth="1"/>
    <col min="11" max="11" width="12.83203125" bestFit="1" customWidth="1"/>
    <col min="12" max="14" width="12.33203125" bestFit="1" customWidth="1"/>
  </cols>
  <sheetData>
    <row r="1" spans="1:17" ht="28" x14ac:dyDescent="0.3">
      <c r="A1" s="229" t="s">
        <v>15</v>
      </c>
      <c r="B1" s="229"/>
      <c r="C1" s="229"/>
      <c r="D1" s="229"/>
      <c r="E1" s="229"/>
      <c r="F1" s="229"/>
      <c r="G1" s="229"/>
      <c r="H1" s="229"/>
      <c r="I1" s="229"/>
      <c r="J1" s="229"/>
    </row>
    <row r="2" spans="1:17" x14ac:dyDescent="0.2">
      <c r="A2" s="5"/>
      <c r="B2" s="5" t="s">
        <v>16</v>
      </c>
      <c r="C2" s="6"/>
      <c r="D2" s="4"/>
      <c r="E2" s="5"/>
      <c r="F2" s="5"/>
      <c r="G2" s="5"/>
      <c r="H2" s="5"/>
      <c r="I2" s="5"/>
      <c r="J2" s="5"/>
    </row>
    <row r="3" spans="1:17" x14ac:dyDescent="0.2">
      <c r="A3" s="5"/>
      <c r="B3" s="5" t="s">
        <v>17</v>
      </c>
      <c r="C3" s="7"/>
      <c r="D3" s="4"/>
      <c r="E3" s="5"/>
      <c r="F3" s="14" t="s">
        <v>63</v>
      </c>
      <c r="G3" s="15" t="s">
        <v>64</v>
      </c>
      <c r="H3" s="26" t="s">
        <v>67</v>
      </c>
      <c r="I3" s="5"/>
      <c r="J3" s="5"/>
    </row>
    <row r="4" spans="1:17" x14ac:dyDescent="0.2">
      <c r="A4" s="5"/>
      <c r="B4" s="5" t="s">
        <v>18</v>
      </c>
      <c r="C4" s="8"/>
      <c r="D4" s="4"/>
      <c r="E4" s="5"/>
      <c r="F4" s="5"/>
      <c r="G4" s="5"/>
      <c r="H4" s="5"/>
      <c r="I4" s="5"/>
      <c r="J4" s="5"/>
    </row>
    <row r="5" spans="1:17" x14ac:dyDescent="0.2">
      <c r="A5" s="9" t="s">
        <v>19</v>
      </c>
      <c r="B5" s="9" t="s">
        <v>20</v>
      </c>
      <c r="C5" s="9" t="s">
        <v>21</v>
      </c>
      <c r="D5" s="4"/>
      <c r="E5" s="230" t="s">
        <v>22</v>
      </c>
      <c r="F5" s="230"/>
      <c r="G5" s="230"/>
      <c r="H5" s="230"/>
      <c r="I5" s="5"/>
      <c r="J5" s="9" t="s">
        <v>23</v>
      </c>
      <c r="K5" s="9" t="s">
        <v>71</v>
      </c>
      <c r="L5" s="4"/>
      <c r="M5" s="4"/>
      <c r="N5" s="4"/>
      <c r="O5" s="4"/>
      <c r="P5" s="4"/>
      <c r="Q5" s="4"/>
    </row>
    <row r="6" spans="1:17" ht="16" x14ac:dyDescent="0.2">
      <c r="A6" s="10" t="s">
        <v>24</v>
      </c>
      <c r="B6" s="9"/>
      <c r="C6" s="9"/>
      <c r="D6" s="9"/>
      <c r="E6" s="5"/>
      <c r="F6" s="5"/>
      <c r="G6" s="5"/>
      <c r="H6" s="5"/>
      <c r="I6" s="5"/>
      <c r="J6" s="9"/>
      <c r="K6" s="4"/>
      <c r="L6" s="4"/>
      <c r="M6" s="4"/>
      <c r="N6" s="4"/>
      <c r="O6" s="4"/>
      <c r="P6" s="4"/>
      <c r="Q6" s="4"/>
    </row>
    <row r="7" spans="1:17" x14ac:dyDescent="0.2">
      <c r="A7" t="s">
        <v>25</v>
      </c>
      <c r="B7" s="3">
        <f>'Design Converter'!H7</f>
        <v>3.5</v>
      </c>
      <c r="C7" t="s">
        <v>10</v>
      </c>
      <c r="E7" t="s">
        <v>28</v>
      </c>
    </row>
    <row r="8" spans="1:17" x14ac:dyDescent="0.2">
      <c r="A8" t="s">
        <v>26</v>
      </c>
      <c r="B8" s="3">
        <f>'Design Converter'!H8</f>
        <v>3.8</v>
      </c>
      <c r="C8" t="s">
        <v>10</v>
      </c>
      <c r="E8" t="s">
        <v>29</v>
      </c>
      <c r="K8">
        <f>IF(VIN_min&lt;VIN_min,1,IF(VIN_nom&gt;VIN_max,1,0))</f>
        <v>0</v>
      </c>
    </row>
    <row r="9" spans="1:17" x14ac:dyDescent="0.2">
      <c r="A9" t="s">
        <v>27</v>
      </c>
      <c r="B9" s="3">
        <f>'Design Converter'!H9</f>
        <v>4.2</v>
      </c>
      <c r="C9" t="s">
        <v>10</v>
      </c>
      <c r="E9" t="s">
        <v>30</v>
      </c>
    </row>
    <row r="10" spans="1:17" x14ac:dyDescent="0.2">
      <c r="A10" t="s">
        <v>68</v>
      </c>
      <c r="B10" s="3">
        <f>'Design Converter'!H12*1000</f>
        <v>440000</v>
      </c>
      <c r="C10" t="s">
        <v>69</v>
      </c>
      <c r="E10" t="s">
        <v>70</v>
      </c>
    </row>
    <row r="11" spans="1:17" x14ac:dyDescent="0.2">
      <c r="A11" t="s">
        <v>73</v>
      </c>
      <c r="B11" s="18">
        <f>((2.21*10^10)/Fsw)-955</f>
        <v>49272.272727272728</v>
      </c>
      <c r="C11" s="2" t="s">
        <v>36</v>
      </c>
      <c r="E11" t="s">
        <v>74</v>
      </c>
    </row>
    <row r="13" spans="1:17" x14ac:dyDescent="0.2">
      <c r="A13" t="s">
        <v>31</v>
      </c>
      <c r="B13" s="3">
        <f>'Design Converter'!H10</f>
        <v>5</v>
      </c>
      <c r="C13" t="s">
        <v>10</v>
      </c>
      <c r="E13" t="s">
        <v>32</v>
      </c>
    </row>
    <row r="14" spans="1:17" x14ac:dyDescent="0.2">
      <c r="A14" t="s">
        <v>33</v>
      </c>
      <c r="B14" s="3">
        <f>'Design Converter'!H11</f>
        <v>2</v>
      </c>
      <c r="C14" t="s">
        <v>11</v>
      </c>
      <c r="E14" t="s">
        <v>34</v>
      </c>
    </row>
    <row r="15" spans="1:17" x14ac:dyDescent="0.2">
      <c r="A15" t="s">
        <v>35</v>
      </c>
      <c r="B15" s="1">
        <f>VOUT/IOUT</f>
        <v>2.5</v>
      </c>
      <c r="C15" s="2" t="s">
        <v>36</v>
      </c>
      <c r="E15" t="s">
        <v>42</v>
      </c>
    </row>
    <row r="16" spans="1:17" x14ac:dyDescent="0.2">
      <c r="A16" t="s">
        <v>37</v>
      </c>
      <c r="B16" s="1">
        <f>VOUT*IOUT</f>
        <v>10</v>
      </c>
      <c r="C16" s="2" t="s">
        <v>38</v>
      </c>
      <c r="E16" t="s">
        <v>41</v>
      </c>
    </row>
    <row r="17" spans="1:19" x14ac:dyDescent="0.2">
      <c r="A17" t="s">
        <v>39</v>
      </c>
      <c r="B17" s="11">
        <f>'Design Converter'!H14/100</f>
        <v>0.9</v>
      </c>
      <c r="E17" t="s">
        <v>40</v>
      </c>
    </row>
    <row r="19" spans="1:19" x14ac:dyDescent="0.2">
      <c r="A19" s="33" t="s">
        <v>519</v>
      </c>
    </row>
    <row r="20" spans="1:19" x14ac:dyDescent="0.2">
      <c r="A20" t="s">
        <v>43</v>
      </c>
      <c r="B20" s="1">
        <f>IF(B$36="DCM",B55,B39)</f>
        <v>0.30000000000000004</v>
      </c>
      <c r="E20" t="s">
        <v>44</v>
      </c>
    </row>
    <row r="21" spans="1:19" x14ac:dyDescent="0.2">
      <c r="A21" t="s">
        <v>45</v>
      </c>
      <c r="B21" s="12">
        <f>Constants!B20</f>
        <v>0.93</v>
      </c>
      <c r="E21" t="s">
        <v>46</v>
      </c>
      <c r="K21">
        <f>IF(((1-D_limit_nom)/Constants!B12)&lt;Fsw,1,0)</f>
        <v>0</v>
      </c>
    </row>
    <row r="23" spans="1:19" x14ac:dyDescent="0.2">
      <c r="A23" t="s">
        <v>82</v>
      </c>
      <c r="B23" s="1">
        <f>IF(B$36="DCM",B58,B42)</f>
        <v>0.30000000000000004</v>
      </c>
      <c r="E23" t="s">
        <v>506</v>
      </c>
    </row>
    <row r="24" spans="1:19" x14ac:dyDescent="0.2">
      <c r="B24" s="13">
        <f>IF(B$36="DCM",B59,B43)</f>
        <v>6.8181818181818191E-7</v>
      </c>
      <c r="C24" t="s">
        <v>54</v>
      </c>
      <c r="E24" t="s">
        <v>333</v>
      </c>
    </row>
    <row r="25" spans="1:19" x14ac:dyDescent="0.2">
      <c r="A25" t="s">
        <v>92</v>
      </c>
      <c r="B25" s="17">
        <f>IF(B$36="DCM",B60,B44)</f>
        <v>2.8571428571428572</v>
      </c>
      <c r="C25" t="s">
        <v>11</v>
      </c>
      <c r="E25" t="s">
        <v>95</v>
      </c>
      <c r="K25" t="s">
        <v>559</v>
      </c>
      <c r="L25" t="s">
        <v>560</v>
      </c>
      <c r="M25" t="s">
        <v>572</v>
      </c>
    </row>
    <row r="26" spans="1:19" x14ac:dyDescent="0.2">
      <c r="J26" t="s">
        <v>561</v>
      </c>
      <c r="K26" t="b">
        <f>Dc_CCM_VIN_min&lt;B58</f>
        <v>1</v>
      </c>
      <c r="L26" t="b">
        <f>Dc_CCM_VIN_nom&lt;Dc_DCM_VIN_nom</f>
        <v>1</v>
      </c>
      <c r="M26" t="b">
        <f>Dc_CCM_VIN_max&lt;B66</f>
        <v>1</v>
      </c>
    </row>
    <row r="27" spans="1:19" x14ac:dyDescent="0.2">
      <c r="A27" t="s">
        <v>83</v>
      </c>
      <c r="B27" s="1">
        <f>IF(B$36="DCM",B62,B46)</f>
        <v>0.24</v>
      </c>
      <c r="E27" t="s">
        <v>507</v>
      </c>
      <c r="J27" t="s">
        <v>565</v>
      </c>
      <c r="K27" t="b">
        <f>AND(K26:M26)</f>
        <v>1</v>
      </c>
    </row>
    <row r="28" spans="1:19" x14ac:dyDescent="0.2">
      <c r="B28" s="13">
        <f>IF(B$36="DCM",B63,B47)</f>
        <v>5.4545454545454538E-7</v>
      </c>
      <c r="C28" t="s">
        <v>54</v>
      </c>
      <c r="E28" t="s">
        <v>333</v>
      </c>
      <c r="J28" t="s">
        <v>566</v>
      </c>
      <c r="K28" t="b">
        <f>NOT(OR(K26:M26))</f>
        <v>0</v>
      </c>
    </row>
    <row r="29" spans="1:19" x14ac:dyDescent="0.2">
      <c r="A29" t="s">
        <v>93</v>
      </c>
      <c r="B29" s="17">
        <f>IF(B$36="DCM",B64,B48)</f>
        <v>2.6315789473684212</v>
      </c>
      <c r="C29" t="s">
        <v>11</v>
      </c>
      <c r="E29" t="s">
        <v>96</v>
      </c>
      <c r="J29" t="s">
        <v>562</v>
      </c>
      <c r="K29" t="b">
        <f>NOT(OR(K27:K28))</f>
        <v>0</v>
      </c>
    </row>
    <row r="30" spans="1:19" x14ac:dyDescent="0.2">
      <c r="J30" t="s">
        <v>567</v>
      </c>
      <c r="K30" t="b">
        <f>IF(Dc_Mode="CCM",K27,IF(Dc_Mode="DCM",K28,K29))</f>
        <v>1</v>
      </c>
      <c r="P30" t="s">
        <v>557</v>
      </c>
      <c r="Q30" t="s">
        <v>555</v>
      </c>
      <c r="R30" t="s">
        <v>556</v>
      </c>
      <c r="S30" t="s">
        <v>558</v>
      </c>
    </row>
    <row r="31" spans="1:19" x14ac:dyDescent="0.2">
      <c r="A31" t="s">
        <v>84</v>
      </c>
      <c r="B31" s="1">
        <f>IF(B$36="DCM",B66,B50)</f>
        <v>0.15999999999999992</v>
      </c>
      <c r="E31" t="s">
        <v>508</v>
      </c>
      <c r="K31" t="s">
        <v>554</v>
      </c>
      <c r="L31" s="137">
        <f>VIN_min/(Fsw*2*IOUT)*Dc_VIN_min*(1-Dc_VIN_min)</f>
        <v>4.1761363636363638E-7</v>
      </c>
      <c r="M31" s="137">
        <f>VIN_nom/(Fsw*2*IOUT)*Dc_VIN_nom*(1-Dc_VIN_nom)</f>
        <v>3.9381818181818177E-7</v>
      </c>
      <c r="N31" s="137">
        <f>VIN_max/(Fsw*2*IOUT)*Dc_VIN_max*(1-Dc_VIN_max)</f>
        <v>3.2072727272727259E-7</v>
      </c>
      <c r="P31" s="137">
        <f>Q31*0.9</f>
        <v>2.8865454545454536E-7</v>
      </c>
      <c r="Q31" s="137">
        <f>MIN(L31:N31)</f>
        <v>3.2072727272727259E-7</v>
      </c>
      <c r="R31" s="137">
        <f>MAX(L31:N31)</f>
        <v>4.1761363636363638E-7</v>
      </c>
      <c r="S31" s="137">
        <f>R31*1.1</f>
        <v>4.5937500000000005E-7</v>
      </c>
    </row>
    <row r="32" spans="1:19" x14ac:dyDescent="0.2">
      <c r="B32" s="13">
        <f>IF(B$36="DCM",B67,B51)</f>
        <v>3.6363636363636345E-7</v>
      </c>
      <c r="C32" t="s">
        <v>54</v>
      </c>
      <c r="E32" t="s">
        <v>333</v>
      </c>
    </row>
    <row r="33" spans="1:14" x14ac:dyDescent="0.2">
      <c r="A33" t="s">
        <v>94</v>
      </c>
      <c r="B33" s="17">
        <f>IF(B$36="DCM",B68,B52)</f>
        <v>2.3809523809523809</v>
      </c>
      <c r="C33" t="s">
        <v>11</v>
      </c>
      <c r="E33" t="s">
        <v>97</v>
      </c>
    </row>
    <row r="34" spans="1:14" x14ac:dyDescent="0.2">
      <c r="N34" t="s">
        <v>553</v>
      </c>
    </row>
    <row r="35" spans="1:14" x14ac:dyDescent="0.2">
      <c r="A35" t="s">
        <v>534</v>
      </c>
      <c r="B35" s="140" t="str">
        <f>IF(AND(K35&lt;Lm,L35&lt;Lm,M35&lt;Lm),"CCM",IF(AND(K35&gt;Lm,L35&gt;Lm,M35&gt;Lm),"DCM","CCM/DCM"))</f>
        <v>CCM</v>
      </c>
      <c r="E35" t="s">
        <v>517</v>
      </c>
      <c r="K35" s="137">
        <f>VIN_min/(Fsw*2*IOUT)*Dc_CCM_VIN_min*(1-Dc_CCM_VIN_min)</f>
        <v>4.1761363636363638E-7</v>
      </c>
      <c r="L35" s="137">
        <f>IF(AND(B50&lt;0.5,B42&gt;0.5),VIN_min/(Fsw*2*IOUT)*0.5*(1-0.5),VIN_min/(Fsw*2*IOUT)*Dc_CCM_VIN_nom*(1-Dc_CCM_VIN_nom))</f>
        <v>3.6272727272727273E-7</v>
      </c>
      <c r="M35" s="137">
        <f>VIN_min/(Fsw*2*IOUT)*Dc_CCM_VIN_max*(1-Dc_VIN_max)</f>
        <v>2.6727272727272717E-7</v>
      </c>
      <c r="N35" t="b">
        <f>IF(Dc_Mode="CCM",IF(Lm&lt;MAX(K35,L35,M35),TRUE,IF(Lm&gt;MIN(K35,L35,M35),TRUE,FALSE)))</f>
        <v>1</v>
      </c>
    </row>
    <row r="36" spans="1:14" x14ac:dyDescent="0.2">
      <c r="A36" t="s">
        <v>533</v>
      </c>
      <c r="B36" s="139" t="str">
        <f>'Design Converter'!H18</f>
        <v>CCM</v>
      </c>
      <c r="E36" t="s">
        <v>516</v>
      </c>
      <c r="K36" t="str">
        <f>IF(OR(B35="CCM",B35="CCM/DCM"),"CCM","DCM")</f>
        <v>CCM</v>
      </c>
      <c r="L36" t="str">
        <f>IF(B35="CCM/DCM","DCM","")</f>
        <v/>
      </c>
    </row>
    <row r="38" spans="1:14" x14ac:dyDescent="0.2">
      <c r="A38" s="33" t="s">
        <v>495</v>
      </c>
    </row>
    <row r="39" spans="1:14" x14ac:dyDescent="0.2">
      <c r="A39" t="s">
        <v>509</v>
      </c>
      <c r="B39" s="1">
        <f>1-VIN_min/VOUT</f>
        <v>0.30000000000000004</v>
      </c>
      <c r="E39" t="s">
        <v>44</v>
      </c>
    </row>
    <row r="42" spans="1:14" x14ac:dyDescent="0.2">
      <c r="A42" t="s">
        <v>510</v>
      </c>
      <c r="B42" s="1">
        <f>1-VIN_min/VOUT</f>
        <v>0.30000000000000004</v>
      </c>
      <c r="E42" t="s">
        <v>85</v>
      </c>
    </row>
    <row r="43" spans="1:14" x14ac:dyDescent="0.2">
      <c r="B43" s="13">
        <f>B42/Fsw</f>
        <v>6.8181818181818191E-7</v>
      </c>
      <c r="C43" t="s">
        <v>54</v>
      </c>
      <c r="E43" t="s">
        <v>333</v>
      </c>
    </row>
    <row r="44" spans="1:14" x14ac:dyDescent="0.2">
      <c r="A44" t="s">
        <v>511</v>
      </c>
      <c r="B44" s="17">
        <f>(VOUT*IOUT)/(VIN_min)</f>
        <v>2.8571428571428572</v>
      </c>
      <c r="C44" t="s">
        <v>11</v>
      </c>
      <c r="E44" t="s">
        <v>95</v>
      </c>
    </row>
    <row r="46" spans="1:14" x14ac:dyDescent="0.2">
      <c r="A46" t="s">
        <v>512</v>
      </c>
      <c r="B46" s="1">
        <f>1-VIN_nom/VOUT</f>
        <v>0.24</v>
      </c>
      <c r="E46" t="s">
        <v>86</v>
      </c>
    </row>
    <row r="47" spans="1:14" x14ac:dyDescent="0.2">
      <c r="B47" s="13">
        <f>B46/Fsw</f>
        <v>5.4545454545454538E-7</v>
      </c>
      <c r="C47" t="s">
        <v>54</v>
      </c>
      <c r="E47" t="s">
        <v>333</v>
      </c>
    </row>
    <row r="48" spans="1:14" x14ac:dyDescent="0.2">
      <c r="A48" t="s">
        <v>513</v>
      </c>
      <c r="B48" s="17">
        <f>(VOUT*IOUT)/(VIN_nom)</f>
        <v>2.6315789473684212</v>
      </c>
      <c r="C48" t="s">
        <v>11</v>
      </c>
      <c r="E48" t="s">
        <v>96</v>
      </c>
    </row>
    <row r="50" spans="1:5" x14ac:dyDescent="0.2">
      <c r="A50" t="s">
        <v>514</v>
      </c>
      <c r="B50" s="1">
        <f>1-VIN_max/VOUT</f>
        <v>0.15999999999999992</v>
      </c>
      <c r="E50" t="s">
        <v>87</v>
      </c>
    </row>
    <row r="51" spans="1:5" x14ac:dyDescent="0.2">
      <c r="B51" s="13">
        <f>B50/Fsw</f>
        <v>3.6363636363636345E-7</v>
      </c>
      <c r="C51" t="s">
        <v>54</v>
      </c>
      <c r="E51" t="s">
        <v>333</v>
      </c>
    </row>
    <row r="52" spans="1:5" x14ac:dyDescent="0.2">
      <c r="A52" t="s">
        <v>515</v>
      </c>
      <c r="B52" s="17">
        <f>(VOUT*IOUT)/(VIN_max)</f>
        <v>2.3809523809523809</v>
      </c>
      <c r="C52" t="s">
        <v>11</v>
      </c>
      <c r="E52" t="s">
        <v>97</v>
      </c>
    </row>
    <row r="54" spans="1:5" x14ac:dyDescent="0.2">
      <c r="A54" s="33" t="s">
        <v>496</v>
      </c>
    </row>
    <row r="55" spans="1:5" x14ac:dyDescent="0.2">
      <c r="A55" t="s">
        <v>497</v>
      </c>
      <c r="B55" s="1">
        <f>1/VIN_min*SQRT(2*Lm*(VOUT-VIN_min)*Fsw*IOUT)</f>
        <v>0.56856424977521136</v>
      </c>
      <c r="E55" t="s">
        <v>44</v>
      </c>
    </row>
    <row r="58" spans="1:5" x14ac:dyDescent="0.2">
      <c r="A58" t="s">
        <v>501</v>
      </c>
      <c r="B58" s="1">
        <f>1/VIN_min*SQRT(2*Lm*(VOUT-VIN_min)*Fsw*IOUT)</f>
        <v>0.56856424977521136</v>
      </c>
      <c r="E58" t="s">
        <v>498</v>
      </c>
    </row>
    <row r="59" spans="1:5" x14ac:dyDescent="0.2">
      <c r="B59" s="13">
        <f>B58/Fsw</f>
        <v>1.292191476761844E-6</v>
      </c>
      <c r="C59" t="s">
        <v>54</v>
      </c>
      <c r="E59" t="s">
        <v>333</v>
      </c>
    </row>
    <row r="60" spans="1:5" x14ac:dyDescent="0.2">
      <c r="A60" t="s">
        <v>502</v>
      </c>
      <c r="B60" s="17">
        <f>(VOUT*IOUT)/(VIN_min)</f>
        <v>2.8571428571428572</v>
      </c>
      <c r="C60" t="s">
        <v>11</v>
      </c>
      <c r="E60" t="s">
        <v>95</v>
      </c>
    </row>
    <row r="62" spans="1:5" x14ac:dyDescent="0.2">
      <c r="A62" t="s">
        <v>503</v>
      </c>
      <c r="B62" s="1">
        <f>1/VIN_nom*SQRT(2*Lm*(VOUT-VIN_nom)*Fsw*IOUT)</f>
        <v>0.46839148339551556</v>
      </c>
      <c r="E62" t="s">
        <v>499</v>
      </c>
    </row>
    <row r="63" spans="1:5" x14ac:dyDescent="0.2">
      <c r="B63" s="13">
        <f>B62/Fsw</f>
        <v>1.0645260986261718E-6</v>
      </c>
      <c r="C63" t="s">
        <v>54</v>
      </c>
      <c r="E63" t="s">
        <v>333</v>
      </c>
    </row>
    <row r="64" spans="1:5" x14ac:dyDescent="0.2">
      <c r="A64" t="s">
        <v>504</v>
      </c>
      <c r="B64" s="17">
        <f>(VOUT*IOUT)/(VIN_nom)</f>
        <v>2.6315789473684212</v>
      </c>
      <c r="C64" t="s">
        <v>11</v>
      </c>
      <c r="E64" t="s">
        <v>96</v>
      </c>
    </row>
    <row r="66" spans="1:5" x14ac:dyDescent="0.2">
      <c r="A66" t="s">
        <v>505</v>
      </c>
      <c r="B66" s="1">
        <f>1/VIN_max*SQRT(2*Lm*(VOUT-VIN_max)*Fsw*IOUT)</f>
        <v>0.34601718332542758</v>
      </c>
      <c r="E66" t="s">
        <v>500</v>
      </c>
    </row>
    <row r="67" spans="1:5" x14ac:dyDescent="0.2">
      <c r="B67" s="13">
        <f>B66/Fsw</f>
        <v>7.8640268937597179E-7</v>
      </c>
      <c r="C67" t="s">
        <v>54</v>
      </c>
      <c r="E67" t="s">
        <v>333</v>
      </c>
    </row>
    <row r="68" spans="1:5" x14ac:dyDescent="0.2">
      <c r="A68" t="s">
        <v>94</v>
      </c>
      <c r="B68" s="17">
        <f>(VOUT*IOUT)/(VIN_max)</f>
        <v>2.3809523809523809</v>
      </c>
      <c r="C68" t="s">
        <v>11</v>
      </c>
      <c r="E68" t="s">
        <v>97</v>
      </c>
    </row>
    <row r="70" spans="1:5" x14ac:dyDescent="0.2">
      <c r="A70" s="19" t="s">
        <v>77</v>
      </c>
    </row>
    <row r="71" spans="1:5" x14ac:dyDescent="0.2">
      <c r="A71" t="s">
        <v>99</v>
      </c>
      <c r="B71" s="3">
        <f>'Design Converter'!H21/100</f>
        <v>0.6</v>
      </c>
      <c r="E71" t="s">
        <v>122</v>
      </c>
    </row>
    <row r="72" spans="1:5" x14ac:dyDescent="0.2">
      <c r="A72" s="22" t="s">
        <v>107</v>
      </c>
    </row>
    <row r="73" spans="1:5" x14ac:dyDescent="0.2">
      <c r="A73" t="s">
        <v>90</v>
      </c>
      <c r="B73" s="25">
        <f>(VIN_min*Dc_VIN_min)/(IL_avg_VIN_min*ILrip*Fsw)</f>
        <v>1.392045454545455E-6</v>
      </c>
      <c r="C73" t="s">
        <v>98</v>
      </c>
      <c r="E73" t="s">
        <v>91</v>
      </c>
    </row>
    <row r="74" spans="1:5" x14ac:dyDescent="0.2">
      <c r="A74" t="s">
        <v>569</v>
      </c>
      <c r="B74" s="25">
        <f>(VIN_nom*Dc_VIN_nom)/(IL_avg_VIN_nom*ILrip*Fsw)</f>
        <v>1.3127272727272726E-6</v>
      </c>
      <c r="C74" t="s">
        <v>98</v>
      </c>
      <c r="E74" t="s">
        <v>570</v>
      </c>
    </row>
    <row r="75" spans="1:5" x14ac:dyDescent="0.2">
      <c r="A75" t="s">
        <v>568</v>
      </c>
      <c r="B75" s="25">
        <f>(VIN_max*Dc_VIN_max)/(IL_avg_VIN_max*ILrip*Fsw)</f>
        <v>1.0690909090909085E-6</v>
      </c>
      <c r="C75" t="s">
        <v>98</v>
      </c>
      <c r="E75" t="s">
        <v>571</v>
      </c>
    </row>
    <row r="76" spans="1:5" x14ac:dyDescent="0.2">
      <c r="A76" t="s">
        <v>100</v>
      </c>
      <c r="B76" s="25">
        <f>AVERAGE(B73:B75)</f>
        <v>1.2579545454545452E-6</v>
      </c>
      <c r="C76" t="s">
        <v>98</v>
      </c>
      <c r="E76" t="s">
        <v>101</v>
      </c>
    </row>
    <row r="78" spans="1:5" x14ac:dyDescent="0.2">
      <c r="A78" s="22" t="s">
        <v>108</v>
      </c>
    </row>
    <row r="79" spans="1:5" x14ac:dyDescent="0.2">
      <c r="A79" t="s">
        <v>133</v>
      </c>
      <c r="B79" s="12">
        <v>0.33</v>
      </c>
      <c r="C79" t="s">
        <v>13</v>
      </c>
      <c r="E79" t="s">
        <v>132</v>
      </c>
    </row>
    <row r="80" spans="1:5" x14ac:dyDescent="0.2">
      <c r="A80" t="s">
        <v>109</v>
      </c>
      <c r="B80" s="1">
        <f>IF(Dc_VIN_max&lt;Dc_rip_max,VOUT*(1-Dc_rip_max),VOUT*(1-Dc_VIN_max))</f>
        <v>3.3499999999999996</v>
      </c>
      <c r="C80" t="s">
        <v>10</v>
      </c>
      <c r="E80" t="s">
        <v>136</v>
      </c>
    </row>
    <row r="81" spans="1:5" x14ac:dyDescent="0.2">
      <c r="A81" t="s">
        <v>110</v>
      </c>
      <c r="B81" s="16">
        <f>(VOUT*IOUT)/(VIN_33)</f>
        <v>2.9850746268656718</v>
      </c>
      <c r="C81" t="s">
        <v>11</v>
      </c>
      <c r="E81" t="s">
        <v>135</v>
      </c>
    </row>
    <row r="82" spans="1:5" x14ac:dyDescent="0.2">
      <c r="A82" t="s">
        <v>111</v>
      </c>
      <c r="B82" s="25">
        <f>(VIN_33*0.33)/(IIN_33*ILrip*Fsw)</f>
        <v>1.4028124999999998E-6</v>
      </c>
      <c r="C82" t="s">
        <v>98</v>
      </c>
      <c r="E82" t="s">
        <v>134</v>
      </c>
    </row>
    <row r="84" spans="1:5" x14ac:dyDescent="0.2">
      <c r="A84" t="s">
        <v>102</v>
      </c>
      <c r="B84" s="21">
        <f>'Design Converter'!H23*10^-6</f>
        <v>1.5E-6</v>
      </c>
      <c r="C84" t="s">
        <v>98</v>
      </c>
      <c r="E84" t="s">
        <v>103</v>
      </c>
    </row>
    <row r="85" spans="1:5" x14ac:dyDescent="0.2">
      <c r="A85" t="s">
        <v>104</v>
      </c>
      <c r="B85" s="3">
        <f>'Design Converter'!H24*10^-3</f>
        <v>8.8999999999999999E-3</v>
      </c>
      <c r="C85" s="2" t="s">
        <v>36</v>
      </c>
      <c r="E85" t="s">
        <v>137</v>
      </c>
    </row>
    <row r="86" spans="1:5" x14ac:dyDescent="0.2">
      <c r="A86" t="s">
        <v>138</v>
      </c>
      <c r="B86" s="12">
        <v>0.2</v>
      </c>
      <c r="C86" s="2"/>
      <c r="E86" t="s">
        <v>139</v>
      </c>
    </row>
    <row r="88" spans="1:5" x14ac:dyDescent="0.2">
      <c r="A88" s="22" t="s">
        <v>573</v>
      </c>
      <c r="C88" s="2"/>
    </row>
    <row r="89" spans="1:5" x14ac:dyDescent="0.2">
      <c r="A89" t="s">
        <v>574</v>
      </c>
      <c r="B89" s="227">
        <f>VIN_min/(2*Fsw*IOUT)*(1-VIN_min/VOUT)*(1-(1-VIN_min/VOUT))</f>
        <v>4.1761363636363638E-7</v>
      </c>
      <c r="C89" s="2"/>
    </row>
    <row r="90" spans="1:5" x14ac:dyDescent="0.2">
      <c r="C90" s="2"/>
    </row>
    <row r="91" spans="1:5" x14ac:dyDescent="0.2">
      <c r="A91" s="22" t="s">
        <v>495</v>
      </c>
      <c r="C91" s="2"/>
    </row>
    <row r="92" spans="1:5" x14ac:dyDescent="0.2">
      <c r="A92" t="s">
        <v>115</v>
      </c>
      <c r="B92" s="16">
        <f>(VIN_min*Dc_VIN_min)/(Lm*Fsw)</f>
        <v>1.5909090909090913</v>
      </c>
      <c r="C92" t="s">
        <v>11</v>
      </c>
      <c r="E92" t="s">
        <v>116</v>
      </c>
    </row>
    <row r="93" spans="1:5" x14ac:dyDescent="0.2">
      <c r="A93" t="s">
        <v>113</v>
      </c>
      <c r="B93" s="16">
        <f>(IL_avg_VIN_min/EFF_est)+(ILrip_VINmin/2)</f>
        <v>3.9700577200577198</v>
      </c>
      <c r="C93" t="s">
        <v>11</v>
      </c>
      <c r="E93" t="s">
        <v>114</v>
      </c>
    </row>
    <row r="95" spans="1:5" x14ac:dyDescent="0.2">
      <c r="A95" t="s">
        <v>117</v>
      </c>
      <c r="B95" s="16">
        <f>(VIN_nom*Dc_VIN_nom)/(Lm*Fsw)</f>
        <v>1.3818181818181816</v>
      </c>
      <c r="C95" t="s">
        <v>11</v>
      </c>
      <c r="E95" t="s">
        <v>123</v>
      </c>
    </row>
    <row r="96" spans="1:5" x14ac:dyDescent="0.2">
      <c r="A96" t="s">
        <v>118</v>
      </c>
      <c r="B96" s="16">
        <f>(IL_avg_VIN_nom/EFF_est)+(ILrip_VINnom/2)</f>
        <v>3.6148856990962255</v>
      </c>
      <c r="C96" t="s">
        <v>11</v>
      </c>
      <c r="E96" t="s">
        <v>124</v>
      </c>
    </row>
    <row r="98" spans="1:5" x14ac:dyDescent="0.2">
      <c r="A98" t="s">
        <v>119</v>
      </c>
      <c r="B98" s="16">
        <f>(VIN_max*Dc_VIN_max)/(Lm*Fsw)</f>
        <v>1.0181818181818176</v>
      </c>
      <c r="C98" t="s">
        <v>11</v>
      </c>
      <c r="E98" t="s">
        <v>125</v>
      </c>
    </row>
    <row r="99" spans="1:5" x14ac:dyDescent="0.2">
      <c r="A99" t="s">
        <v>120</v>
      </c>
      <c r="B99" s="16">
        <f>(IL_avg_VIN_max/EFF_est)+(ILrip_VINmax/2)</f>
        <v>3.1545935545935544</v>
      </c>
      <c r="C99" t="s">
        <v>11</v>
      </c>
      <c r="E99" t="s">
        <v>126</v>
      </c>
    </row>
    <row r="100" spans="1:5" x14ac:dyDescent="0.2">
      <c r="C100" s="2"/>
    </row>
    <row r="101" spans="1:5" x14ac:dyDescent="0.2">
      <c r="A101" s="22" t="s">
        <v>496</v>
      </c>
      <c r="C101" s="2"/>
    </row>
    <row r="102" spans="1:5" x14ac:dyDescent="0.2">
      <c r="A102" t="s">
        <v>115</v>
      </c>
      <c r="B102" s="16">
        <f>(VIN_min*Dc_VIN_min)/(Lm*Fsw)</f>
        <v>1.5909090909090913</v>
      </c>
      <c r="C102" t="s">
        <v>11</v>
      </c>
      <c r="E102" t="s">
        <v>116</v>
      </c>
    </row>
    <row r="103" spans="1:5" x14ac:dyDescent="0.2">
      <c r="A103" t="s">
        <v>113</v>
      </c>
      <c r="B103" s="16">
        <f>B102</f>
        <v>1.5909090909090913</v>
      </c>
      <c r="C103" t="s">
        <v>11</v>
      </c>
      <c r="E103" t="s">
        <v>114</v>
      </c>
    </row>
    <row r="105" spans="1:5" x14ac:dyDescent="0.2">
      <c r="A105" t="s">
        <v>117</v>
      </c>
      <c r="B105" s="16">
        <f>(VIN_nom*Dc_VIN_nom)/(Lm*Fsw)</f>
        <v>1.3818181818181816</v>
      </c>
      <c r="C105" t="s">
        <v>11</v>
      </c>
      <c r="E105" t="s">
        <v>123</v>
      </c>
    </row>
    <row r="106" spans="1:5" x14ac:dyDescent="0.2">
      <c r="A106" t="s">
        <v>118</v>
      </c>
      <c r="B106" s="16">
        <f>B105</f>
        <v>1.3818181818181816</v>
      </c>
      <c r="C106" t="s">
        <v>11</v>
      </c>
      <c r="E106" t="s">
        <v>124</v>
      </c>
    </row>
    <row r="108" spans="1:5" x14ac:dyDescent="0.2">
      <c r="A108" t="s">
        <v>119</v>
      </c>
      <c r="B108" s="16">
        <f>(VIN_max*Dc_VIN_max)/(Lm*Fsw)</f>
        <v>1.0181818181818176</v>
      </c>
      <c r="C108" t="s">
        <v>11</v>
      </c>
      <c r="E108" t="s">
        <v>125</v>
      </c>
    </row>
    <row r="109" spans="1:5" x14ac:dyDescent="0.2">
      <c r="A109" t="s">
        <v>120</v>
      </c>
      <c r="B109" s="16">
        <f>B108</f>
        <v>1.0181818181818176</v>
      </c>
      <c r="C109" t="s">
        <v>11</v>
      </c>
      <c r="E109" t="s">
        <v>126</v>
      </c>
    </row>
    <row r="110" spans="1:5" x14ac:dyDescent="0.2">
      <c r="C110" s="2"/>
    </row>
    <row r="111" spans="1:5" x14ac:dyDescent="0.2">
      <c r="A111" s="22" t="s">
        <v>324</v>
      </c>
      <c r="B111" t="s">
        <v>112</v>
      </c>
    </row>
    <row r="112" spans="1:5" x14ac:dyDescent="0.2">
      <c r="A112" t="s">
        <v>115</v>
      </c>
      <c r="B112" s="16">
        <f>IF(B$36="CCM",B92,B102)</f>
        <v>1.5909090909090913</v>
      </c>
      <c r="C112" t="s">
        <v>11</v>
      </c>
      <c r="E112" t="s">
        <v>116</v>
      </c>
    </row>
    <row r="113" spans="1:13" x14ac:dyDescent="0.2">
      <c r="A113" t="s">
        <v>113</v>
      </c>
      <c r="B113" s="16">
        <f>IF(B$36="CCM",B93,B103)</f>
        <v>3.9700577200577198</v>
      </c>
      <c r="C113" t="s">
        <v>11</v>
      </c>
      <c r="E113" t="s">
        <v>114</v>
      </c>
    </row>
    <row r="115" spans="1:13" x14ac:dyDescent="0.2">
      <c r="A115" t="s">
        <v>117</v>
      </c>
      <c r="B115" s="16">
        <f>IF(B$36="CCM",B95,B105)</f>
        <v>1.3818181818181816</v>
      </c>
      <c r="C115" t="s">
        <v>11</v>
      </c>
      <c r="E115" t="s">
        <v>123</v>
      </c>
    </row>
    <row r="116" spans="1:13" x14ac:dyDescent="0.2">
      <c r="A116" t="s">
        <v>118</v>
      </c>
      <c r="B116" s="16">
        <f>IF(B$36="CCM",B96,B106)</f>
        <v>3.6148856990962255</v>
      </c>
      <c r="C116" t="s">
        <v>11</v>
      </c>
      <c r="E116" t="s">
        <v>124</v>
      </c>
    </row>
    <row r="118" spans="1:13" x14ac:dyDescent="0.2">
      <c r="A118" t="s">
        <v>119</v>
      </c>
      <c r="B118" s="16">
        <f>IF(B$36="CCM",B98,B108)</f>
        <v>1.0181818181818176</v>
      </c>
      <c r="C118" t="s">
        <v>11</v>
      </c>
      <c r="E118" t="s">
        <v>125</v>
      </c>
    </row>
    <row r="119" spans="1:13" x14ac:dyDescent="0.2">
      <c r="A119" t="s">
        <v>120</v>
      </c>
      <c r="B119" s="16">
        <f>IF(B$36="CCM",B99,B109)</f>
        <v>3.1545935545935544</v>
      </c>
      <c r="C119" t="s">
        <v>11</v>
      </c>
      <c r="E119" t="s">
        <v>126</v>
      </c>
    </row>
    <row r="121" spans="1:13" x14ac:dyDescent="0.2">
      <c r="A121" s="19" t="s">
        <v>121</v>
      </c>
    </row>
    <row r="122" spans="1:13" x14ac:dyDescent="0.2">
      <c r="A122" t="s">
        <v>128</v>
      </c>
      <c r="B122" s="3">
        <f>'Design Converter'!H28/100</f>
        <v>0.2</v>
      </c>
      <c r="E122" t="s">
        <v>129</v>
      </c>
    </row>
    <row r="123" spans="1:13" x14ac:dyDescent="0.2">
      <c r="A123" t="s">
        <v>130</v>
      </c>
      <c r="B123" s="17">
        <f>(1+Ipk_margin)*ILp_VINmin</f>
        <v>4.7640692640692635</v>
      </c>
      <c r="C123" t="s">
        <v>11</v>
      </c>
      <c r="E123" t="s">
        <v>131</v>
      </c>
    </row>
    <row r="124" spans="1:13" x14ac:dyDescent="0.2">
      <c r="B124" s="17"/>
    </row>
    <row r="125" spans="1:13" x14ac:dyDescent="0.2">
      <c r="A125" t="s">
        <v>142</v>
      </c>
      <c r="B125" s="12">
        <v>0.6</v>
      </c>
      <c r="E125" t="s">
        <v>143</v>
      </c>
      <c r="J125">
        <f>Fsw*Isl*Rsl_int*Lm</f>
        <v>2.6393399999999997E-2</v>
      </c>
    </row>
    <row r="126" spans="1:13" x14ac:dyDescent="0.2">
      <c r="J126">
        <f>Isl</f>
        <v>2.9999999999999997E-5</v>
      </c>
      <c r="K126">
        <f>Fsw</f>
        <v>440000</v>
      </c>
      <c r="L126">
        <f>Lm</f>
        <v>1.5E-6</v>
      </c>
      <c r="M126">
        <f>Rsl_int</f>
        <v>1333</v>
      </c>
    </row>
    <row r="127" spans="1:13" x14ac:dyDescent="0.2">
      <c r="A127" t="s">
        <v>140</v>
      </c>
      <c r="B127" s="25">
        <f>(1/B125)*((Fsw*Isl*Rsl_int*Lm)/(VOUT-VIN_min))</f>
        <v>2.9326000000000001E-2</v>
      </c>
      <c r="C127" s="2" t="s">
        <v>36</v>
      </c>
      <c r="E127" t="s">
        <v>141</v>
      </c>
    </row>
    <row r="128" spans="1:13" x14ac:dyDescent="0.2">
      <c r="A128" t="s">
        <v>148</v>
      </c>
      <c r="B128" s="25">
        <f>Vcl/Ipk_selected</f>
        <v>2.0990458882326219E-2</v>
      </c>
      <c r="C128" s="2" t="s">
        <v>36</v>
      </c>
      <c r="E128" t="s">
        <v>149</v>
      </c>
    </row>
    <row r="130" spans="1:11" x14ac:dyDescent="0.2">
      <c r="A130" t="s">
        <v>155</v>
      </c>
      <c r="B130" s="12">
        <v>0.83299999999999996</v>
      </c>
      <c r="E130" t="s">
        <v>156</v>
      </c>
    </row>
    <row r="131" spans="1:11" x14ac:dyDescent="0.2">
      <c r="A131" t="s">
        <v>154</v>
      </c>
      <c r="B131" s="24">
        <f>(Lm*Fsw*(Vcl+(Dc_VIN_min*Isl*Rsl_int)))/((Dc_VIN_min*Kslope*VOUT)-(Dc_VIN_min*Kslope*VIN_min)+(Ipk_selected*Lm*Fsw))</f>
        <v>2.100459487820671E-2</v>
      </c>
      <c r="C131" s="2" t="s">
        <v>36</v>
      </c>
      <c r="E131" t="s">
        <v>165</v>
      </c>
    </row>
    <row r="132" spans="1:11" x14ac:dyDescent="0.2">
      <c r="A132" t="s">
        <v>157</v>
      </c>
      <c r="B132" s="16">
        <f>(Vcl-(Ipk_selected*Rcs_w_sl))/(Isl*Dc_VIN_min)</f>
        <v>-7.4827626101401732</v>
      </c>
      <c r="C132" s="2" t="s">
        <v>36</v>
      </c>
      <c r="E132" t="s">
        <v>164</v>
      </c>
    </row>
    <row r="134" spans="1:11" x14ac:dyDescent="0.2">
      <c r="A134" t="s">
        <v>152</v>
      </c>
      <c r="B134" s="1">
        <f>IF(AND(Rcs_wo_sl&gt;Rcs_max,OR(B36="CCM",B36="CCM/DCM")),1,0)</f>
        <v>0</v>
      </c>
      <c r="E134" t="s">
        <v>153</v>
      </c>
    </row>
    <row r="135" spans="1:11" x14ac:dyDescent="0.2">
      <c r="A135" t="s">
        <v>158</v>
      </c>
      <c r="B135" s="27">
        <f>IF(B134=0,Rcs_wo_sl,Rcs_w_sl)</f>
        <v>2.0990458882326219E-2</v>
      </c>
      <c r="C135" s="2" t="s">
        <v>36</v>
      </c>
      <c r="E135" t="s">
        <v>162</v>
      </c>
    </row>
    <row r="136" spans="1:11" x14ac:dyDescent="0.2">
      <c r="A136" t="s">
        <v>159</v>
      </c>
      <c r="B136" s="1">
        <f>IF(K136&gt;Rsl_max,Rsl_max,K136)</f>
        <v>0</v>
      </c>
      <c r="C136" s="2" t="s">
        <v>36</v>
      </c>
      <c r="E136" t="s">
        <v>163</v>
      </c>
      <c r="K136">
        <f>IF(B134=0,0,B132)</f>
        <v>0</v>
      </c>
    </row>
    <row r="138" spans="1:11" x14ac:dyDescent="0.2">
      <c r="A138" t="s">
        <v>160</v>
      </c>
      <c r="B138" s="28">
        <f>'Design Converter'!H32/1000</f>
        <v>0.02</v>
      </c>
      <c r="C138" s="2" t="s">
        <v>36</v>
      </c>
      <c r="E138" t="s">
        <v>167</v>
      </c>
    </row>
    <row r="139" spans="1:11" x14ac:dyDescent="0.2">
      <c r="A139" t="s">
        <v>161</v>
      </c>
      <c r="B139" s="3">
        <f>'Design Converter'!H33</f>
        <v>0</v>
      </c>
      <c r="C139" s="2" t="s">
        <v>36</v>
      </c>
      <c r="E139" t="s">
        <v>168</v>
      </c>
    </row>
    <row r="141" spans="1:11" x14ac:dyDescent="0.2">
      <c r="A141" t="s">
        <v>172</v>
      </c>
      <c r="B141" s="1">
        <f>(Isl*(Rsl_int+R_sl)*Fsw)/(((VOUT-VIN_min)/Lm)*R_cs)</f>
        <v>0.8797799999999999</v>
      </c>
      <c r="C141" t="s">
        <v>180</v>
      </c>
      <c r="E141" t="s">
        <v>170</v>
      </c>
      <c r="K141">
        <f>IF(B141&lt;0.5,1,0)</f>
        <v>0</v>
      </c>
    </row>
    <row r="142" spans="1:11" x14ac:dyDescent="0.2">
      <c r="A142" t="s">
        <v>174</v>
      </c>
      <c r="B142" s="17">
        <f>(Vcl-(Isl*R_sl*Dc_VIN_min))/R_cs</f>
        <v>5</v>
      </c>
      <c r="C142" t="s">
        <v>11</v>
      </c>
      <c r="E142" t="s">
        <v>176</v>
      </c>
      <c r="K142">
        <f>IF(IL_pk&lt;Ipk_selected,1,0)</f>
        <v>0</v>
      </c>
    </row>
    <row r="143" spans="1:11" x14ac:dyDescent="0.2">
      <c r="A143" t="s">
        <v>175</v>
      </c>
      <c r="B143" s="17">
        <f>(Vcl-(Isl*R_sl*Dc_VIN_max))/R_cs</f>
        <v>5</v>
      </c>
      <c r="C143" t="s">
        <v>11</v>
      </c>
      <c r="E143" t="s">
        <v>177</v>
      </c>
    </row>
    <row r="144" spans="1:11" x14ac:dyDescent="0.2">
      <c r="A144" t="s">
        <v>178</v>
      </c>
      <c r="B144" s="1">
        <f>0.15</f>
        <v>0.15</v>
      </c>
      <c r="E144" t="s">
        <v>179</v>
      </c>
    </row>
    <row r="145" spans="1:5" x14ac:dyDescent="0.2">
      <c r="A145" t="s">
        <v>181</v>
      </c>
      <c r="B145" s="16">
        <f>(1+B144)*B143</f>
        <v>5.75</v>
      </c>
      <c r="C145" t="s">
        <v>11</v>
      </c>
      <c r="E145" t="s">
        <v>182</v>
      </c>
    </row>
    <row r="147" spans="1:5" x14ac:dyDescent="0.2">
      <c r="A147" s="22" t="s">
        <v>183</v>
      </c>
    </row>
    <row r="148" spans="1:5" x14ac:dyDescent="0.2">
      <c r="A148" t="s">
        <v>184</v>
      </c>
    </row>
    <row r="150" spans="1:5" x14ac:dyDescent="0.2">
      <c r="A150" s="30" t="s">
        <v>185</v>
      </c>
    </row>
    <row r="152" spans="1:5" x14ac:dyDescent="0.2">
      <c r="A152" t="s">
        <v>190</v>
      </c>
      <c r="B152" s="31">
        <f>'Design Converter'!H38/1000</f>
        <v>0.05</v>
      </c>
      <c r="C152" t="s">
        <v>10</v>
      </c>
      <c r="E152" t="s">
        <v>189</v>
      </c>
    </row>
    <row r="153" spans="1:5" x14ac:dyDescent="0.2">
      <c r="A153" t="s">
        <v>192</v>
      </c>
      <c r="B153" s="1">
        <f>IOUT*Dc_VIN_min/(Fsw*Vout_rip_sel)</f>
        <v>2.7272727272727276E-5</v>
      </c>
      <c r="C153" t="s">
        <v>193</v>
      </c>
      <c r="E153" t="s">
        <v>194</v>
      </c>
    </row>
    <row r="154" spans="1:5" x14ac:dyDescent="0.2">
      <c r="A154" t="s">
        <v>196</v>
      </c>
      <c r="B154" s="16">
        <f>SQRT((1-Dc_VIN_min)*((IOUT^2)*(Dc_VIN_min/((1-Dc_VIN_min)^2))+((ILrip_VINmin^2)/3)))</f>
        <v>1.5181733934494195</v>
      </c>
      <c r="C154" t="s">
        <v>11</v>
      </c>
      <c r="E154" t="s">
        <v>197</v>
      </c>
    </row>
    <row r="155" spans="1:5" x14ac:dyDescent="0.2">
      <c r="A155" t="s">
        <v>202</v>
      </c>
      <c r="B155" s="3">
        <f>'Design Converter'!H41*(10^-6)</f>
        <v>1.9999999999999998E-4</v>
      </c>
      <c r="C155" t="s">
        <v>193</v>
      </c>
      <c r="E155" t="s">
        <v>200</v>
      </c>
    </row>
    <row r="156" spans="1:5" x14ac:dyDescent="0.2">
      <c r="A156" t="s">
        <v>199</v>
      </c>
      <c r="B156" s="3">
        <f>'Design Converter'!H42/1000</f>
        <v>2E-3</v>
      </c>
      <c r="C156" s="2" t="s">
        <v>36</v>
      </c>
      <c r="E156" t="s">
        <v>201</v>
      </c>
    </row>
    <row r="157" spans="1:5" x14ac:dyDescent="0.2">
      <c r="A157" t="s">
        <v>331</v>
      </c>
      <c r="B157" t="e">
        <f>SQRT((IOUT^2)+(IL_avg_VIN_min^2)-(2*IOUT*IL_avg_VIN_min)-(2*Dc_VIN_min*(IOUT^2))-(Dc_VIN_min*(IL_avg_VIN_min^2))+(2*Dc_VIN_min*IOUT*IL_avg_VIN_min))</f>
        <v>#NUM!</v>
      </c>
      <c r="E157" s="38" t="s">
        <v>332</v>
      </c>
    </row>
    <row r="159" spans="1:5" x14ac:dyDescent="0.2">
      <c r="A159" s="30" t="s">
        <v>350</v>
      </c>
    </row>
    <row r="160" spans="1:5" x14ac:dyDescent="0.2">
      <c r="A160" t="s">
        <v>335</v>
      </c>
      <c r="B160" s="12">
        <f>Iss</f>
        <v>9.9999999999999991E-6</v>
      </c>
      <c r="C160" t="s">
        <v>11</v>
      </c>
      <c r="E160" t="s">
        <v>337</v>
      </c>
    </row>
    <row r="161" spans="1:5" x14ac:dyDescent="0.2">
      <c r="A161" t="s">
        <v>338</v>
      </c>
      <c r="B161" s="1">
        <f>Iss*VOUT*Cout/(Vref*IOUT)</f>
        <v>4.9999999999999993E-9</v>
      </c>
      <c r="C161" t="s">
        <v>193</v>
      </c>
      <c r="E161" t="s">
        <v>339</v>
      </c>
    </row>
    <row r="162" spans="1:5" x14ac:dyDescent="0.2">
      <c r="A162" t="s">
        <v>340</v>
      </c>
      <c r="B162" s="3">
        <f>'Design Converter'!H46*(10^-3)</f>
        <v>0.02</v>
      </c>
      <c r="C162" t="s">
        <v>54</v>
      </c>
      <c r="E162" t="s">
        <v>341</v>
      </c>
    </row>
    <row r="163" spans="1:5" x14ac:dyDescent="0.2">
      <c r="A163" t="s">
        <v>344</v>
      </c>
      <c r="B163" s="1">
        <f>(tss*Iss)/(Vref*(1-(VIN_min/VOUT)))</f>
        <v>6.666666666666665E-7</v>
      </c>
      <c r="C163" t="s">
        <v>193</v>
      </c>
      <c r="E163" t="s">
        <v>345</v>
      </c>
    </row>
    <row r="165" spans="1:5" x14ac:dyDescent="0.2">
      <c r="A165" s="30" t="s">
        <v>349</v>
      </c>
    </row>
    <row r="166" spans="1:5" x14ac:dyDescent="0.2">
      <c r="A166" t="s">
        <v>351</v>
      </c>
      <c r="B166" s="3">
        <f>'Design Converter'!H50</f>
        <v>5.8</v>
      </c>
      <c r="C166" t="s">
        <v>10</v>
      </c>
      <c r="E166" t="s">
        <v>353</v>
      </c>
    </row>
    <row r="167" spans="1:5" x14ac:dyDescent="0.2">
      <c r="A167" t="s">
        <v>352</v>
      </c>
      <c r="B167" s="3">
        <f>'Design Converter'!H51</f>
        <v>5.4</v>
      </c>
      <c r="C167" t="s">
        <v>10</v>
      </c>
      <c r="E167" t="s">
        <v>354</v>
      </c>
    </row>
    <row r="168" spans="1:5" x14ac:dyDescent="0.2">
      <c r="A168" t="s">
        <v>356</v>
      </c>
      <c r="B168" s="12">
        <f>UV_rise</f>
        <v>1.5</v>
      </c>
      <c r="C168" t="s">
        <v>10</v>
      </c>
      <c r="E168" t="s">
        <v>361</v>
      </c>
    </row>
    <row r="169" spans="1:5" x14ac:dyDescent="0.2">
      <c r="A169" t="s">
        <v>357</v>
      </c>
      <c r="B169" s="12">
        <f>UV_fall</f>
        <v>1.45</v>
      </c>
      <c r="C169" t="s">
        <v>10</v>
      </c>
      <c r="E169" t="s">
        <v>360</v>
      </c>
    </row>
    <row r="170" spans="1:5" x14ac:dyDescent="0.2">
      <c r="A170" t="s">
        <v>362</v>
      </c>
      <c r="B170" s="12">
        <f>UV_I_hyst</f>
        <v>4.9999999999999996E-6</v>
      </c>
      <c r="C170" t="s">
        <v>11</v>
      </c>
      <c r="E170" t="s">
        <v>364</v>
      </c>
    </row>
    <row r="171" spans="1:5" x14ac:dyDescent="0.2">
      <c r="A171" t="s">
        <v>365</v>
      </c>
      <c r="B171" s="18">
        <f>((Vuvlo_on*0.967)-Vuvlo_off)/(UV_I_hyst)</f>
        <v>41719.999999999942</v>
      </c>
      <c r="C171" s="2" t="s">
        <v>36</v>
      </c>
      <c r="E171" t="s">
        <v>466</v>
      </c>
    </row>
    <row r="172" spans="1:5" x14ac:dyDescent="0.2">
      <c r="A172" t="s">
        <v>365</v>
      </c>
      <c r="B172" s="3">
        <f>'Design Converter'!H53*1000</f>
        <v>21000</v>
      </c>
      <c r="C172" s="2" t="s">
        <v>36</v>
      </c>
      <c r="E172" t="s">
        <v>467</v>
      </c>
    </row>
    <row r="173" spans="1:5" x14ac:dyDescent="0.2">
      <c r="A173" t="s">
        <v>366</v>
      </c>
      <c r="B173" s="18">
        <f>UV_rise*Ruvlo_top/(Vuvlo_on-UV_rise)</f>
        <v>7325.5813953488378</v>
      </c>
      <c r="C173" s="2" t="s">
        <v>36</v>
      </c>
      <c r="E173" t="s">
        <v>468</v>
      </c>
    </row>
    <row r="174" spans="1:5" x14ac:dyDescent="0.2">
      <c r="A174" t="s">
        <v>367</v>
      </c>
      <c r="B174" s="17">
        <f>UV_rise*(Ruvlo_top+Ruvlo_bottom_calc)/Ruvlo_bottom_calc</f>
        <v>5.8</v>
      </c>
      <c r="E174" t="s">
        <v>369</v>
      </c>
    </row>
    <row r="175" spans="1:5" x14ac:dyDescent="0.2">
      <c r="A175" t="s">
        <v>368</v>
      </c>
      <c r="B175" s="17">
        <f>Ruvlo_top*((UV_fall/Ruvlo_top)-(UV_I_hyst)+(UV_fall/Ruvlo_bottom_calc))</f>
        <v>5.5016666666666669</v>
      </c>
      <c r="E175" t="s">
        <v>370</v>
      </c>
    </row>
    <row r="178" spans="1:5" x14ac:dyDescent="0.2">
      <c r="A178" s="30" t="s">
        <v>204</v>
      </c>
    </row>
    <row r="179" spans="1:5" x14ac:dyDescent="0.2">
      <c r="A179" s="34" t="s">
        <v>232</v>
      </c>
      <c r="B179" s="3" t="str">
        <f>'Design Converter'!H57</f>
        <v>3.8V</v>
      </c>
      <c r="C179" t="s">
        <v>10</v>
      </c>
      <c r="E179" t="s">
        <v>276</v>
      </c>
    </row>
    <row r="180" spans="1:5" x14ac:dyDescent="0.2">
      <c r="A180" s="34"/>
    </row>
    <row r="181" spans="1:5" x14ac:dyDescent="0.2">
      <c r="A181" s="33" t="s">
        <v>291</v>
      </c>
    </row>
    <row r="182" spans="1:5" x14ac:dyDescent="0.2">
      <c r="A182" t="s">
        <v>224</v>
      </c>
      <c r="B182" s="3">
        <f>'Design Converter'!H60*(10^3)</f>
        <v>47000</v>
      </c>
      <c r="C182" s="2" t="s">
        <v>36</v>
      </c>
      <c r="E182" t="s">
        <v>277</v>
      </c>
    </row>
    <row r="183" spans="1:5" x14ac:dyDescent="0.2">
      <c r="A183" t="s">
        <v>281</v>
      </c>
      <c r="B183" s="18">
        <f>(RFBT*Vref)/(VOUT-Vref)</f>
        <v>11750</v>
      </c>
      <c r="C183" s="2" t="s">
        <v>36</v>
      </c>
      <c r="E183" t="s">
        <v>284</v>
      </c>
    </row>
    <row r="184" spans="1:5" x14ac:dyDescent="0.2">
      <c r="A184" t="s">
        <v>225</v>
      </c>
      <c r="B184" s="3">
        <f>'Design Converter'!H62*(10^3)</f>
        <v>2000</v>
      </c>
      <c r="C184" s="2" t="s">
        <v>36</v>
      </c>
      <c r="E184" t="s">
        <v>285</v>
      </c>
    </row>
    <row r="185" spans="1:5" x14ac:dyDescent="0.2">
      <c r="A185" t="s">
        <v>286</v>
      </c>
      <c r="B185" s="1">
        <f>VOUT/(RFBB+RFBT)</f>
        <v>1.0204081632653062E-4</v>
      </c>
      <c r="C185" s="2" t="s">
        <v>11</v>
      </c>
      <c r="E185" t="s">
        <v>287</v>
      </c>
    </row>
    <row r="186" spans="1:5" x14ac:dyDescent="0.2">
      <c r="C186" s="2"/>
    </row>
    <row r="187" spans="1:5" x14ac:dyDescent="0.2">
      <c r="A187" s="33" t="s">
        <v>292</v>
      </c>
      <c r="E187" t="s">
        <v>457</v>
      </c>
    </row>
    <row r="189" spans="1:5" x14ac:dyDescent="0.2">
      <c r="A189" t="s">
        <v>470</v>
      </c>
      <c r="B189">
        <f>(Gcomp*(VIN_min/VOUT)*(VOUT/IOUT))/(2*R_cs*Acs)</f>
        <v>6.3437499999999991</v>
      </c>
    </row>
    <row r="191" spans="1:5" x14ac:dyDescent="0.2">
      <c r="A191" t="s">
        <v>471</v>
      </c>
      <c r="B191" s="12">
        <f>2/(Cout*(VOUT/IOUT))</f>
        <v>4000</v>
      </c>
      <c r="C191" t="s">
        <v>454</v>
      </c>
      <c r="E191" t="s">
        <v>453</v>
      </c>
    </row>
    <row r="192" spans="1:5" x14ac:dyDescent="0.2">
      <c r="A192" t="s">
        <v>472</v>
      </c>
      <c r="B192" s="1">
        <f>B191/(2*PI())</f>
        <v>636.61977236758139</v>
      </c>
      <c r="C192" t="s">
        <v>69</v>
      </c>
      <c r="E192" t="s">
        <v>288</v>
      </c>
    </row>
    <row r="194" spans="1:5" x14ac:dyDescent="0.2">
      <c r="A194" t="s">
        <v>473</v>
      </c>
      <c r="B194" s="12">
        <f>1/(Cout*Resr)</f>
        <v>2500000</v>
      </c>
      <c r="C194" t="s">
        <v>455</v>
      </c>
      <c r="E194" t="s">
        <v>456</v>
      </c>
    </row>
    <row r="195" spans="1:5" x14ac:dyDescent="0.2">
      <c r="A195" t="s">
        <v>474</v>
      </c>
      <c r="B195" s="1">
        <f>B194/(2*PI())</f>
        <v>397887.35772973835</v>
      </c>
      <c r="C195" t="s">
        <v>69</v>
      </c>
      <c r="E195" t="s">
        <v>290</v>
      </c>
    </row>
    <row r="197" spans="1:5" x14ac:dyDescent="0.2">
      <c r="A197" t="s">
        <v>475</v>
      </c>
      <c r="B197" s="12">
        <f>((VOUT/IOUT)*((VIN_min/VOUT)^2))/(Lm)</f>
        <v>816666.66666666651</v>
      </c>
      <c r="E197" t="s">
        <v>452</v>
      </c>
    </row>
    <row r="198" spans="1:5" x14ac:dyDescent="0.2">
      <c r="A198" t="s">
        <v>476</v>
      </c>
      <c r="B198" s="18">
        <f>B197/(2*PI())</f>
        <v>129976.53685838117</v>
      </c>
      <c r="C198" t="s">
        <v>69</v>
      </c>
      <c r="E198" t="s">
        <v>289</v>
      </c>
    </row>
    <row r="199" spans="1:5" x14ac:dyDescent="0.2">
      <c r="B199">
        <f>Fsw/10</f>
        <v>44000</v>
      </c>
      <c r="C199" t="s">
        <v>69</v>
      </c>
      <c r="E199" t="s">
        <v>297</v>
      </c>
    </row>
    <row r="200" spans="1:5" x14ac:dyDescent="0.2">
      <c r="B200">
        <f>IF((B198/5)&lt;(B199),0,1)</f>
        <v>0</v>
      </c>
      <c r="E200" t="s">
        <v>299</v>
      </c>
    </row>
    <row r="202" spans="1:5" x14ac:dyDescent="0.2">
      <c r="A202" t="s">
        <v>477</v>
      </c>
      <c r="B202" s="1">
        <f>(Isl*(Rsl_int+R_sl)*Fsw)</f>
        <v>17595.599999999999</v>
      </c>
      <c r="C202" t="s">
        <v>180</v>
      </c>
      <c r="E202" t="s">
        <v>248</v>
      </c>
    </row>
    <row r="203" spans="1:5" x14ac:dyDescent="0.2">
      <c r="A203" t="s">
        <v>478</v>
      </c>
      <c r="B203" s="1">
        <f>(R_cs*VIN_min*Acs)/Lm</f>
        <v>46666.666666666672</v>
      </c>
      <c r="C203" t="s">
        <v>180</v>
      </c>
      <c r="E203" t="s">
        <v>249</v>
      </c>
    </row>
    <row r="204" spans="1:5" x14ac:dyDescent="0.2">
      <c r="B204" s="1"/>
    </row>
    <row r="205" spans="1:5" x14ac:dyDescent="0.2">
      <c r="A205" t="s">
        <v>479</v>
      </c>
      <c r="B205" s="1">
        <f>2*PI()*Fsw</f>
        <v>2764601.5351590179</v>
      </c>
      <c r="C205" t="s">
        <v>251</v>
      </c>
    </row>
    <row r="206" spans="1:5" x14ac:dyDescent="0.2">
      <c r="A206" t="s">
        <v>480</v>
      </c>
      <c r="B206" s="1">
        <f>1/(PI()*(((VIN_min/VOUT)*(1+(B202/B203)))-0.5))</f>
        <v>0.68611027901337418</v>
      </c>
    </row>
    <row r="212" spans="1:5" x14ac:dyDescent="0.2">
      <c r="A212" t="s">
        <v>293</v>
      </c>
      <c r="B212" s="17">
        <f>IF(B200=0,fz_rhp/5,Fsw/10)</f>
        <v>25995.307371676234</v>
      </c>
      <c r="C212" t="s">
        <v>69</v>
      </c>
      <c r="E212" t="s">
        <v>298</v>
      </c>
    </row>
    <row r="213" spans="1:5" x14ac:dyDescent="0.2">
      <c r="A213" t="s">
        <v>295</v>
      </c>
      <c r="B213" s="3">
        <f>'Design Converter'!H66*1000</f>
        <v>3500</v>
      </c>
      <c r="C213" t="s">
        <v>69</v>
      </c>
      <c r="E213" t="s">
        <v>296</v>
      </c>
    </row>
    <row r="215" spans="1:5" x14ac:dyDescent="0.2">
      <c r="A215" t="s">
        <v>304</v>
      </c>
      <c r="B215" s="20">
        <f>Gplant_fc_dB</f>
        <v>1.1045086252271843</v>
      </c>
      <c r="C215" t="s">
        <v>275</v>
      </c>
      <c r="E215" t="s">
        <v>305</v>
      </c>
    </row>
    <row r="216" spans="1:5" x14ac:dyDescent="0.2">
      <c r="A216" t="s">
        <v>300</v>
      </c>
      <c r="B216" s="20">
        <f>10^(B215/20)</f>
        <v>1.1356001239619824</v>
      </c>
      <c r="C216" t="s">
        <v>180</v>
      </c>
      <c r="E216" t="s">
        <v>301</v>
      </c>
    </row>
    <row r="217" spans="1:5" x14ac:dyDescent="0.2">
      <c r="A217" t="s">
        <v>306</v>
      </c>
      <c r="B217" s="20">
        <f>1/B216</f>
        <v>0.88059166153585056</v>
      </c>
      <c r="C217" t="s">
        <v>180</v>
      </c>
      <c r="E217" t="s">
        <v>307</v>
      </c>
    </row>
    <row r="219" spans="1:5" x14ac:dyDescent="0.2">
      <c r="A219" t="s">
        <v>313</v>
      </c>
      <c r="B219">
        <f>fcross/10</f>
        <v>350</v>
      </c>
      <c r="C219" t="s">
        <v>69</v>
      </c>
      <c r="E219" t="s">
        <v>311</v>
      </c>
    </row>
    <row r="220" spans="1:5" x14ac:dyDescent="0.2">
      <c r="A220" t="s">
        <v>314</v>
      </c>
      <c r="B220" s="35">
        <f>SQRT(B192*fcross)</f>
        <v>1492.7053303604616</v>
      </c>
      <c r="C220" t="s">
        <v>69</v>
      </c>
      <c r="E220" t="s">
        <v>312</v>
      </c>
    </row>
    <row r="221" spans="1:5" x14ac:dyDescent="0.2">
      <c r="A221" t="s">
        <v>310</v>
      </c>
      <c r="B221" s="35">
        <f>B220</f>
        <v>1492.7053303604616</v>
      </c>
      <c r="C221" t="s">
        <v>69</v>
      </c>
    </row>
    <row r="223" spans="1:5" x14ac:dyDescent="0.2">
      <c r="A223" t="s">
        <v>317</v>
      </c>
      <c r="B223" s="32">
        <f>fz_rhp</f>
        <v>129976.53685838117</v>
      </c>
      <c r="C223" t="s">
        <v>69</v>
      </c>
      <c r="E223" t="s">
        <v>490</v>
      </c>
    </row>
    <row r="224" spans="1:5" x14ac:dyDescent="0.2">
      <c r="E224" t="s">
        <v>491</v>
      </c>
    </row>
    <row r="227" spans="1:5" x14ac:dyDescent="0.2">
      <c r="A227" t="s">
        <v>308</v>
      </c>
      <c r="B227" s="23">
        <f>(Gea_mid_calc*(RFBT+RFBB)/(RFBB*gm_ea))</f>
        <v>10787.24785381417</v>
      </c>
      <c r="C227" s="2" t="s">
        <v>36</v>
      </c>
      <c r="E227" t="s">
        <v>309</v>
      </c>
    </row>
    <row r="228" spans="1:5" x14ac:dyDescent="0.2">
      <c r="A228" t="s">
        <v>214</v>
      </c>
      <c r="B228" s="3">
        <f>'Design Converter'!H69*1000</f>
        <v>11300</v>
      </c>
      <c r="C228" s="2" t="s">
        <v>36</v>
      </c>
      <c r="E228" t="s">
        <v>221</v>
      </c>
    </row>
    <row r="229" spans="1:5" x14ac:dyDescent="0.2">
      <c r="A229" t="s">
        <v>315</v>
      </c>
      <c r="B229" s="36">
        <f>1/(2*PI()*fz_ea_est*Rcomp_calc)</f>
        <v>9.8840603976446185E-9</v>
      </c>
      <c r="C229" s="2" t="s">
        <v>193</v>
      </c>
    </row>
    <row r="230" spans="1:5" x14ac:dyDescent="0.2">
      <c r="A230" t="s">
        <v>219</v>
      </c>
      <c r="B230" s="3">
        <f>'Design Converter'!H70*(10^-9)</f>
        <v>2.2000000000000002E-8</v>
      </c>
      <c r="C230" t="s">
        <v>193</v>
      </c>
      <c r="E230" t="s">
        <v>222</v>
      </c>
    </row>
    <row r="231" spans="1:5" x14ac:dyDescent="0.2">
      <c r="A231" t="s">
        <v>316</v>
      </c>
      <c r="B231" s="36">
        <f>(CComp_calc)/((CComp_calc*Rcomp_calc*2*PI()*fp_ea_est)-1)</f>
        <v>1.1483148864494448E-10</v>
      </c>
      <c r="C231" t="s">
        <v>193</v>
      </c>
    </row>
    <row r="232" spans="1:5" x14ac:dyDescent="0.2">
      <c r="A232" t="s">
        <v>220</v>
      </c>
      <c r="B232" s="3">
        <f>'Design Converter'!H71*(10^-12)</f>
        <v>2.1999999999999999E-10</v>
      </c>
      <c r="C232" t="s">
        <v>193</v>
      </c>
      <c r="E232" t="s">
        <v>223</v>
      </c>
    </row>
    <row r="235" spans="1:5" x14ac:dyDescent="0.2">
      <c r="A235" s="30" t="s">
        <v>379</v>
      </c>
    </row>
    <row r="236" spans="1:5" x14ac:dyDescent="0.2">
      <c r="A236" s="30" t="s">
        <v>398</v>
      </c>
    </row>
    <row r="237" spans="1:5" x14ac:dyDescent="0.2">
      <c r="A237" s="52" t="s">
        <v>461</v>
      </c>
      <c r="E237" t="s">
        <v>462</v>
      </c>
    </row>
    <row r="238" spans="1:5" x14ac:dyDescent="0.2">
      <c r="A238" t="s">
        <v>380</v>
      </c>
      <c r="B238">
        <f>'Design Converter'!H86/1000</f>
        <v>0.57999999999999996</v>
      </c>
      <c r="C238" t="s">
        <v>10</v>
      </c>
      <c r="E238" t="s">
        <v>381</v>
      </c>
    </row>
    <row r="239" spans="1:5" x14ac:dyDescent="0.2">
      <c r="A239" t="s">
        <v>411</v>
      </c>
      <c r="B239">
        <f>'Design Converter'!H87*(10^-9)</f>
        <v>1E-8</v>
      </c>
      <c r="C239" t="s">
        <v>409</v>
      </c>
      <c r="E239" t="s">
        <v>410</v>
      </c>
    </row>
    <row r="242" spans="1:8" x14ac:dyDescent="0.2">
      <c r="A242" s="30" t="s">
        <v>401</v>
      </c>
    </row>
    <row r="243" spans="1:8" x14ac:dyDescent="0.2">
      <c r="A243" t="s">
        <v>412</v>
      </c>
      <c r="B243" s="3">
        <f>'Design Converter'!H76*(10^-3)</f>
        <v>4.5999999999999999E-3</v>
      </c>
      <c r="C243" s="2" t="s">
        <v>36</v>
      </c>
      <c r="E243" s="44" t="s">
        <v>387</v>
      </c>
    </row>
    <row r="244" spans="1:8" x14ac:dyDescent="0.2">
      <c r="A244" t="s">
        <v>402</v>
      </c>
      <c r="B244" s="3">
        <f>'Design Converter'!H77*(10^-9)</f>
        <v>3.9400000000000002E-8</v>
      </c>
      <c r="C244" t="s">
        <v>193</v>
      </c>
      <c r="E244" s="44" t="s">
        <v>388</v>
      </c>
    </row>
    <row r="245" spans="1:8" x14ac:dyDescent="0.2">
      <c r="A245" t="s">
        <v>404</v>
      </c>
      <c r="B245" s="3">
        <f>'Design Converter'!H78*(10^-9)</f>
        <v>1.11E-8</v>
      </c>
      <c r="C245" t="s">
        <v>193</v>
      </c>
      <c r="E245" s="44" t="s">
        <v>389</v>
      </c>
    </row>
    <row r="246" spans="1:8" x14ac:dyDescent="0.2">
      <c r="A246" t="s">
        <v>403</v>
      </c>
      <c r="B246" s="3">
        <f>'Design Converter'!H79*(10^-9)</f>
        <v>1.2300000000000001E-8</v>
      </c>
      <c r="C246" t="s">
        <v>193</v>
      </c>
      <c r="E246" s="44" t="s">
        <v>390</v>
      </c>
    </row>
    <row r="247" spans="1:8" x14ac:dyDescent="0.2">
      <c r="A247" t="s">
        <v>405</v>
      </c>
      <c r="B247" s="3">
        <f>'Design Converter'!H80</f>
        <v>1.5</v>
      </c>
      <c r="C247" s="2" t="s">
        <v>36</v>
      </c>
      <c r="E247" s="44" t="s">
        <v>391</v>
      </c>
    </row>
    <row r="248" spans="1:8" x14ac:dyDescent="0.2">
      <c r="A248" t="s">
        <v>413</v>
      </c>
      <c r="B248" s="12">
        <v>1.5</v>
      </c>
      <c r="C248" s="2"/>
      <c r="E248" s="44" t="s">
        <v>414</v>
      </c>
      <c r="H248" t="s">
        <v>423</v>
      </c>
    </row>
    <row r="249" spans="1:8" x14ac:dyDescent="0.2">
      <c r="A249" t="s">
        <v>406</v>
      </c>
      <c r="B249" s="3">
        <f>'Design Converter'!H81</f>
        <v>60</v>
      </c>
      <c r="C249" s="2" t="s">
        <v>397</v>
      </c>
      <c r="E249" s="44" t="s">
        <v>392</v>
      </c>
    </row>
    <row r="250" spans="1:8" x14ac:dyDescent="0.2">
      <c r="A250" t="s">
        <v>407</v>
      </c>
      <c r="B250" s="3">
        <f>'Design Converter'!H82</f>
        <v>1.7</v>
      </c>
      <c r="C250" s="2" t="s">
        <v>10</v>
      </c>
      <c r="E250" s="44" t="s">
        <v>393</v>
      </c>
    </row>
    <row r="251" spans="1:8" x14ac:dyDescent="0.2">
      <c r="A251" t="s">
        <v>419</v>
      </c>
      <c r="B251" s="12">
        <f>Vcc</f>
        <v>6.75</v>
      </c>
      <c r="C251" s="2" t="s">
        <v>10</v>
      </c>
      <c r="E251" s="44" t="s">
        <v>424</v>
      </c>
    </row>
    <row r="252" spans="1:8" x14ac:dyDescent="0.2">
      <c r="C252" s="2"/>
      <c r="E252" s="44"/>
    </row>
    <row r="253" spans="1:8" x14ac:dyDescent="0.2">
      <c r="C253" s="2"/>
      <c r="E253" s="44"/>
    </row>
    <row r="254" spans="1:8" x14ac:dyDescent="0.2">
      <c r="A254" t="s">
        <v>415</v>
      </c>
      <c r="B254" s="27">
        <f>Vth+(((VOUT*IOUT)/VIN_min)/gfs)</f>
        <v>1.7476190476190476</v>
      </c>
      <c r="C254" s="2" t="s">
        <v>10</v>
      </c>
      <c r="E254" s="44" t="s">
        <v>416</v>
      </c>
    </row>
    <row r="255" spans="1:8" x14ac:dyDescent="0.2">
      <c r="A255" t="s">
        <v>425</v>
      </c>
      <c r="B255" s="1">
        <f>(Qgd+(Qgs/2))*((Rgate+B248)/(Vcc-B254))</f>
        <v>1.0345073774393145E-8</v>
      </c>
      <c r="C255" s="2" t="s">
        <v>54</v>
      </c>
      <c r="E255" s="44" t="s">
        <v>417</v>
      </c>
    </row>
    <row r="256" spans="1:8" ht="16" thickBot="1" x14ac:dyDescent="0.25">
      <c r="A256" t="s">
        <v>426</v>
      </c>
      <c r="B256" s="1">
        <f>(Qgd+(Qgs/2))*((B248+Rgate)/B254)</f>
        <v>2.9611716621253406E-8</v>
      </c>
      <c r="C256" t="s">
        <v>54</v>
      </c>
      <c r="E256" s="45" t="s">
        <v>418</v>
      </c>
    </row>
  </sheetData>
  <mergeCells count="2">
    <mergeCell ref="A1:J1"/>
    <mergeCell ref="E5:H5"/>
  </mergeCells>
  <pageMargins left="0.7" right="0.7" top="0.75" bottom="0.75" header="0.3" footer="0.3"/>
  <pageSetup orientation="portrait" r:id="rId1"/>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63500</xdr:colOff>
                <xdr:row>154</xdr:row>
                <xdr:rowOff>139700</xdr:rowOff>
              </from>
              <to>
                <xdr:col>12</xdr:col>
                <xdr:colOff>393700</xdr:colOff>
                <xdr:row>157</xdr:row>
                <xdr:rowOff>25400</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T157"/>
  <sheetViews>
    <sheetView topLeftCell="R1" zoomScale="85" zoomScaleNormal="85" workbookViewId="0">
      <pane ySplit="6" topLeftCell="A135" activePane="bottomLeft" state="frozen"/>
      <selection activeCell="N8" sqref="N8"/>
      <selection pane="bottomLeft" activeCell="N8" sqref="N8"/>
    </sheetView>
  </sheetViews>
  <sheetFormatPr baseColWidth="10" defaultColWidth="8.83203125" defaultRowHeight="15" x14ac:dyDescent="0.2"/>
  <cols>
    <col min="10" max="10" width="10" bestFit="1" customWidth="1"/>
    <col min="25" max="25" width="12" bestFit="1" customWidth="1"/>
    <col min="39" max="39" width="11" bestFit="1" customWidth="1"/>
  </cols>
  <sheetData>
    <row r="1" spans="1:46" ht="28" x14ac:dyDescent="0.3">
      <c r="A1" s="229" t="s">
        <v>15</v>
      </c>
      <c r="B1" s="229"/>
      <c r="C1" s="229"/>
      <c r="D1" s="229"/>
      <c r="E1" s="229"/>
      <c r="F1" s="229"/>
      <c r="G1" s="229"/>
      <c r="H1" s="229"/>
      <c r="I1" s="229"/>
      <c r="J1" s="229"/>
      <c r="K1" s="229"/>
      <c r="L1" s="229"/>
      <c r="M1" s="229"/>
    </row>
    <row r="4" spans="1:46" ht="16" thickBot="1" x14ac:dyDescent="0.25">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row>
    <row r="5" spans="1:46" ht="32" x14ac:dyDescent="0.2">
      <c r="R5" s="234" t="s">
        <v>372</v>
      </c>
      <c r="S5" s="235"/>
      <c r="T5" s="235"/>
      <c r="U5" s="236"/>
      <c r="V5" s="234" t="s">
        <v>373</v>
      </c>
      <c r="W5" s="235"/>
      <c r="X5" s="236"/>
      <c r="Y5" s="234" t="s">
        <v>446</v>
      </c>
      <c r="Z5" s="235"/>
      <c r="AA5" s="235"/>
      <c r="AB5" s="235"/>
      <c r="AC5" s="235"/>
      <c r="AD5" s="236"/>
      <c r="AE5" s="234" t="s">
        <v>445</v>
      </c>
      <c r="AF5" s="235"/>
      <c r="AG5" s="235"/>
      <c r="AH5" s="235"/>
      <c r="AI5" s="236"/>
      <c r="AJ5" s="234" t="s">
        <v>447</v>
      </c>
      <c r="AK5" s="235"/>
      <c r="AL5" s="235"/>
      <c r="AM5" s="235"/>
      <c r="AN5" s="236"/>
      <c r="AO5" s="231" t="s">
        <v>442</v>
      </c>
      <c r="AP5" s="232"/>
      <c r="AQ5" s="233"/>
      <c r="AR5" s="49" t="s">
        <v>435</v>
      </c>
      <c r="AS5" s="50"/>
      <c r="AT5" s="51"/>
    </row>
    <row r="6" spans="1:46" ht="17" x14ac:dyDescent="0.25">
      <c r="R6" s="39" t="s">
        <v>31</v>
      </c>
      <c r="S6" s="37" t="s">
        <v>33</v>
      </c>
      <c r="T6" s="37" t="s">
        <v>327</v>
      </c>
      <c r="U6" s="40" t="s">
        <v>330</v>
      </c>
      <c r="V6" s="39" t="s">
        <v>328</v>
      </c>
      <c r="W6" s="37" t="s">
        <v>329</v>
      </c>
      <c r="X6" s="40" t="s">
        <v>377</v>
      </c>
      <c r="Y6" s="39" t="s">
        <v>374</v>
      </c>
      <c r="Z6" s="37" t="s">
        <v>376</v>
      </c>
      <c r="AA6" s="37" t="s">
        <v>375</v>
      </c>
      <c r="AB6" s="46" t="s">
        <v>383</v>
      </c>
      <c r="AC6" s="46" t="s">
        <v>384</v>
      </c>
      <c r="AD6" s="48" t="s">
        <v>433</v>
      </c>
      <c r="AE6" s="39" t="s">
        <v>427</v>
      </c>
      <c r="AF6" s="37" t="s">
        <v>428</v>
      </c>
      <c r="AG6" s="46" t="s">
        <v>430</v>
      </c>
      <c r="AH6" s="46" t="s">
        <v>429</v>
      </c>
      <c r="AI6" s="48" t="s">
        <v>431</v>
      </c>
      <c r="AJ6" s="39" t="s">
        <v>382</v>
      </c>
      <c r="AK6" s="37" t="s">
        <v>378</v>
      </c>
      <c r="AL6" s="37" t="s">
        <v>385</v>
      </c>
      <c r="AM6" s="37" t="s">
        <v>386</v>
      </c>
      <c r="AN6" s="40" t="s">
        <v>432</v>
      </c>
      <c r="AO6" s="39" t="s">
        <v>434</v>
      </c>
      <c r="AP6" s="37" t="s">
        <v>437</v>
      </c>
      <c r="AQ6" s="40" t="s">
        <v>438</v>
      </c>
      <c r="AR6" s="39" t="s">
        <v>436</v>
      </c>
      <c r="AS6" s="37" t="s">
        <v>444</v>
      </c>
      <c r="AT6" s="40" t="s">
        <v>443</v>
      </c>
    </row>
    <row r="7" spans="1:46" x14ac:dyDescent="0.2">
      <c r="Q7">
        <v>0</v>
      </c>
      <c r="R7" s="39">
        <f t="shared" ref="R7:R70" si="0">VOUT</f>
        <v>5</v>
      </c>
      <c r="S7" s="37">
        <f t="shared" ref="S7:S38" si="1">Q7*$O$12</f>
        <v>0</v>
      </c>
      <c r="T7" s="37">
        <f t="shared" ref="T7:T70" si="2">VIN_var</f>
        <v>3.8</v>
      </c>
      <c r="U7" s="40">
        <f t="shared" ref="U7:U38" si="3">(R7*S7)/(T7*EFF_est)</f>
        <v>0</v>
      </c>
      <c r="V7" s="39">
        <f t="shared" ref="V7:V38" si="4">IF((S7*R7/T7)&lt;((T7*(1-(T7/R7)))/(2*Lm*Fsw)),1,2)</f>
        <v>1</v>
      </c>
      <c r="W7" s="37">
        <f t="shared" ref="W7:W38" si="5">CHOOSE(V7,SQRT((2*S7*Lm*Fsw*(R7-T7))/((T7)^2)),1-(T7/R7))</f>
        <v>0</v>
      </c>
      <c r="X7" s="40">
        <f t="shared" ref="X7:X38" si="6">CHOOSE(V7,(Lm*W7*Fsw)/(R7-T7),1-W7)</f>
        <v>0</v>
      </c>
      <c r="Y7" s="39">
        <f t="shared" ref="Y7:Y38" si="7">(T7*W7)/(Lm*Fsw)</f>
        <v>0</v>
      </c>
      <c r="Z7" s="37">
        <f>CHOOSE(V7,Y7,U7+(0.5*Y7))</f>
        <v>0</v>
      </c>
      <c r="AA7" s="37">
        <f>CHOOSE(V7,Z7*SQRT((W7+X7)/3),SQRT((U7^2)+((Y7^2)/12)))</f>
        <v>0</v>
      </c>
      <c r="AB7" s="37">
        <v>0</v>
      </c>
      <c r="AC7" s="37">
        <f t="shared" ref="AC7:AC38" si="8">(AA7^2)*Rdcr</f>
        <v>0</v>
      </c>
      <c r="AD7" s="40">
        <f>AB7+AC7</f>
        <v>0</v>
      </c>
      <c r="AE7" s="39">
        <f>U7*W7</f>
        <v>0</v>
      </c>
      <c r="AF7" s="37">
        <f>CHOOSE(V7,Z7*SQRT(W7/3),SQRT(W7*((Z7^2)+((Y7^2)/3)-(Z7*Y7))))</f>
        <v>0</v>
      </c>
      <c r="AG7" s="37">
        <f t="shared" ref="AG7:AG38" si="9">(AF7^2)*RDS_on</f>
        <v>0</v>
      </c>
      <c r="AH7" s="37">
        <f t="shared" ref="AH7:AH38" si="10">((R7*U7)/2)*Fsw*(tr_sw+tf_sw)</f>
        <v>0</v>
      </c>
      <c r="AI7" s="40">
        <f>AG7+AH7</f>
        <v>0</v>
      </c>
      <c r="AJ7" s="39">
        <f>X7*U7</f>
        <v>0</v>
      </c>
      <c r="AK7" s="37">
        <f t="shared" ref="AK7:AK38" si="11">CHOOSE(V7,Z7*SQRT(X7/3),SQRT(X7*((Z7^2)+((Y7^2)/3)-(Y7*Z7))))</f>
        <v>0</v>
      </c>
      <c r="AL7" s="37">
        <f t="shared" ref="AL7:AL38" si="12">S7*Vd_rect</f>
        <v>0</v>
      </c>
      <c r="AM7" s="37">
        <f t="shared" ref="AM7:AM38" si="13">CHOOSE(V7,(R7+Vd_rect)*Qrr*Fsw,(R7+Vd_rect)*Qrr*Fsw)</f>
        <v>2.4552000000000001E-2</v>
      </c>
      <c r="AN7" s="40">
        <f>AL7+AM7</f>
        <v>2.4552000000000001E-2</v>
      </c>
      <c r="AO7" s="39">
        <f t="shared" ref="AO7:AO38" si="14">(AF7^2)*R_cs</f>
        <v>0</v>
      </c>
      <c r="AP7" s="37">
        <f t="shared" ref="AP7:AP38" si="15">Qg_tot*Vcc*Fsw</f>
        <v>0.11701800000000001</v>
      </c>
      <c r="AQ7" s="40">
        <f t="shared" ref="AQ7:AQ38" si="16">IQ*T7</f>
        <v>1.7099999999999999E-3</v>
      </c>
      <c r="AR7" s="39">
        <f>AO7+AN7+AI7+AD7+AP7+AQ7</f>
        <v>0.14327999999999999</v>
      </c>
      <c r="AS7" s="37">
        <f>R7*S7</f>
        <v>0</v>
      </c>
      <c r="AT7" s="40">
        <f>(AS7/(AS7+AR7))*100</f>
        <v>0</v>
      </c>
    </row>
    <row r="8" spans="1:46" x14ac:dyDescent="0.2">
      <c r="M8">
        <f>Fsw</f>
        <v>440000</v>
      </c>
      <c r="Q8">
        <v>1</v>
      </c>
      <c r="R8" s="39">
        <f t="shared" si="0"/>
        <v>5</v>
      </c>
      <c r="S8" s="37">
        <f t="shared" si="1"/>
        <v>1.3333333333333334E-2</v>
      </c>
      <c r="T8" s="37">
        <f t="shared" si="2"/>
        <v>3.8</v>
      </c>
      <c r="U8" s="40">
        <f t="shared" si="3"/>
        <v>1.9493177387914229E-2</v>
      </c>
      <c r="V8" s="39">
        <f t="shared" si="4"/>
        <v>1</v>
      </c>
      <c r="W8" s="37">
        <f t="shared" si="5"/>
        <v>3.8244004472810428E-2</v>
      </c>
      <c r="X8" s="40">
        <f t="shared" si="6"/>
        <v>2.1034202460045733E-2</v>
      </c>
      <c r="Y8" s="39">
        <f t="shared" si="7"/>
        <v>0.22019275302527214</v>
      </c>
      <c r="Z8" s="37">
        <f t="shared" ref="Z8:Z15" si="17">CHOOSE(V8,Y8,U8+(0.5*Y8))</f>
        <v>0.22019275302527214</v>
      </c>
      <c r="AA8" s="37">
        <f t="shared" ref="AA8:AA15" si="18">CHOOSE(V8,Z8*SQRT((W8+X8)/3),SQRT((U8^2)+((Y8^2)/12)))</f>
        <v>3.09520859910552E-2</v>
      </c>
      <c r="AB8" s="37">
        <v>0</v>
      </c>
      <c r="AC8" s="37">
        <f t="shared" si="8"/>
        <v>8.5264814820593118E-6</v>
      </c>
      <c r="AD8" s="40">
        <f t="shared" ref="AD8:AD71" si="19">AB8+AC8</f>
        <v>8.5264814820593118E-6</v>
      </c>
      <c r="AE8" s="39">
        <f>U8*W8</f>
        <v>7.4549716321267885E-4</v>
      </c>
      <c r="AF8" s="37">
        <f t="shared" ref="AF8:AF71" si="20">CHOOSE(V8,Z8*SQRT(W8/3),SQRT(W8*((Z8^2)+((Y8^2)/3)-(Z8*Y8))))</f>
        <v>2.4861313737867794E-2</v>
      </c>
      <c r="AG8" s="37">
        <f t="shared" si="9"/>
        <v>2.8431906355543921E-6</v>
      </c>
      <c r="AH8" s="37">
        <f t="shared" si="10"/>
        <v>8.5677328333745042E-4</v>
      </c>
      <c r="AI8" s="40">
        <f t="shared" ref="AI8:AI71" si="21">AG8+AH8</f>
        <v>8.5961647397300484E-4</v>
      </c>
      <c r="AJ8" s="39">
        <f t="shared" ref="AJ8:AJ71" si="22">X8*U8</f>
        <v>4.100234397669733E-4</v>
      </c>
      <c r="AK8" s="37">
        <f t="shared" si="11"/>
        <v>1.8437643732998575E-2</v>
      </c>
      <c r="AL8" s="37">
        <f t="shared" si="12"/>
        <v>7.7333333333333334E-3</v>
      </c>
      <c r="AM8" s="37">
        <f t="shared" si="13"/>
        <v>2.4552000000000001E-2</v>
      </c>
      <c r="AN8" s="40">
        <f t="shared" ref="AN8:AN71" si="23">AL8+AM8</f>
        <v>3.2285333333333333E-2</v>
      </c>
      <c r="AO8" s="39">
        <f t="shared" si="14"/>
        <v>1.2361698415453879E-5</v>
      </c>
      <c r="AP8" s="37">
        <f t="shared" si="15"/>
        <v>0.11701800000000001</v>
      </c>
      <c r="AQ8" s="40">
        <f t="shared" si="16"/>
        <v>1.7099999999999999E-3</v>
      </c>
      <c r="AR8" s="39">
        <f t="shared" ref="AR8:AR71" si="24">AO8+AN8+AI8+AD8+AP8+AQ8</f>
        <v>0.15189383798720385</v>
      </c>
      <c r="AS8" s="37">
        <f t="shared" ref="AS8:AS71" si="25">R8*S8</f>
        <v>6.6666666666666666E-2</v>
      </c>
      <c r="AT8" s="40">
        <f t="shared" ref="AT8:AT71" si="26">(AS8/(AS8+AR8))*100</f>
        <v>30.502613805840728</v>
      </c>
    </row>
    <row r="9" spans="1:46" x14ac:dyDescent="0.2">
      <c r="N9" s="37" t="s">
        <v>233</v>
      </c>
      <c r="O9" s="37">
        <f>VIN_var</f>
        <v>3.8</v>
      </c>
      <c r="P9" t="s">
        <v>10</v>
      </c>
      <c r="Q9">
        <v>2</v>
      </c>
      <c r="R9" s="39">
        <f t="shared" si="0"/>
        <v>5</v>
      </c>
      <c r="S9" s="37">
        <f t="shared" si="1"/>
        <v>2.6666666666666668E-2</v>
      </c>
      <c r="T9" s="37">
        <f t="shared" si="2"/>
        <v>3.8</v>
      </c>
      <c r="U9" s="40">
        <f t="shared" si="3"/>
        <v>3.8986354775828458E-2</v>
      </c>
      <c r="V9" s="39">
        <f t="shared" si="4"/>
        <v>1</v>
      </c>
      <c r="W9" s="37">
        <f t="shared" si="5"/>
        <v>5.4085189804905814E-2</v>
      </c>
      <c r="X9" s="40">
        <f t="shared" si="6"/>
        <v>2.9746854392698193E-2</v>
      </c>
      <c r="Y9" s="39">
        <f t="shared" si="7"/>
        <v>0.31139957766460918</v>
      </c>
      <c r="Z9" s="37">
        <f t="shared" si="17"/>
        <v>0.31139957766460918</v>
      </c>
      <c r="AA9" s="37">
        <f t="shared" si="18"/>
        <v>5.2054996309006063E-2</v>
      </c>
      <c r="AB9" s="37">
        <v>0</v>
      </c>
      <c r="AC9" s="37">
        <f t="shared" si="8"/>
        <v>2.4116531502502648E-5</v>
      </c>
      <c r="AD9" s="40">
        <f t="shared" si="19"/>
        <v>2.4116531502502648E-5</v>
      </c>
      <c r="AE9" s="39">
        <f t="shared" ref="AE9:AE72" si="27">U9*W9</f>
        <v>2.1085843978520783E-3</v>
      </c>
      <c r="AF9" s="37">
        <f t="shared" si="20"/>
        <v>4.1811579201341903E-2</v>
      </c>
      <c r="AG9" s="37">
        <f t="shared" si="9"/>
        <v>8.0417575144263994E-6</v>
      </c>
      <c r="AH9" s="37">
        <f t="shared" si="10"/>
        <v>1.7135465666749008E-3</v>
      </c>
      <c r="AI9" s="40">
        <f t="shared" si="21"/>
        <v>1.7215883241893273E-3</v>
      </c>
      <c r="AJ9" s="39">
        <f t="shared" si="22"/>
        <v>1.159721418818643E-3</v>
      </c>
      <c r="AK9" s="37">
        <f t="shared" si="11"/>
        <v>3.1008297041607232E-2</v>
      </c>
      <c r="AL9" s="37">
        <f t="shared" si="12"/>
        <v>1.5466666666666667E-2</v>
      </c>
      <c r="AM9" s="37">
        <f t="shared" si="13"/>
        <v>2.4552000000000001E-2</v>
      </c>
      <c r="AN9" s="40">
        <f t="shared" si="23"/>
        <v>4.0018666666666668E-2</v>
      </c>
      <c r="AO9" s="39">
        <f t="shared" si="14"/>
        <v>3.4964163106201735E-5</v>
      </c>
      <c r="AP9" s="37">
        <f t="shared" si="15"/>
        <v>0.11701800000000001</v>
      </c>
      <c r="AQ9" s="40">
        <f t="shared" si="16"/>
        <v>1.7099999999999999E-3</v>
      </c>
      <c r="AR9" s="39">
        <f t="shared" si="24"/>
        <v>0.16052733568546468</v>
      </c>
      <c r="AS9" s="37">
        <f t="shared" si="25"/>
        <v>0.13333333333333333</v>
      </c>
      <c r="AT9" s="40">
        <f t="shared" si="26"/>
        <v>45.372976852783282</v>
      </c>
    </row>
    <row r="10" spans="1:46" x14ac:dyDescent="0.2">
      <c r="N10" s="37"/>
      <c r="O10" s="37"/>
      <c r="Q10">
        <v>3</v>
      </c>
      <c r="R10" s="39">
        <f t="shared" si="0"/>
        <v>5</v>
      </c>
      <c r="S10" s="37">
        <f t="shared" si="1"/>
        <v>0.04</v>
      </c>
      <c r="T10" s="37">
        <f t="shared" si="2"/>
        <v>3.8</v>
      </c>
      <c r="U10" s="40">
        <f t="shared" si="3"/>
        <v>5.8479532163742694E-2</v>
      </c>
      <c r="V10" s="39">
        <f t="shared" si="4"/>
        <v>1</v>
      </c>
      <c r="W10" s="37">
        <f t="shared" si="5"/>
        <v>6.6240558831799051E-2</v>
      </c>
      <c r="X10" s="40">
        <f t="shared" si="6"/>
        <v>3.6432307357489473E-2</v>
      </c>
      <c r="Y10" s="39">
        <f t="shared" si="7"/>
        <v>0.38138503569823695</v>
      </c>
      <c r="Z10" s="37">
        <f t="shared" si="17"/>
        <v>0.38138503569823695</v>
      </c>
      <c r="AA10" s="37">
        <f t="shared" si="18"/>
        <v>7.0555498444081446E-2</v>
      </c>
      <c r="AB10" s="37">
        <v>0</v>
      </c>
      <c r="AC10" s="37">
        <f t="shared" si="8"/>
        <v>4.4304897410165739E-5</v>
      </c>
      <c r="AD10" s="40">
        <f t="shared" si="19"/>
        <v>4.4304897410165739E-5</v>
      </c>
      <c r="AE10" s="39">
        <f t="shared" si="27"/>
        <v>3.8737168907484829E-3</v>
      </c>
      <c r="AF10" s="37">
        <f t="shared" si="20"/>
        <v>5.6671540110636388E-2</v>
      </c>
      <c r="AG10" s="37">
        <f t="shared" si="9"/>
        <v>1.4773651909152756E-5</v>
      </c>
      <c r="AH10" s="37">
        <f t="shared" si="10"/>
        <v>2.5703198500123515E-3</v>
      </c>
      <c r="AI10" s="40">
        <f t="shared" si="21"/>
        <v>2.585093501921504E-3</v>
      </c>
      <c r="AJ10" s="39">
        <f t="shared" si="22"/>
        <v>2.1305442899116653E-3</v>
      </c>
      <c r="AK10" s="37">
        <f t="shared" si="11"/>
        <v>4.2028739002988272E-2</v>
      </c>
      <c r="AL10" s="37">
        <f t="shared" si="12"/>
        <v>2.3199999999999998E-2</v>
      </c>
      <c r="AM10" s="37">
        <f t="shared" si="13"/>
        <v>2.4552000000000001E-2</v>
      </c>
      <c r="AN10" s="40">
        <f t="shared" si="23"/>
        <v>4.7752000000000003E-2</v>
      </c>
      <c r="AO10" s="39">
        <f t="shared" si="14"/>
        <v>6.4233269170229379E-5</v>
      </c>
      <c r="AP10" s="37">
        <f t="shared" si="15"/>
        <v>0.11701800000000001</v>
      </c>
      <c r="AQ10" s="40">
        <f t="shared" si="16"/>
        <v>1.7099999999999999E-3</v>
      </c>
      <c r="AR10" s="39">
        <f t="shared" si="24"/>
        <v>0.16917363166850191</v>
      </c>
      <c r="AS10" s="37">
        <f t="shared" si="25"/>
        <v>0.2</v>
      </c>
      <c r="AT10" s="40">
        <f t="shared" si="26"/>
        <v>54.175050123728575</v>
      </c>
    </row>
    <row r="11" spans="1:46" x14ac:dyDescent="0.2">
      <c r="N11" s="37" t="s">
        <v>325</v>
      </c>
      <c r="O11" s="37">
        <v>150</v>
      </c>
      <c r="Q11">
        <v>4</v>
      </c>
      <c r="R11" s="39">
        <f t="shared" si="0"/>
        <v>5</v>
      </c>
      <c r="S11" s="37">
        <f t="shared" si="1"/>
        <v>5.3333333333333337E-2</v>
      </c>
      <c r="T11" s="37">
        <f t="shared" si="2"/>
        <v>3.8</v>
      </c>
      <c r="U11" s="40">
        <f t="shared" si="3"/>
        <v>7.7972709551656916E-2</v>
      </c>
      <c r="V11" s="39">
        <f t="shared" si="4"/>
        <v>1</v>
      </c>
      <c r="W11" s="37">
        <f t="shared" si="5"/>
        <v>7.6488008945620856E-2</v>
      </c>
      <c r="X11" s="40">
        <f t="shared" si="6"/>
        <v>4.2068404920091465E-2</v>
      </c>
      <c r="Y11" s="39">
        <f t="shared" si="7"/>
        <v>0.44038550605054427</v>
      </c>
      <c r="Z11" s="37">
        <f t="shared" si="17"/>
        <v>0.44038550605054427</v>
      </c>
      <c r="AA11" s="37">
        <f t="shared" si="18"/>
        <v>8.7545719584577089E-2</v>
      </c>
      <c r="AB11" s="37">
        <v>0</v>
      </c>
      <c r="AC11" s="37">
        <f t="shared" si="8"/>
        <v>6.8211851856474494E-5</v>
      </c>
      <c r="AD11" s="40">
        <f t="shared" si="19"/>
        <v>6.8211851856474494E-5</v>
      </c>
      <c r="AE11" s="39">
        <f t="shared" si="27"/>
        <v>5.9639773057014308E-3</v>
      </c>
      <c r="AF11" s="37">
        <f t="shared" si="20"/>
        <v>7.0318414133010348E-2</v>
      </c>
      <c r="AG11" s="37">
        <f t="shared" si="9"/>
        <v>2.274552508443513E-5</v>
      </c>
      <c r="AH11" s="37">
        <f t="shared" si="10"/>
        <v>3.4270931333498017E-3</v>
      </c>
      <c r="AI11" s="40">
        <f t="shared" si="21"/>
        <v>3.4498386584342366E-3</v>
      </c>
      <c r="AJ11" s="39">
        <f t="shared" si="22"/>
        <v>3.2801875181357864E-3</v>
      </c>
      <c r="AK11" s="37">
        <f t="shared" si="11"/>
        <v>5.2149531650819765E-2</v>
      </c>
      <c r="AL11" s="37">
        <f t="shared" si="12"/>
        <v>3.0933333333333334E-2</v>
      </c>
      <c r="AM11" s="37">
        <f t="shared" si="13"/>
        <v>2.4552000000000001E-2</v>
      </c>
      <c r="AN11" s="40">
        <f t="shared" si="23"/>
        <v>5.5485333333333331E-2</v>
      </c>
      <c r="AO11" s="39">
        <f t="shared" si="14"/>
        <v>9.8893587323631003E-5</v>
      </c>
      <c r="AP11" s="37">
        <f t="shared" si="15"/>
        <v>0.11701800000000001</v>
      </c>
      <c r="AQ11" s="40">
        <f t="shared" si="16"/>
        <v>1.7099999999999999E-3</v>
      </c>
      <c r="AR11" s="39">
        <f t="shared" si="24"/>
        <v>0.17783027743094768</v>
      </c>
      <c r="AS11" s="37">
        <f t="shared" si="25"/>
        <v>0.26666666666666666</v>
      </c>
      <c r="AT11" s="40">
        <f t="shared" si="26"/>
        <v>59.99291338392306</v>
      </c>
    </row>
    <row r="12" spans="1:46" x14ac:dyDescent="0.2">
      <c r="N12" s="37" t="s">
        <v>326</v>
      </c>
      <c r="O12" s="37">
        <f>IOUT/(O11)</f>
        <v>1.3333333333333334E-2</v>
      </c>
      <c r="Q12">
        <v>5</v>
      </c>
      <c r="R12" s="39">
        <f t="shared" si="0"/>
        <v>5</v>
      </c>
      <c r="S12" s="37">
        <f t="shared" si="1"/>
        <v>6.6666666666666666E-2</v>
      </c>
      <c r="T12" s="37">
        <f t="shared" si="2"/>
        <v>3.8</v>
      </c>
      <c r="U12" s="40">
        <f t="shared" si="3"/>
        <v>9.7465886939571145E-2</v>
      </c>
      <c r="V12" s="39">
        <f t="shared" si="4"/>
        <v>1</v>
      </c>
      <c r="W12" s="37">
        <f t="shared" si="5"/>
        <v>8.5516193733010115E-2</v>
      </c>
      <c r="X12" s="40">
        <f t="shared" si="6"/>
        <v>4.7033906553155556E-2</v>
      </c>
      <c r="Y12" s="39">
        <f t="shared" si="7"/>
        <v>0.49236596391733095</v>
      </c>
      <c r="Z12" s="37">
        <f t="shared" si="17"/>
        <v>0.49236596391733095</v>
      </c>
      <c r="AA12" s="37">
        <f t="shared" si="18"/>
        <v>0.10349453712657346</v>
      </c>
      <c r="AB12" s="37">
        <v>0</v>
      </c>
      <c r="AC12" s="37">
        <f t="shared" si="8"/>
        <v>9.5328961013888848E-5</v>
      </c>
      <c r="AD12" s="40">
        <f t="shared" si="19"/>
        <v>9.5328961013888848E-5</v>
      </c>
      <c r="AE12" s="39">
        <f t="shared" si="27"/>
        <v>8.3349116698840271E-3</v>
      </c>
      <c r="AF12" s="37">
        <f t="shared" si="20"/>
        <v>8.3128812655881082E-2</v>
      </c>
      <c r="AG12" s="37">
        <f t="shared" si="9"/>
        <v>3.1787837670452242E-5</v>
      </c>
      <c r="AH12" s="37">
        <f t="shared" si="10"/>
        <v>4.2838664166872523E-3</v>
      </c>
      <c r="AI12" s="40">
        <f t="shared" si="21"/>
        <v>4.3156542543577045E-3</v>
      </c>
      <c r="AJ12" s="39">
        <f t="shared" si="22"/>
        <v>4.5842014184362141E-3</v>
      </c>
      <c r="AK12" s="37">
        <f t="shared" si="11"/>
        <v>6.1649977465260408E-2</v>
      </c>
      <c r="AL12" s="37">
        <f t="shared" si="12"/>
        <v>3.8666666666666662E-2</v>
      </c>
      <c r="AM12" s="37">
        <f t="shared" si="13"/>
        <v>2.4552000000000001E-2</v>
      </c>
      <c r="AN12" s="40">
        <f t="shared" si="23"/>
        <v>6.3218666666666659E-2</v>
      </c>
      <c r="AO12" s="39">
        <f t="shared" si="14"/>
        <v>1.382079898715315E-4</v>
      </c>
      <c r="AP12" s="37">
        <f t="shared" si="15"/>
        <v>0.11701800000000001</v>
      </c>
      <c r="AQ12" s="40">
        <f t="shared" si="16"/>
        <v>1.7099999999999999E-3</v>
      </c>
      <c r="AR12" s="39">
        <f t="shared" si="24"/>
        <v>0.18649585787190978</v>
      </c>
      <c r="AS12" s="37">
        <f t="shared" si="25"/>
        <v>0.33333333333333331</v>
      </c>
      <c r="AT12" s="40">
        <f t="shared" si="26"/>
        <v>64.123627332371953</v>
      </c>
    </row>
    <row r="13" spans="1:46" x14ac:dyDescent="0.2">
      <c r="Q13">
        <v>6</v>
      </c>
      <c r="R13" s="39">
        <f t="shared" si="0"/>
        <v>5</v>
      </c>
      <c r="S13" s="37">
        <f t="shared" si="1"/>
        <v>0.08</v>
      </c>
      <c r="T13" s="37">
        <f t="shared" si="2"/>
        <v>3.8</v>
      </c>
      <c r="U13" s="40">
        <f t="shared" si="3"/>
        <v>0.11695906432748539</v>
      </c>
      <c r="V13" s="39">
        <f t="shared" si="4"/>
        <v>1</v>
      </c>
      <c r="W13" s="37">
        <f t="shared" si="5"/>
        <v>9.3678296679103129E-2</v>
      </c>
      <c r="X13" s="40">
        <f t="shared" si="6"/>
        <v>5.1523063173506717E-2</v>
      </c>
      <c r="Y13" s="39">
        <f t="shared" si="7"/>
        <v>0.5393598899705937</v>
      </c>
      <c r="Z13" s="37">
        <f t="shared" si="17"/>
        <v>0.5393598899705937</v>
      </c>
      <c r="AA13" s="37">
        <f t="shared" si="18"/>
        <v>0.11865973143613423</v>
      </c>
      <c r="AB13" s="37">
        <v>0</v>
      </c>
      <c r="AC13" s="37">
        <f t="shared" si="8"/>
        <v>1.2531317359400996E-4</v>
      </c>
      <c r="AD13" s="40">
        <f t="shared" si="19"/>
        <v>1.2531317359400996E-4</v>
      </c>
      <c r="AE13" s="39">
        <f t="shared" si="27"/>
        <v>1.0956525927380483E-2</v>
      </c>
      <c r="AF13" s="37">
        <f t="shared" si="20"/>
        <v>9.5309789851882487E-2</v>
      </c>
      <c r="AG13" s="37">
        <f t="shared" si="9"/>
        <v>4.1786197791406012E-5</v>
      </c>
      <c r="AH13" s="37">
        <f t="shared" si="10"/>
        <v>5.1406397000247029E-3</v>
      </c>
      <c r="AI13" s="40">
        <f t="shared" si="21"/>
        <v>5.1824258978161088E-3</v>
      </c>
      <c r="AJ13" s="39">
        <f t="shared" si="22"/>
        <v>6.0260892600592659E-3</v>
      </c>
      <c r="AK13" s="37">
        <f t="shared" si="11"/>
        <v>7.0683631930493637E-2</v>
      </c>
      <c r="AL13" s="37">
        <f t="shared" si="12"/>
        <v>4.6399999999999997E-2</v>
      </c>
      <c r="AM13" s="37">
        <f t="shared" si="13"/>
        <v>2.4552000000000001E-2</v>
      </c>
      <c r="AN13" s="40">
        <f t="shared" si="23"/>
        <v>7.0952000000000001E-2</v>
      </c>
      <c r="AO13" s="39">
        <f t="shared" si="14"/>
        <v>1.8167912083220006E-4</v>
      </c>
      <c r="AP13" s="37">
        <f t="shared" si="15"/>
        <v>0.11701800000000001</v>
      </c>
      <c r="AQ13" s="40">
        <f t="shared" si="16"/>
        <v>1.7099999999999999E-3</v>
      </c>
      <c r="AR13" s="39">
        <f t="shared" si="24"/>
        <v>0.19516941819224232</v>
      </c>
      <c r="AS13" s="37">
        <f t="shared" si="25"/>
        <v>0.4</v>
      </c>
      <c r="AT13" s="40">
        <f t="shared" si="26"/>
        <v>67.207754258435088</v>
      </c>
    </row>
    <row r="14" spans="1:46" x14ac:dyDescent="0.2">
      <c r="Q14">
        <v>7</v>
      </c>
      <c r="R14" s="39">
        <f t="shared" si="0"/>
        <v>5</v>
      </c>
      <c r="S14" s="37">
        <f t="shared" si="1"/>
        <v>9.3333333333333338E-2</v>
      </c>
      <c r="T14" s="37">
        <f t="shared" si="2"/>
        <v>3.8</v>
      </c>
      <c r="U14" s="40">
        <f t="shared" si="3"/>
        <v>0.1364522417153996</v>
      </c>
      <c r="V14" s="39">
        <f t="shared" si="4"/>
        <v>1</v>
      </c>
      <c r="W14" s="37">
        <f t="shared" si="5"/>
        <v>0.10118412497429825</v>
      </c>
      <c r="X14" s="40">
        <f t="shared" si="6"/>
        <v>5.565126873586404E-2</v>
      </c>
      <c r="Y14" s="39">
        <f t="shared" si="7"/>
        <v>0.58257526500353529</v>
      </c>
      <c r="Z14" s="37">
        <f t="shared" si="17"/>
        <v>0.58257526500353529</v>
      </c>
      <c r="AA14" s="37">
        <f t="shared" si="18"/>
        <v>0.13320283043500672</v>
      </c>
      <c r="AB14" s="37">
        <v>0</v>
      </c>
      <c r="AC14" s="37">
        <f t="shared" si="8"/>
        <v>1.5791264691948466E-4</v>
      </c>
      <c r="AD14" s="40">
        <f t="shared" si="19"/>
        <v>1.5791264691948466E-4</v>
      </c>
      <c r="AE14" s="39">
        <f t="shared" si="27"/>
        <v>1.3806800678754148E-2</v>
      </c>
      <c r="AF14" s="37">
        <f t="shared" si="20"/>
        <v>0.10699108806991943</v>
      </c>
      <c r="AG14" s="37">
        <f t="shared" si="9"/>
        <v>5.2656627461372172E-5</v>
      </c>
      <c r="AH14" s="37">
        <f t="shared" si="10"/>
        <v>5.9974129833621527E-3</v>
      </c>
      <c r="AI14" s="40">
        <f t="shared" si="21"/>
        <v>6.0500696108235245E-3</v>
      </c>
      <c r="AJ14" s="39">
        <f t="shared" si="22"/>
        <v>7.5937403733147809E-3</v>
      </c>
      <c r="AK14" s="37">
        <f t="shared" si="11"/>
        <v>7.9346714547685535E-2</v>
      </c>
      <c r="AL14" s="37">
        <f t="shared" si="12"/>
        <v>5.4133333333333332E-2</v>
      </c>
      <c r="AM14" s="37">
        <f t="shared" si="13"/>
        <v>2.4552000000000001E-2</v>
      </c>
      <c r="AN14" s="40">
        <f t="shared" si="23"/>
        <v>7.8685333333333329E-2</v>
      </c>
      <c r="AO14" s="39">
        <f t="shared" si="14"/>
        <v>2.2894185852770512E-4</v>
      </c>
      <c r="AP14" s="37">
        <f t="shared" si="15"/>
        <v>0.11701800000000001</v>
      </c>
      <c r="AQ14" s="40">
        <f t="shared" si="16"/>
        <v>1.7099999999999999E-3</v>
      </c>
      <c r="AR14" s="39">
        <f t="shared" si="24"/>
        <v>0.20385025744960406</v>
      </c>
      <c r="AS14" s="37">
        <f t="shared" si="25"/>
        <v>0.46666666666666667</v>
      </c>
      <c r="AT14" s="40">
        <f t="shared" si="26"/>
        <v>69.598044416511186</v>
      </c>
    </row>
    <row r="15" spans="1:46" x14ac:dyDescent="0.2">
      <c r="O15">
        <f>0.205*2.5/(Lm*Fsw)</f>
        <v>0.77651515151515138</v>
      </c>
      <c r="Q15">
        <v>8</v>
      </c>
      <c r="R15" s="39">
        <f t="shared" si="0"/>
        <v>5</v>
      </c>
      <c r="S15" s="37">
        <f t="shared" si="1"/>
        <v>0.10666666666666667</v>
      </c>
      <c r="T15" s="37">
        <f t="shared" si="2"/>
        <v>3.8</v>
      </c>
      <c r="U15" s="40">
        <f t="shared" si="3"/>
        <v>0.15594541910331383</v>
      </c>
      <c r="V15" s="39">
        <f t="shared" si="4"/>
        <v>1</v>
      </c>
      <c r="W15" s="37">
        <f t="shared" si="5"/>
        <v>0.10817037960981163</v>
      </c>
      <c r="X15" s="40">
        <f t="shared" si="6"/>
        <v>5.9493708785396386E-2</v>
      </c>
      <c r="Y15" s="39">
        <f t="shared" si="7"/>
        <v>0.62279915532921837</v>
      </c>
      <c r="Z15" s="37">
        <f t="shared" si="17"/>
        <v>0.62279915532921837</v>
      </c>
      <c r="AA15" s="37">
        <f t="shared" si="18"/>
        <v>0.14723376353895556</v>
      </c>
      <c r="AB15" s="37">
        <v>0</v>
      </c>
      <c r="AC15" s="37">
        <f t="shared" si="8"/>
        <v>1.9293225202002121E-4</v>
      </c>
      <c r="AD15" s="40">
        <f t="shared" si="19"/>
        <v>1.9293225202002121E-4</v>
      </c>
      <c r="AE15" s="39">
        <f t="shared" si="27"/>
        <v>1.6868675182816626E-2</v>
      </c>
      <c r="AF15" s="37">
        <f t="shared" si="20"/>
        <v>0.11826100474154908</v>
      </c>
      <c r="AG15" s="37">
        <f t="shared" si="9"/>
        <v>6.4334060115411182E-5</v>
      </c>
      <c r="AH15" s="37">
        <f t="shared" si="10"/>
        <v>6.8541862666996033E-3</v>
      </c>
      <c r="AI15" s="40">
        <f t="shared" si="21"/>
        <v>6.9185203268150143E-3</v>
      </c>
      <c r="AJ15" s="39">
        <f t="shared" si="22"/>
        <v>9.2777713505491442E-3</v>
      </c>
      <c r="AK15" s="37">
        <f t="shared" si="11"/>
        <v>8.7704708444668933E-2</v>
      </c>
      <c r="AL15" s="37">
        <f t="shared" si="12"/>
        <v>6.1866666666666667E-2</v>
      </c>
      <c r="AM15" s="37">
        <f t="shared" si="13"/>
        <v>2.4552000000000001E-2</v>
      </c>
      <c r="AN15" s="40">
        <f t="shared" si="23"/>
        <v>8.6418666666666671E-2</v>
      </c>
      <c r="AO15" s="39">
        <f t="shared" si="14"/>
        <v>2.7971330484961388E-4</v>
      </c>
      <c r="AP15" s="37">
        <f t="shared" si="15"/>
        <v>0.11701800000000001</v>
      </c>
      <c r="AQ15" s="40">
        <f t="shared" si="16"/>
        <v>1.7099999999999999E-3</v>
      </c>
      <c r="AR15" s="39">
        <f t="shared" si="24"/>
        <v>0.21253783255035133</v>
      </c>
      <c r="AS15" s="37">
        <f t="shared" si="25"/>
        <v>0.53333333333333333</v>
      </c>
      <c r="AT15" s="40">
        <f t="shared" si="26"/>
        <v>71.504752794868637</v>
      </c>
    </row>
    <row r="16" spans="1:46" x14ac:dyDescent="0.2">
      <c r="Q16">
        <v>9</v>
      </c>
      <c r="R16" s="39">
        <f t="shared" si="0"/>
        <v>5</v>
      </c>
      <c r="S16" s="37">
        <f t="shared" si="1"/>
        <v>0.12000000000000001</v>
      </c>
      <c r="T16" s="37">
        <f t="shared" si="2"/>
        <v>3.8</v>
      </c>
      <c r="U16" s="40">
        <f t="shared" si="3"/>
        <v>0.17543859649122809</v>
      </c>
      <c r="V16" s="39">
        <f t="shared" si="4"/>
        <v>1</v>
      </c>
      <c r="W16" s="37">
        <f t="shared" si="5"/>
        <v>0.11473201341843128</v>
      </c>
      <c r="X16" s="40">
        <f t="shared" si="6"/>
        <v>6.3102607380137204E-2</v>
      </c>
      <c r="Y16" s="39">
        <f t="shared" si="7"/>
        <v>0.66057825907581647</v>
      </c>
      <c r="Z16" s="37">
        <f t="shared" ref="Z16:Z79" si="28">CHOOSE(V16,Y16,U16+(0.5*Y16))</f>
        <v>0.66057825907581647</v>
      </c>
      <c r="AA16" s="37">
        <f t="shared" ref="AA16:AA79" si="29">CHOOSE(V16,Z16*SQRT((W16+X16)/3),SQRT((U16^2)+((Y16^2)/12)))</f>
        <v>0.16083175661024549</v>
      </c>
      <c r="AB16" s="37">
        <v>0</v>
      </c>
      <c r="AC16" s="37">
        <f t="shared" si="8"/>
        <v>2.3021500001560146E-4</v>
      </c>
      <c r="AD16" s="40">
        <f t="shared" si="19"/>
        <v>2.3021500001560146E-4</v>
      </c>
      <c r="AE16" s="39">
        <f t="shared" si="27"/>
        <v>2.0128423406742334E-2</v>
      </c>
      <c r="AF16" s="37">
        <f t="shared" si="20"/>
        <v>0.12918317561069143</v>
      </c>
      <c r="AG16" s="37">
        <f t="shared" si="9"/>
        <v>7.6766147159968595E-5</v>
      </c>
      <c r="AH16" s="37">
        <f t="shared" si="10"/>
        <v>7.7109595500370548E-3</v>
      </c>
      <c r="AI16" s="40">
        <f t="shared" si="21"/>
        <v>7.7877256971970238E-3</v>
      </c>
      <c r="AJ16" s="39">
        <f t="shared" si="22"/>
        <v>1.1070632873708283E-2</v>
      </c>
      <c r="AK16" s="37">
        <f t="shared" si="11"/>
        <v>9.5804807152222296E-2</v>
      </c>
      <c r="AL16" s="37">
        <f t="shared" si="12"/>
        <v>6.9599999999999995E-2</v>
      </c>
      <c r="AM16" s="37">
        <f t="shared" si="13"/>
        <v>2.4552000000000001E-2</v>
      </c>
      <c r="AN16" s="40">
        <f t="shared" si="23"/>
        <v>9.4152E-2</v>
      </c>
      <c r="AO16" s="39">
        <f t="shared" si="14"/>
        <v>3.3376585721725478E-4</v>
      </c>
      <c r="AP16" s="37">
        <f t="shared" si="15"/>
        <v>0.11701800000000001</v>
      </c>
      <c r="AQ16" s="40">
        <f t="shared" si="16"/>
        <v>1.7099999999999999E-3</v>
      </c>
      <c r="AR16" s="39">
        <f t="shared" si="24"/>
        <v>0.22123170655442986</v>
      </c>
      <c r="AS16" s="37">
        <f t="shared" si="25"/>
        <v>0.60000000000000009</v>
      </c>
      <c r="AT16" s="40">
        <f t="shared" si="26"/>
        <v>73.060988173163409</v>
      </c>
    </row>
    <row r="17" spans="17:46" x14ac:dyDescent="0.2">
      <c r="Q17">
        <v>10</v>
      </c>
      <c r="R17" s="39">
        <f t="shared" si="0"/>
        <v>5</v>
      </c>
      <c r="S17" s="37">
        <f t="shared" si="1"/>
        <v>0.13333333333333333</v>
      </c>
      <c r="T17" s="37">
        <f t="shared" si="2"/>
        <v>3.8</v>
      </c>
      <c r="U17" s="40">
        <f t="shared" si="3"/>
        <v>0.19493177387914229</v>
      </c>
      <c r="V17" s="39">
        <f t="shared" si="4"/>
        <v>1</v>
      </c>
      <c r="W17" s="37">
        <f t="shared" si="5"/>
        <v>0.12093816097974798</v>
      </c>
      <c r="X17" s="40">
        <f t="shared" si="6"/>
        <v>6.651598853886137E-2</v>
      </c>
      <c r="Y17" s="39">
        <f t="shared" si="7"/>
        <v>0.69631062382279141</v>
      </c>
      <c r="Z17" s="37">
        <f t="shared" si="28"/>
        <v>0.69631062382279141</v>
      </c>
      <c r="AA17" s="37">
        <f t="shared" si="29"/>
        <v>0.17405637053615616</v>
      </c>
      <c r="AB17" s="37">
        <v>0</v>
      </c>
      <c r="AC17" s="37">
        <f t="shared" si="8"/>
        <v>2.6963101910555524E-4</v>
      </c>
      <c r="AD17" s="40">
        <f t="shared" si="19"/>
        <v>2.6963101910555524E-4</v>
      </c>
      <c r="AE17" s="39">
        <f t="shared" si="27"/>
        <v>2.3574690249463542E-2</v>
      </c>
      <c r="AF17" s="37">
        <f t="shared" si="20"/>
        <v>0.13980544113325605</v>
      </c>
      <c r="AG17" s="37">
        <f t="shared" si="9"/>
        <v>8.9909582304135882E-5</v>
      </c>
      <c r="AH17" s="37">
        <f t="shared" si="10"/>
        <v>8.5677328333745046E-3</v>
      </c>
      <c r="AI17" s="40">
        <f t="shared" si="21"/>
        <v>8.6576424156786409E-3</v>
      </c>
      <c r="AJ17" s="39">
        <f t="shared" si="22"/>
        <v>1.2966079637204945E-2</v>
      </c>
      <c r="AK17" s="37">
        <f t="shared" si="11"/>
        <v>0.10368249010201951</v>
      </c>
      <c r="AL17" s="37">
        <f t="shared" si="12"/>
        <v>7.7333333333333323E-2</v>
      </c>
      <c r="AM17" s="37">
        <f t="shared" si="13"/>
        <v>2.4552000000000001E-2</v>
      </c>
      <c r="AN17" s="40">
        <f t="shared" si="23"/>
        <v>0.10188533333333333</v>
      </c>
      <c r="AO17" s="39">
        <f t="shared" si="14"/>
        <v>3.9091122740928647E-4</v>
      </c>
      <c r="AP17" s="37">
        <f t="shared" si="15"/>
        <v>0.11701800000000001</v>
      </c>
      <c r="AQ17" s="40">
        <f t="shared" si="16"/>
        <v>1.7099999999999999E-3</v>
      </c>
      <c r="AR17" s="39">
        <f t="shared" si="24"/>
        <v>0.2299315179955268</v>
      </c>
      <c r="AS17" s="37">
        <f t="shared" si="25"/>
        <v>0.66666666666666663</v>
      </c>
      <c r="AT17" s="40">
        <f t="shared" si="26"/>
        <v>74.355121175919308</v>
      </c>
    </row>
    <row r="18" spans="17:46" x14ac:dyDescent="0.2">
      <c r="Q18">
        <v>11</v>
      </c>
      <c r="R18" s="39">
        <f t="shared" si="0"/>
        <v>5</v>
      </c>
      <c r="S18" s="37">
        <f t="shared" si="1"/>
        <v>0.14666666666666667</v>
      </c>
      <c r="T18" s="37">
        <f t="shared" si="2"/>
        <v>3.8</v>
      </c>
      <c r="U18" s="40">
        <f t="shared" si="3"/>
        <v>0.21442495126705655</v>
      </c>
      <c r="V18" s="39">
        <f t="shared" si="4"/>
        <v>1</v>
      </c>
      <c r="W18" s="37">
        <f t="shared" si="5"/>
        <v>0.12684101331698586</v>
      </c>
      <c r="X18" s="40">
        <f t="shared" si="6"/>
        <v>6.9762557324342223E-2</v>
      </c>
      <c r="Y18" s="39">
        <f t="shared" si="7"/>
        <v>0.73029674334022154</v>
      </c>
      <c r="Z18" s="37">
        <f t="shared" si="28"/>
        <v>0.73029674334022154</v>
      </c>
      <c r="AA18" s="37">
        <f t="shared" si="29"/>
        <v>0.18695386032866951</v>
      </c>
      <c r="AB18" s="37">
        <v>0</v>
      </c>
      <c r="AC18" s="37">
        <f t="shared" si="8"/>
        <v>3.1107053843694584E-4</v>
      </c>
      <c r="AD18" s="40">
        <f t="shared" si="19"/>
        <v>3.1107053843694584E-4</v>
      </c>
      <c r="AE18" s="39">
        <f t="shared" si="27"/>
        <v>2.7197878099158763E-2</v>
      </c>
      <c r="AF18" s="37">
        <f t="shared" si="20"/>
        <v>0.15016495422892542</v>
      </c>
      <c r="AG18" s="37">
        <f t="shared" si="9"/>
        <v>1.0372776200144623E-4</v>
      </c>
      <c r="AH18" s="37">
        <f t="shared" si="10"/>
        <v>9.4245061167119552E-3</v>
      </c>
      <c r="AI18" s="40">
        <f t="shared" si="21"/>
        <v>9.5282338787134012E-3</v>
      </c>
      <c r="AJ18" s="39">
        <f t="shared" si="22"/>
        <v>1.4958832954537319E-2</v>
      </c>
      <c r="AK18" s="37">
        <f t="shared" si="11"/>
        <v>0.11136531063673462</v>
      </c>
      <c r="AL18" s="37">
        <f t="shared" si="12"/>
        <v>8.5066666666666665E-2</v>
      </c>
      <c r="AM18" s="37">
        <f t="shared" si="13"/>
        <v>2.4552000000000001E-2</v>
      </c>
      <c r="AN18" s="40">
        <f t="shared" si="23"/>
        <v>0.10961866666666667</v>
      </c>
      <c r="AO18" s="39">
        <f t="shared" si="14"/>
        <v>4.5099026957150533E-4</v>
      </c>
      <c r="AP18" s="37">
        <f t="shared" si="15"/>
        <v>0.11701800000000001</v>
      </c>
      <c r="AQ18" s="40">
        <f t="shared" si="16"/>
        <v>1.7099999999999999E-3</v>
      </c>
      <c r="AR18" s="39">
        <f t="shared" si="24"/>
        <v>0.23863696135338852</v>
      </c>
      <c r="AS18" s="37">
        <f t="shared" si="25"/>
        <v>0.73333333333333339</v>
      </c>
      <c r="AT18" s="40">
        <f t="shared" si="26"/>
        <v>75.448121958263741</v>
      </c>
    </row>
    <row r="19" spans="17:46" x14ac:dyDescent="0.2">
      <c r="Q19">
        <v>12</v>
      </c>
      <c r="R19" s="39">
        <f t="shared" si="0"/>
        <v>5</v>
      </c>
      <c r="S19" s="37">
        <f t="shared" si="1"/>
        <v>0.16</v>
      </c>
      <c r="T19" s="37">
        <f t="shared" si="2"/>
        <v>3.8</v>
      </c>
      <c r="U19" s="40">
        <f t="shared" si="3"/>
        <v>0.23391812865497078</v>
      </c>
      <c r="V19" s="39">
        <f t="shared" si="4"/>
        <v>1</v>
      </c>
      <c r="W19" s="37">
        <f t="shared" si="5"/>
        <v>0.1324811176635981</v>
      </c>
      <c r="X19" s="40">
        <f t="shared" si="6"/>
        <v>7.2864614714978945E-2</v>
      </c>
      <c r="Y19" s="39">
        <f t="shared" si="7"/>
        <v>0.7627700713964739</v>
      </c>
      <c r="Z19" s="37">
        <f t="shared" si="28"/>
        <v>0.7627700713964739</v>
      </c>
      <c r="AA19" s="37">
        <f t="shared" si="29"/>
        <v>0.19956108559922756</v>
      </c>
      <c r="AB19" s="37">
        <v>0</v>
      </c>
      <c r="AC19" s="37">
        <f t="shared" si="8"/>
        <v>3.544391792813258E-4</v>
      </c>
      <c r="AD19" s="40">
        <f t="shared" si="19"/>
        <v>3.544391792813258E-4</v>
      </c>
      <c r="AE19" s="39">
        <f t="shared" si="27"/>
        <v>3.0989735125987863E-2</v>
      </c>
      <c r="AF19" s="37">
        <f t="shared" si="20"/>
        <v>0.16029132125006568</v>
      </c>
      <c r="AG19" s="37">
        <f t="shared" si="9"/>
        <v>1.1818921527322209E-4</v>
      </c>
      <c r="AH19" s="37">
        <f t="shared" si="10"/>
        <v>1.0281279400049406E-2</v>
      </c>
      <c r="AI19" s="40">
        <f t="shared" si="21"/>
        <v>1.0399468615322628E-2</v>
      </c>
      <c r="AJ19" s="39">
        <f t="shared" si="22"/>
        <v>1.7044354319293322E-2</v>
      </c>
      <c r="AK19" s="37">
        <f t="shared" si="11"/>
        <v>0.11887522541493019</v>
      </c>
      <c r="AL19" s="37">
        <f t="shared" si="12"/>
        <v>9.2799999999999994E-2</v>
      </c>
      <c r="AM19" s="37">
        <f t="shared" si="13"/>
        <v>2.4552000000000001E-2</v>
      </c>
      <c r="AN19" s="40">
        <f t="shared" si="23"/>
        <v>0.117352</v>
      </c>
      <c r="AO19" s="39">
        <f t="shared" si="14"/>
        <v>5.1386615336183514E-4</v>
      </c>
      <c r="AP19" s="37">
        <f t="shared" si="15"/>
        <v>0.11701800000000001</v>
      </c>
      <c r="AQ19" s="40">
        <f t="shared" si="16"/>
        <v>1.7099999999999999E-3</v>
      </c>
      <c r="AR19" s="39">
        <f t="shared" si="24"/>
        <v>0.24734777394796578</v>
      </c>
      <c r="AS19" s="37">
        <f t="shared" si="25"/>
        <v>0.8</v>
      </c>
      <c r="AT19" s="40">
        <f t="shared" si="26"/>
        <v>76.383415318142994</v>
      </c>
    </row>
    <row r="20" spans="17:46" x14ac:dyDescent="0.2">
      <c r="Q20">
        <v>13</v>
      </c>
      <c r="R20" s="39">
        <f t="shared" si="0"/>
        <v>5</v>
      </c>
      <c r="S20" s="37">
        <f t="shared" si="1"/>
        <v>0.17333333333333334</v>
      </c>
      <c r="T20" s="37">
        <f t="shared" si="2"/>
        <v>3.8</v>
      </c>
      <c r="U20" s="40">
        <f t="shared" si="3"/>
        <v>0.25341130604288503</v>
      </c>
      <c r="V20" s="39">
        <f t="shared" si="4"/>
        <v>1</v>
      </c>
      <c r="W20" s="37">
        <f t="shared" si="5"/>
        <v>0.13789071910579212</v>
      </c>
      <c r="X20" s="40">
        <f t="shared" si="6"/>
        <v>7.5839895508185665E-2</v>
      </c>
      <c r="Y20" s="39">
        <f t="shared" si="7"/>
        <v>0.79391626151819705</v>
      </c>
      <c r="Z20" s="37">
        <f t="shared" si="28"/>
        <v>0.79391626151819705</v>
      </c>
      <c r="AA20" s="37">
        <f t="shared" si="29"/>
        <v>0.21190804142341188</v>
      </c>
      <c r="AB20" s="37">
        <v>0</v>
      </c>
      <c r="AC20" s="37">
        <f t="shared" si="8"/>
        <v>3.9965466037716733E-4</v>
      </c>
      <c r="AD20" s="40">
        <f t="shared" si="19"/>
        <v>3.9965466037716733E-4</v>
      </c>
      <c r="AE20" s="39">
        <f t="shared" si="27"/>
        <v>3.4943067219791381E-2</v>
      </c>
      <c r="AF20" s="37">
        <f t="shared" si="20"/>
        <v>0.17020863482115584</v>
      </c>
      <c r="AG20" s="37">
        <f t="shared" si="9"/>
        <v>1.3326650509133529E-4</v>
      </c>
      <c r="AH20" s="37">
        <f t="shared" si="10"/>
        <v>1.1138052683386858E-2</v>
      </c>
      <c r="AI20" s="40">
        <f t="shared" si="21"/>
        <v>1.1271319188478193E-2</v>
      </c>
      <c r="AJ20" s="39">
        <f t="shared" si="22"/>
        <v>1.921868697088526E-2</v>
      </c>
      <c r="AK20" s="37">
        <f t="shared" si="11"/>
        <v>0.12623010200512741</v>
      </c>
      <c r="AL20" s="37">
        <f t="shared" si="12"/>
        <v>0.10053333333333334</v>
      </c>
      <c r="AM20" s="37">
        <f t="shared" si="13"/>
        <v>2.4552000000000001E-2</v>
      </c>
      <c r="AN20" s="40">
        <f t="shared" si="23"/>
        <v>0.12508533333333333</v>
      </c>
      <c r="AO20" s="39">
        <f t="shared" si="14"/>
        <v>5.7941958735363173E-4</v>
      </c>
      <c r="AP20" s="37">
        <f t="shared" si="15"/>
        <v>0.11701800000000001</v>
      </c>
      <c r="AQ20" s="40">
        <f t="shared" si="16"/>
        <v>1.7099999999999999E-3</v>
      </c>
      <c r="AR20" s="39">
        <f t="shared" si="24"/>
        <v>0.25606372676954231</v>
      </c>
      <c r="AS20" s="37">
        <f t="shared" si="25"/>
        <v>0.8666666666666667</v>
      </c>
      <c r="AT20" s="40">
        <f t="shared" si="26"/>
        <v>77.192767892758468</v>
      </c>
    </row>
    <row r="21" spans="17:46" x14ac:dyDescent="0.2">
      <c r="Q21">
        <v>14</v>
      </c>
      <c r="R21" s="39">
        <f t="shared" si="0"/>
        <v>5</v>
      </c>
      <c r="S21" s="37">
        <f t="shared" si="1"/>
        <v>0.18666666666666668</v>
      </c>
      <c r="T21" s="37">
        <f t="shared" si="2"/>
        <v>3.8</v>
      </c>
      <c r="U21" s="40">
        <f t="shared" si="3"/>
        <v>0.27290448343079921</v>
      </c>
      <c r="V21" s="39">
        <f t="shared" si="4"/>
        <v>1</v>
      </c>
      <c r="W21" s="37">
        <f t="shared" si="5"/>
        <v>0.1430959618355068</v>
      </c>
      <c r="X21" s="40">
        <f t="shared" si="6"/>
        <v>7.8702779009528726E-2</v>
      </c>
      <c r="Y21" s="39">
        <f t="shared" si="7"/>
        <v>0.82388584087109962</v>
      </c>
      <c r="Z21" s="37">
        <f t="shared" si="28"/>
        <v>0.82388584087109962</v>
      </c>
      <c r="AA21" s="37">
        <f t="shared" si="29"/>
        <v>0.22401956522889105</v>
      </c>
      <c r="AB21" s="37">
        <v>0</v>
      </c>
      <c r="AC21" s="37">
        <f t="shared" si="8"/>
        <v>4.4664441388753823E-4</v>
      </c>
      <c r="AD21" s="40">
        <f t="shared" si="19"/>
        <v>4.4664441388753823E-4</v>
      </c>
      <c r="AE21" s="39">
        <f t="shared" si="27"/>
        <v>3.9051529545752341E-2</v>
      </c>
      <c r="AF21" s="37">
        <f t="shared" si="20"/>
        <v>0.17993684484417946</v>
      </c>
      <c r="AG21" s="37">
        <f t="shared" si="9"/>
        <v>1.4893543340940024E-4</v>
      </c>
      <c r="AH21" s="37">
        <f t="shared" si="10"/>
        <v>1.1994825966724305E-2</v>
      </c>
      <c r="AI21" s="40">
        <f t="shared" si="21"/>
        <v>1.2143761400133705E-2</v>
      </c>
      <c r="AJ21" s="39">
        <f t="shared" si="22"/>
        <v>2.1478341250163784E-2</v>
      </c>
      <c r="AK21" s="37">
        <f t="shared" si="11"/>
        <v>0.13344473565061707</v>
      </c>
      <c r="AL21" s="37">
        <f t="shared" si="12"/>
        <v>0.10826666666666666</v>
      </c>
      <c r="AM21" s="37">
        <f t="shared" si="13"/>
        <v>2.4552000000000001E-2</v>
      </c>
      <c r="AN21" s="40">
        <f t="shared" si="23"/>
        <v>0.13281866666666667</v>
      </c>
      <c r="AO21" s="39">
        <f t="shared" si="14"/>
        <v>6.4754536264956632E-4</v>
      </c>
      <c r="AP21" s="37">
        <f t="shared" si="15"/>
        <v>0.11701800000000001</v>
      </c>
      <c r="AQ21" s="40">
        <f t="shared" si="16"/>
        <v>1.7099999999999999E-3</v>
      </c>
      <c r="AR21" s="39">
        <f t="shared" si="24"/>
        <v>0.26478461784333751</v>
      </c>
      <c r="AS21" s="37">
        <f t="shared" si="25"/>
        <v>0.93333333333333335</v>
      </c>
      <c r="AT21" s="40">
        <f t="shared" si="26"/>
        <v>77.899954041812606</v>
      </c>
    </row>
    <row r="22" spans="17:46" x14ac:dyDescent="0.2">
      <c r="Q22">
        <v>15</v>
      </c>
      <c r="R22" s="39">
        <f t="shared" si="0"/>
        <v>5</v>
      </c>
      <c r="S22" s="37">
        <f t="shared" si="1"/>
        <v>0.2</v>
      </c>
      <c r="T22" s="37">
        <f t="shared" si="2"/>
        <v>3.8</v>
      </c>
      <c r="U22" s="40">
        <f t="shared" si="3"/>
        <v>0.29239766081871343</v>
      </c>
      <c r="V22" s="39">
        <f t="shared" si="4"/>
        <v>1</v>
      </c>
      <c r="W22" s="37">
        <f t="shared" si="5"/>
        <v>0.14811839241547675</v>
      </c>
      <c r="X22" s="40">
        <f t="shared" si="6"/>
        <v>8.1465115828512208E-2</v>
      </c>
      <c r="Y22" s="39">
        <f t="shared" si="7"/>
        <v>0.85280286542244188</v>
      </c>
      <c r="Z22" s="37">
        <f t="shared" si="28"/>
        <v>0.85280286542244188</v>
      </c>
      <c r="AA22" s="37">
        <f t="shared" si="29"/>
        <v>0.23591652773629249</v>
      </c>
      <c r="AB22" s="37">
        <v>0</v>
      </c>
      <c r="AC22" s="37">
        <f t="shared" si="8"/>
        <v>4.9534381172642488E-4</v>
      </c>
      <c r="AD22" s="40">
        <f t="shared" si="19"/>
        <v>4.9534381172642488E-4</v>
      </c>
      <c r="AE22" s="39">
        <f t="shared" si="27"/>
        <v>4.330947146651367E-2</v>
      </c>
      <c r="AF22" s="37">
        <f t="shared" si="20"/>
        <v>0.18949271508535262</v>
      </c>
      <c r="AG22" s="37">
        <f t="shared" si="9"/>
        <v>1.6517444972392566E-4</v>
      </c>
      <c r="AH22" s="37">
        <f t="shared" si="10"/>
        <v>1.2851599250061756E-2</v>
      </c>
      <c r="AI22" s="40">
        <f t="shared" si="21"/>
        <v>1.3016773699785681E-2</v>
      </c>
      <c r="AJ22" s="39">
        <f t="shared" si="22"/>
        <v>2.3820209306582515E-2</v>
      </c>
      <c r="AK22" s="37">
        <f t="shared" si="11"/>
        <v>0.14053155869316414</v>
      </c>
      <c r="AL22" s="37">
        <f t="shared" si="12"/>
        <v>0.11599999999999999</v>
      </c>
      <c r="AM22" s="37">
        <f t="shared" si="13"/>
        <v>2.4552000000000001E-2</v>
      </c>
      <c r="AN22" s="40">
        <f t="shared" si="23"/>
        <v>0.14055199999999998</v>
      </c>
      <c r="AO22" s="39">
        <f t="shared" si="14"/>
        <v>7.1814978140837243E-4</v>
      </c>
      <c r="AP22" s="37">
        <f t="shared" si="15"/>
        <v>0.11701800000000001</v>
      </c>
      <c r="AQ22" s="40">
        <f t="shared" si="16"/>
        <v>1.7099999999999999E-3</v>
      </c>
      <c r="AR22" s="39">
        <f t="shared" si="24"/>
        <v>0.27351026729292049</v>
      </c>
      <c r="AS22" s="37">
        <f t="shared" si="25"/>
        <v>1</v>
      </c>
      <c r="AT22" s="40">
        <f t="shared" si="26"/>
        <v>78.523120361305232</v>
      </c>
    </row>
    <row r="23" spans="17:46" x14ac:dyDescent="0.2">
      <c r="Q23">
        <v>16</v>
      </c>
      <c r="R23" s="39">
        <f t="shared" si="0"/>
        <v>5</v>
      </c>
      <c r="S23" s="37">
        <f t="shared" si="1"/>
        <v>0.21333333333333335</v>
      </c>
      <c r="T23" s="37">
        <f t="shared" si="2"/>
        <v>3.8</v>
      </c>
      <c r="U23" s="40">
        <f t="shared" si="3"/>
        <v>0.31189083820662766</v>
      </c>
      <c r="V23" s="39">
        <f t="shared" si="4"/>
        <v>1</v>
      </c>
      <c r="W23" s="37">
        <f t="shared" si="5"/>
        <v>0.15297601789124171</v>
      </c>
      <c r="X23" s="40">
        <f t="shared" si="6"/>
        <v>8.413680984018293E-2</v>
      </c>
      <c r="Y23" s="39">
        <f t="shared" si="7"/>
        <v>0.88077101210108855</v>
      </c>
      <c r="Z23" s="37">
        <f t="shared" si="28"/>
        <v>0.88077101210108855</v>
      </c>
      <c r="AA23" s="37">
        <f t="shared" si="29"/>
        <v>0.2476166879284416</v>
      </c>
      <c r="AB23" s="37">
        <v>0</v>
      </c>
      <c r="AC23" s="37">
        <f t="shared" si="8"/>
        <v>5.4569481485179595E-4</v>
      </c>
      <c r="AD23" s="40">
        <f t="shared" si="19"/>
        <v>5.4569481485179595E-4</v>
      </c>
      <c r="AE23" s="39">
        <f t="shared" si="27"/>
        <v>4.7711818445611447E-2</v>
      </c>
      <c r="AF23" s="37">
        <f t="shared" si="20"/>
        <v>0.19889050990294235</v>
      </c>
      <c r="AG23" s="37">
        <f t="shared" si="9"/>
        <v>1.819642006754811E-4</v>
      </c>
      <c r="AH23" s="37">
        <f t="shared" si="10"/>
        <v>1.3708372533399207E-2</v>
      </c>
      <c r="AI23" s="40">
        <f t="shared" si="21"/>
        <v>1.3890336734074688E-2</v>
      </c>
      <c r="AJ23" s="39">
        <f t="shared" si="22"/>
        <v>2.6241500145086291E-2</v>
      </c>
      <c r="AK23" s="37">
        <f t="shared" si="11"/>
        <v>0.1475011498639886</v>
      </c>
      <c r="AL23" s="37">
        <f t="shared" si="12"/>
        <v>0.12373333333333333</v>
      </c>
      <c r="AM23" s="37">
        <f t="shared" si="13"/>
        <v>2.4552000000000001E-2</v>
      </c>
      <c r="AN23" s="40">
        <f t="shared" si="23"/>
        <v>0.14828533333333332</v>
      </c>
      <c r="AO23" s="39">
        <f t="shared" si="14"/>
        <v>7.9114869858904824E-4</v>
      </c>
      <c r="AP23" s="37">
        <f t="shared" si="15"/>
        <v>0.11701800000000001</v>
      </c>
      <c r="AQ23" s="40">
        <f t="shared" si="16"/>
        <v>1.7099999999999999E-3</v>
      </c>
      <c r="AR23" s="39">
        <f t="shared" si="24"/>
        <v>0.28224051358084884</v>
      </c>
      <c r="AS23" s="37">
        <f t="shared" si="25"/>
        <v>1.0666666666666667</v>
      </c>
      <c r="AT23" s="40">
        <f t="shared" si="26"/>
        <v>79.076357683183247</v>
      </c>
    </row>
    <row r="24" spans="17:46" x14ac:dyDescent="0.2">
      <c r="Q24">
        <v>17</v>
      </c>
      <c r="R24" s="39">
        <f t="shared" si="0"/>
        <v>5</v>
      </c>
      <c r="S24" s="37">
        <f t="shared" si="1"/>
        <v>0.22666666666666668</v>
      </c>
      <c r="T24" s="37">
        <f t="shared" si="2"/>
        <v>3.8</v>
      </c>
      <c r="U24" s="40">
        <f t="shared" si="3"/>
        <v>0.33138401559454189</v>
      </c>
      <c r="V24" s="39">
        <f t="shared" si="4"/>
        <v>1</v>
      </c>
      <c r="W24" s="37">
        <f t="shared" si="5"/>
        <v>0.15768406998799164</v>
      </c>
      <c r="X24" s="40">
        <f t="shared" si="6"/>
        <v>8.6726238493395391E-2</v>
      </c>
      <c r="Y24" s="39">
        <f t="shared" si="7"/>
        <v>0.90787797871873976</v>
      </c>
      <c r="Z24" s="37">
        <f t="shared" si="28"/>
        <v>0.90787797871873976</v>
      </c>
      <c r="AA24" s="37">
        <f t="shared" si="29"/>
        <v>0.25913532190250022</v>
      </c>
      <c r="AB24" s="37">
        <v>0</v>
      </c>
      <c r="AC24" s="37">
        <f t="shared" si="8"/>
        <v>5.9764492401186045E-4</v>
      </c>
      <c r="AD24" s="40">
        <f t="shared" si="19"/>
        <v>5.9764492401186045E-4</v>
      </c>
      <c r="AE24" s="39">
        <f t="shared" si="27"/>
        <v>5.2253980307911459E-2</v>
      </c>
      <c r="AF24" s="37">
        <f t="shared" si="20"/>
        <v>0.20814249935345927</v>
      </c>
      <c r="AG24" s="37">
        <f t="shared" si="9"/>
        <v>1.9928718017068204E-4</v>
      </c>
      <c r="AH24" s="37">
        <f t="shared" si="10"/>
        <v>1.4565145816736659E-2</v>
      </c>
      <c r="AI24" s="40">
        <f t="shared" si="21"/>
        <v>1.4764432996907341E-2</v>
      </c>
      <c r="AJ24" s="39">
        <f t="shared" si="22"/>
        <v>2.8739689169351299E-2</v>
      </c>
      <c r="AK24" s="37">
        <f t="shared" si="11"/>
        <v>0.15436260888054343</v>
      </c>
      <c r="AL24" s="37">
        <f t="shared" si="12"/>
        <v>0.13146666666666668</v>
      </c>
      <c r="AM24" s="37">
        <f t="shared" si="13"/>
        <v>2.4552000000000001E-2</v>
      </c>
      <c r="AN24" s="40">
        <f t="shared" si="23"/>
        <v>0.15601866666666667</v>
      </c>
      <c r="AO24" s="39">
        <f t="shared" si="14"/>
        <v>8.6646600074209593E-4</v>
      </c>
      <c r="AP24" s="37">
        <f t="shared" si="15"/>
        <v>0.11701800000000001</v>
      </c>
      <c r="AQ24" s="40">
        <f t="shared" si="16"/>
        <v>1.7099999999999999E-3</v>
      </c>
      <c r="AR24" s="39">
        <f t="shared" si="24"/>
        <v>0.29097521058832793</v>
      </c>
      <c r="AS24" s="37">
        <f t="shared" si="25"/>
        <v>1.1333333333333333</v>
      </c>
      <c r="AT24" s="40">
        <f t="shared" si="26"/>
        <v>79.570774055236456</v>
      </c>
    </row>
    <row r="25" spans="17:46" x14ac:dyDescent="0.2">
      <c r="Q25">
        <v>18</v>
      </c>
      <c r="R25" s="39">
        <f t="shared" si="0"/>
        <v>5</v>
      </c>
      <c r="S25" s="37">
        <f t="shared" si="1"/>
        <v>0.24000000000000002</v>
      </c>
      <c r="T25" s="37">
        <f t="shared" si="2"/>
        <v>3.8</v>
      </c>
      <c r="U25" s="40">
        <f t="shared" si="3"/>
        <v>0.35087719298245618</v>
      </c>
      <c r="V25" s="39">
        <f t="shared" si="4"/>
        <v>1</v>
      </c>
      <c r="W25" s="37">
        <f t="shared" si="5"/>
        <v>0.16225556941471744</v>
      </c>
      <c r="X25" s="40">
        <f t="shared" si="6"/>
        <v>8.924056317809459E-2</v>
      </c>
      <c r="Y25" s="39">
        <f t="shared" si="7"/>
        <v>0.93419873299382761</v>
      </c>
      <c r="Z25" s="37">
        <f t="shared" si="28"/>
        <v>0.93419873299382761</v>
      </c>
      <c r="AA25" s="37">
        <f t="shared" si="29"/>
        <v>0.27048569518502663</v>
      </c>
      <c r="AB25" s="37">
        <v>0</v>
      </c>
      <c r="AC25" s="37">
        <f t="shared" si="8"/>
        <v>6.5114635056757162E-4</v>
      </c>
      <c r="AD25" s="40">
        <f t="shared" si="19"/>
        <v>6.5114635056757162E-4</v>
      </c>
      <c r="AE25" s="39">
        <f t="shared" si="27"/>
        <v>5.6931778742006126E-2</v>
      </c>
      <c r="AF25" s="37">
        <f t="shared" si="20"/>
        <v>0.21725933856424295</v>
      </c>
      <c r="AG25" s="37">
        <f t="shared" si="9"/>
        <v>2.1712745288951279E-4</v>
      </c>
      <c r="AH25" s="37">
        <f t="shared" si="10"/>
        <v>1.542191910007411E-2</v>
      </c>
      <c r="AI25" s="40">
        <f t="shared" si="21"/>
        <v>1.5639046552963623E-2</v>
      </c>
      <c r="AJ25" s="39">
        <f t="shared" si="22"/>
        <v>3.1312478308103367E-2</v>
      </c>
      <c r="AK25" s="37">
        <f t="shared" si="11"/>
        <v>0.16112383779675429</v>
      </c>
      <c r="AL25" s="37">
        <f t="shared" si="12"/>
        <v>0.13919999999999999</v>
      </c>
      <c r="AM25" s="37">
        <f t="shared" si="13"/>
        <v>2.4552000000000001E-2</v>
      </c>
      <c r="AN25" s="40">
        <f t="shared" si="23"/>
        <v>0.16375199999999998</v>
      </c>
      <c r="AO25" s="39">
        <f t="shared" si="14"/>
        <v>9.4403240386744689E-4</v>
      </c>
      <c r="AP25" s="37">
        <f t="shared" si="15"/>
        <v>0.11701800000000001</v>
      </c>
      <c r="AQ25" s="40">
        <f t="shared" si="16"/>
        <v>1.7099999999999999E-3</v>
      </c>
      <c r="AR25" s="39">
        <f t="shared" si="24"/>
        <v>0.29971422530739861</v>
      </c>
      <c r="AS25" s="37">
        <f t="shared" si="25"/>
        <v>1.2000000000000002</v>
      </c>
      <c r="AT25" s="40">
        <f t="shared" si="26"/>
        <v>80.015244221213834</v>
      </c>
    </row>
    <row r="26" spans="17:46" x14ac:dyDescent="0.2">
      <c r="Q26">
        <v>19</v>
      </c>
      <c r="R26" s="39">
        <f t="shared" si="0"/>
        <v>5</v>
      </c>
      <c r="S26" s="37">
        <f t="shared" si="1"/>
        <v>0.25333333333333335</v>
      </c>
      <c r="T26" s="37">
        <f t="shared" si="2"/>
        <v>3.8</v>
      </c>
      <c r="U26" s="40">
        <f t="shared" si="3"/>
        <v>0.37037037037037041</v>
      </c>
      <c r="V26" s="39">
        <f t="shared" si="4"/>
        <v>1</v>
      </c>
      <c r="W26" s="37">
        <f t="shared" si="5"/>
        <v>0.16670175069329818</v>
      </c>
      <c r="X26" s="40">
        <f t="shared" si="6"/>
        <v>9.168596288131399E-2</v>
      </c>
      <c r="Y26" s="39">
        <f t="shared" si="7"/>
        <v>0.9597979585371712</v>
      </c>
      <c r="Z26" s="37">
        <f t="shared" si="28"/>
        <v>0.9597979585371712</v>
      </c>
      <c r="AA26" s="37">
        <f t="shared" si="29"/>
        <v>0.28167942400136275</v>
      </c>
      <c r="AB26" s="37">
        <v>0</v>
      </c>
      <c r="AC26" s="37">
        <f t="shared" si="8"/>
        <v>7.0615535136108148E-4</v>
      </c>
      <c r="AD26" s="40">
        <f t="shared" si="19"/>
        <v>7.0615535136108148E-4</v>
      </c>
      <c r="AE26" s="39">
        <f t="shared" si="27"/>
        <v>6.1741389145666001E-2</v>
      </c>
      <c r="AF26" s="37">
        <f t="shared" si="20"/>
        <v>0.22625035791201706</v>
      </c>
      <c r="AG26" s="37">
        <f t="shared" si="9"/>
        <v>2.3547043249445276E-4</v>
      </c>
      <c r="AH26" s="37">
        <f t="shared" si="10"/>
        <v>1.627869238341156E-2</v>
      </c>
      <c r="AI26" s="40">
        <f t="shared" si="21"/>
        <v>1.6514162815906012E-2</v>
      </c>
      <c r="AJ26" s="39">
        <f t="shared" si="22"/>
        <v>3.3957764030116293E-2</v>
      </c>
      <c r="AK26" s="37">
        <f t="shared" si="11"/>
        <v>0.16779175620519529</v>
      </c>
      <c r="AL26" s="37">
        <f t="shared" si="12"/>
        <v>0.14693333333333333</v>
      </c>
      <c r="AM26" s="37">
        <f t="shared" si="13"/>
        <v>2.4552000000000001E-2</v>
      </c>
      <c r="AN26" s="40">
        <f t="shared" si="23"/>
        <v>0.17148533333333332</v>
      </c>
      <c r="AO26" s="39">
        <f t="shared" si="14"/>
        <v>1.0237844891063165E-3</v>
      </c>
      <c r="AP26" s="37">
        <f t="shared" si="15"/>
        <v>0.11701800000000001</v>
      </c>
      <c r="AQ26" s="40">
        <f t="shared" si="16"/>
        <v>1.7099999999999999E-3</v>
      </c>
      <c r="AR26" s="39">
        <f t="shared" si="24"/>
        <v>0.30845743598970676</v>
      </c>
      <c r="AS26" s="37">
        <f t="shared" si="25"/>
        <v>1.2666666666666668</v>
      </c>
      <c r="AT26" s="40">
        <f t="shared" si="26"/>
        <v>80.416943943051365</v>
      </c>
    </row>
    <row r="27" spans="17:46" x14ac:dyDescent="0.2">
      <c r="Q27">
        <v>20</v>
      </c>
      <c r="R27" s="39">
        <f t="shared" si="0"/>
        <v>5</v>
      </c>
      <c r="S27" s="37">
        <f t="shared" si="1"/>
        <v>0.26666666666666666</v>
      </c>
      <c r="T27" s="37">
        <f t="shared" si="2"/>
        <v>3.8</v>
      </c>
      <c r="U27" s="40">
        <f t="shared" si="3"/>
        <v>0.38986354775828458</v>
      </c>
      <c r="V27" s="39">
        <f t="shared" si="4"/>
        <v>1</v>
      </c>
      <c r="W27" s="37">
        <f t="shared" si="5"/>
        <v>0.17103238746602023</v>
      </c>
      <c r="X27" s="40">
        <f t="shared" si="6"/>
        <v>9.4067813106311113E-2</v>
      </c>
      <c r="Y27" s="39">
        <f t="shared" si="7"/>
        <v>0.9847319278346619</v>
      </c>
      <c r="Z27" s="37">
        <f t="shared" si="28"/>
        <v>0.9847319278346619</v>
      </c>
      <c r="AA27" s="37">
        <f t="shared" si="29"/>
        <v>0.292726756071852</v>
      </c>
      <c r="AB27" s="37">
        <v>0</v>
      </c>
      <c r="AC27" s="37">
        <f t="shared" si="8"/>
        <v>7.6263168811111089E-4</v>
      </c>
      <c r="AD27" s="40">
        <f t="shared" si="19"/>
        <v>7.6263168811111089E-4</v>
      </c>
      <c r="AE27" s="39">
        <f t="shared" si="27"/>
        <v>6.6679293359072217E-2</v>
      </c>
      <c r="AF27" s="37">
        <f t="shared" si="20"/>
        <v>0.23512378856383845</v>
      </c>
      <c r="AG27" s="37">
        <f t="shared" si="9"/>
        <v>2.5430270136361799E-4</v>
      </c>
      <c r="AH27" s="37">
        <f t="shared" si="10"/>
        <v>1.7135465666749009E-2</v>
      </c>
      <c r="AI27" s="40">
        <f t="shared" si="21"/>
        <v>1.7389768368112627E-2</v>
      </c>
      <c r="AJ27" s="39">
        <f t="shared" si="22"/>
        <v>3.6673611347489712E-2</v>
      </c>
      <c r="AK27" s="37">
        <f t="shared" si="11"/>
        <v>0.17437246850273388</v>
      </c>
      <c r="AL27" s="37">
        <f t="shared" si="12"/>
        <v>0.15466666666666665</v>
      </c>
      <c r="AM27" s="37">
        <f t="shared" si="13"/>
        <v>2.4552000000000001E-2</v>
      </c>
      <c r="AN27" s="40">
        <f t="shared" si="23"/>
        <v>0.17921866666666664</v>
      </c>
      <c r="AO27" s="39">
        <f t="shared" si="14"/>
        <v>1.105663918972252E-3</v>
      </c>
      <c r="AP27" s="37">
        <f t="shared" si="15"/>
        <v>0.11701800000000001</v>
      </c>
      <c r="AQ27" s="40">
        <f t="shared" si="16"/>
        <v>1.7099999999999999E-3</v>
      </c>
      <c r="AR27" s="39">
        <f t="shared" si="24"/>
        <v>0.31720473064186261</v>
      </c>
      <c r="AS27" s="37">
        <f t="shared" si="25"/>
        <v>1.3333333333333333</v>
      </c>
      <c r="AT27" s="40">
        <f t="shared" si="26"/>
        <v>80.781737933513682</v>
      </c>
    </row>
    <row r="28" spans="17:46" x14ac:dyDescent="0.2">
      <c r="Q28">
        <v>21</v>
      </c>
      <c r="R28" s="39">
        <f t="shared" si="0"/>
        <v>5</v>
      </c>
      <c r="S28" s="37">
        <f t="shared" si="1"/>
        <v>0.28000000000000003</v>
      </c>
      <c r="T28" s="37">
        <f t="shared" si="2"/>
        <v>3.8</v>
      </c>
      <c r="U28" s="40">
        <f t="shared" si="3"/>
        <v>0.40935672514619886</v>
      </c>
      <c r="V28" s="39">
        <f t="shared" si="4"/>
        <v>1</v>
      </c>
      <c r="W28" s="37">
        <f t="shared" si="5"/>
        <v>0.17525604537488351</v>
      </c>
      <c r="X28" s="40">
        <f t="shared" si="6"/>
        <v>9.6390824956185922E-2</v>
      </c>
      <c r="Y28" s="39">
        <f t="shared" si="7"/>
        <v>1.0090499582190262</v>
      </c>
      <c r="Z28" s="37">
        <f t="shared" si="28"/>
        <v>1.0090499582190262</v>
      </c>
      <c r="AA28" s="37">
        <f t="shared" si="29"/>
        <v>0.30363679198294846</v>
      </c>
      <c r="AB28" s="37">
        <v>0</v>
      </c>
      <c r="AC28" s="37">
        <f t="shared" si="8"/>
        <v>8.2053818286669726E-4</v>
      </c>
      <c r="AD28" s="40">
        <f t="shared" si="19"/>
        <v>8.2053818286669726E-4</v>
      </c>
      <c r="AE28" s="39">
        <f t="shared" si="27"/>
        <v>7.174224079673594E-2</v>
      </c>
      <c r="AF28" s="37">
        <f t="shared" si="20"/>
        <v>0.24388694028665153</v>
      </c>
      <c r="AG28" s="37">
        <f t="shared" si="9"/>
        <v>2.7361186235496976E-4</v>
      </c>
      <c r="AH28" s="37">
        <f t="shared" si="10"/>
        <v>1.7992238950086458E-2</v>
      </c>
      <c r="AI28" s="40">
        <f t="shared" si="21"/>
        <v>1.8265850812441427E-2</v>
      </c>
      <c r="AJ28" s="39">
        <f t="shared" si="22"/>
        <v>3.9458232438204767E-2</v>
      </c>
      <c r="AK28" s="37">
        <f t="shared" si="11"/>
        <v>0.18087139575762554</v>
      </c>
      <c r="AL28" s="37">
        <f t="shared" si="12"/>
        <v>0.16240000000000002</v>
      </c>
      <c r="AM28" s="37">
        <f t="shared" si="13"/>
        <v>2.4552000000000001E-2</v>
      </c>
      <c r="AN28" s="40">
        <f t="shared" si="23"/>
        <v>0.18695200000000001</v>
      </c>
      <c r="AO28" s="39">
        <f t="shared" si="14"/>
        <v>1.1896167928476945E-3</v>
      </c>
      <c r="AP28" s="37">
        <f t="shared" si="15"/>
        <v>0.11701800000000001</v>
      </c>
      <c r="AQ28" s="40">
        <f t="shared" si="16"/>
        <v>1.7099999999999999E-3</v>
      </c>
      <c r="AR28" s="39">
        <f t="shared" si="24"/>
        <v>0.32595600578815581</v>
      </c>
      <c r="AS28" s="37">
        <f t="shared" si="25"/>
        <v>1.4000000000000001</v>
      </c>
      <c r="AT28" s="40">
        <f t="shared" si="26"/>
        <v>81.11446614542713</v>
      </c>
    </row>
    <row r="29" spans="17:46" x14ac:dyDescent="0.2">
      <c r="Q29">
        <v>22</v>
      </c>
      <c r="R29" s="39">
        <f t="shared" si="0"/>
        <v>5</v>
      </c>
      <c r="S29" s="37">
        <f t="shared" si="1"/>
        <v>0.29333333333333333</v>
      </c>
      <c r="T29" s="37">
        <f t="shared" si="2"/>
        <v>3.8</v>
      </c>
      <c r="U29" s="40">
        <f t="shared" si="3"/>
        <v>0.42884990253411309</v>
      </c>
      <c r="V29" s="39">
        <f t="shared" si="4"/>
        <v>1</v>
      </c>
      <c r="W29" s="37">
        <f t="shared" si="5"/>
        <v>0.17938028129802777</v>
      </c>
      <c r="X29" s="40">
        <f t="shared" si="6"/>
        <v>9.8659154713915259E-2</v>
      </c>
      <c r="Y29" s="39">
        <f t="shared" si="7"/>
        <v>1.0327955589886446</v>
      </c>
      <c r="Z29" s="37">
        <f t="shared" si="28"/>
        <v>1.0327955589886446</v>
      </c>
      <c r="AA29" s="37">
        <f t="shared" si="29"/>
        <v>0.31441766193644366</v>
      </c>
      <c r="AB29" s="37">
        <v>0</v>
      </c>
      <c r="AC29" s="37">
        <f t="shared" si="8"/>
        <v>8.7984034862445993E-4</v>
      </c>
      <c r="AD29" s="40">
        <f t="shared" si="19"/>
        <v>8.7984034862445993E-4</v>
      </c>
      <c r="AE29" s="39">
        <f t="shared" si="27"/>
        <v>7.6927216151201003E-2</v>
      </c>
      <c r="AF29" s="37">
        <f t="shared" si="20"/>
        <v>0.25254634341568305</v>
      </c>
      <c r="AG29" s="37">
        <f t="shared" si="9"/>
        <v>2.9338641563410772E-4</v>
      </c>
      <c r="AH29" s="37">
        <f t="shared" si="10"/>
        <v>1.884901223342391E-2</v>
      </c>
      <c r="AI29" s="40">
        <f t="shared" si="21"/>
        <v>1.9142398649058017E-2</v>
      </c>
      <c r="AJ29" s="39">
        <f t="shared" si="22"/>
        <v>4.2309968883160541E-2</v>
      </c>
      <c r="AK29" s="37">
        <f t="shared" si="11"/>
        <v>0.18729338099609302</v>
      </c>
      <c r="AL29" s="37">
        <f t="shared" si="12"/>
        <v>0.17013333333333333</v>
      </c>
      <c r="AM29" s="37">
        <f t="shared" si="13"/>
        <v>2.4552000000000001E-2</v>
      </c>
      <c r="AN29" s="40">
        <f t="shared" si="23"/>
        <v>0.19468533333333332</v>
      </c>
      <c r="AO29" s="39">
        <f t="shared" si="14"/>
        <v>1.2755931114526423E-3</v>
      </c>
      <c r="AP29" s="37">
        <f t="shared" si="15"/>
        <v>0.11701800000000001</v>
      </c>
      <c r="AQ29" s="40">
        <f t="shared" si="16"/>
        <v>1.7099999999999999E-3</v>
      </c>
      <c r="AR29" s="39">
        <f t="shared" si="24"/>
        <v>0.33471116544246843</v>
      </c>
      <c r="AS29" s="37">
        <f t="shared" si="25"/>
        <v>1.4666666666666668</v>
      </c>
      <c r="AT29" s="40">
        <f t="shared" si="26"/>
        <v>81.419158186787868</v>
      </c>
    </row>
    <row r="30" spans="17:46" x14ac:dyDescent="0.2">
      <c r="Q30">
        <v>23</v>
      </c>
      <c r="R30" s="39">
        <f t="shared" si="0"/>
        <v>5</v>
      </c>
      <c r="S30" s="37">
        <f t="shared" si="1"/>
        <v>0.3066666666666667</v>
      </c>
      <c r="T30" s="37">
        <f t="shared" si="2"/>
        <v>3.8</v>
      </c>
      <c r="U30" s="40">
        <f t="shared" si="3"/>
        <v>0.44834307992202732</v>
      </c>
      <c r="V30" s="39">
        <f t="shared" si="4"/>
        <v>1</v>
      </c>
      <c r="W30" s="37">
        <f t="shared" si="5"/>
        <v>0.18341180222841688</v>
      </c>
      <c r="X30" s="40">
        <f t="shared" si="6"/>
        <v>0.10087649122562928</v>
      </c>
      <c r="Y30" s="39">
        <f t="shared" si="7"/>
        <v>1.0560073461636124</v>
      </c>
      <c r="Z30" s="37">
        <f t="shared" si="28"/>
        <v>1.0560073461636124</v>
      </c>
      <c r="AA30" s="37">
        <f t="shared" si="29"/>
        <v>0.32507666848766525</v>
      </c>
      <c r="AB30" s="37">
        <v>0</v>
      </c>
      <c r="AC30" s="37">
        <f t="shared" si="8"/>
        <v>9.4050607951585074E-4</v>
      </c>
      <c r="AD30" s="40">
        <f t="shared" si="19"/>
        <v>9.4050607951585074E-4</v>
      </c>
      <c r="AE30" s="39">
        <f t="shared" si="27"/>
        <v>8.2231412305138182E-2</v>
      </c>
      <c r="AF30" s="37">
        <f t="shared" si="20"/>
        <v>0.26110786350452259</v>
      </c>
      <c r="AG30" s="37">
        <f t="shared" si="9"/>
        <v>3.1361565536592342E-4</v>
      </c>
      <c r="AH30" s="37">
        <f t="shared" si="10"/>
        <v>1.9705785516761363E-2</v>
      </c>
      <c r="AI30" s="40">
        <f t="shared" si="21"/>
        <v>2.0019401172127287E-2</v>
      </c>
      <c r="AJ30" s="39">
        <f t="shared" si="22"/>
        <v>4.5227276767825994E-2</v>
      </c>
      <c r="AK30" s="37">
        <f t="shared" si="11"/>
        <v>0.19364277422910212</v>
      </c>
      <c r="AL30" s="37">
        <f t="shared" si="12"/>
        <v>0.17786666666666667</v>
      </c>
      <c r="AM30" s="37">
        <f t="shared" si="13"/>
        <v>2.4552000000000001E-2</v>
      </c>
      <c r="AN30" s="40">
        <f t="shared" si="23"/>
        <v>0.20241866666666666</v>
      </c>
      <c r="AO30" s="39">
        <f t="shared" si="14"/>
        <v>1.3635463276779282E-3</v>
      </c>
      <c r="AP30" s="37">
        <f t="shared" si="15"/>
        <v>0.11701800000000001</v>
      </c>
      <c r="AQ30" s="40">
        <f t="shared" si="16"/>
        <v>1.7099999999999999E-3</v>
      </c>
      <c r="AR30" s="39">
        <f t="shared" si="24"/>
        <v>0.34347012024598772</v>
      </c>
      <c r="AS30" s="37">
        <f t="shared" si="25"/>
        <v>1.5333333333333334</v>
      </c>
      <c r="AT30" s="40">
        <f t="shared" si="26"/>
        <v>81.699196067071213</v>
      </c>
    </row>
    <row r="31" spans="17:46" x14ac:dyDescent="0.2">
      <c r="Q31">
        <v>24</v>
      </c>
      <c r="R31" s="39">
        <f t="shared" si="0"/>
        <v>5</v>
      </c>
      <c r="S31" s="37">
        <f t="shared" si="1"/>
        <v>0.32</v>
      </c>
      <c r="T31" s="37">
        <f t="shared" si="2"/>
        <v>3.8</v>
      </c>
      <c r="U31" s="40">
        <f t="shared" si="3"/>
        <v>0.46783625730994155</v>
      </c>
      <c r="V31" s="39">
        <f t="shared" si="4"/>
        <v>1</v>
      </c>
      <c r="W31" s="37">
        <f t="shared" si="5"/>
        <v>0.18735659335820626</v>
      </c>
      <c r="X31" s="40">
        <f t="shared" si="6"/>
        <v>0.10304612634701343</v>
      </c>
      <c r="Y31" s="39">
        <f t="shared" si="7"/>
        <v>1.0787197799411874</v>
      </c>
      <c r="Z31" s="37">
        <f t="shared" si="28"/>
        <v>1.0787197799411874</v>
      </c>
      <c r="AA31" s="37">
        <f t="shared" si="29"/>
        <v>0.33562040300906026</v>
      </c>
      <c r="AB31" s="37">
        <v>0</v>
      </c>
      <c r="AC31" s="37">
        <f t="shared" si="8"/>
        <v>1.0025053887520799E-3</v>
      </c>
      <c r="AD31" s="40">
        <f t="shared" si="19"/>
        <v>1.0025053887520799E-3</v>
      </c>
      <c r="AE31" s="39">
        <f t="shared" si="27"/>
        <v>8.7652207419043865E-2</v>
      </c>
      <c r="AF31" s="37">
        <f t="shared" si="20"/>
        <v>0.26957679487092362</v>
      </c>
      <c r="AG31" s="37">
        <f t="shared" si="9"/>
        <v>3.3428958233124815E-4</v>
      </c>
      <c r="AH31" s="37">
        <f t="shared" si="10"/>
        <v>2.0562558800098812E-2</v>
      </c>
      <c r="AI31" s="40">
        <f t="shared" si="21"/>
        <v>2.0896848382430059E-2</v>
      </c>
      <c r="AJ31" s="39">
        <f t="shared" si="22"/>
        <v>4.8208714080474127E-2</v>
      </c>
      <c r="AK31" s="37">
        <f t="shared" si="11"/>
        <v>0.19992350182778412</v>
      </c>
      <c r="AL31" s="37">
        <f t="shared" si="12"/>
        <v>0.18559999999999999</v>
      </c>
      <c r="AM31" s="37">
        <f t="shared" si="13"/>
        <v>2.4552000000000001E-2</v>
      </c>
      <c r="AN31" s="40">
        <f t="shared" si="23"/>
        <v>0.21015199999999998</v>
      </c>
      <c r="AO31" s="39">
        <f t="shared" si="14"/>
        <v>1.4534329666576007E-3</v>
      </c>
      <c r="AP31" s="37">
        <f t="shared" si="15"/>
        <v>0.11701800000000001</v>
      </c>
      <c r="AQ31" s="40">
        <f t="shared" si="16"/>
        <v>1.7099999999999999E-3</v>
      </c>
      <c r="AR31" s="39">
        <f t="shared" si="24"/>
        <v>0.3522327867378397</v>
      </c>
      <c r="AS31" s="37">
        <f t="shared" si="25"/>
        <v>1.6</v>
      </c>
      <c r="AT31" s="40">
        <f t="shared" si="26"/>
        <v>81.957439239281655</v>
      </c>
    </row>
    <row r="32" spans="17:46" x14ac:dyDescent="0.2">
      <c r="Q32">
        <v>25</v>
      </c>
      <c r="R32" s="39">
        <f t="shared" si="0"/>
        <v>5</v>
      </c>
      <c r="S32" s="37">
        <f t="shared" si="1"/>
        <v>0.33333333333333337</v>
      </c>
      <c r="T32" s="37">
        <f t="shared" si="2"/>
        <v>3.8</v>
      </c>
      <c r="U32" s="40">
        <f t="shared" si="3"/>
        <v>0.48732943469785583</v>
      </c>
      <c r="V32" s="39">
        <f t="shared" si="4"/>
        <v>1</v>
      </c>
      <c r="W32" s="37">
        <f t="shared" si="5"/>
        <v>0.19122002236405214</v>
      </c>
      <c r="X32" s="40">
        <f t="shared" si="6"/>
        <v>0.10517101230022866</v>
      </c>
      <c r="Y32" s="39">
        <f t="shared" si="7"/>
        <v>1.1009637651263606</v>
      </c>
      <c r="Z32" s="37">
        <f t="shared" si="28"/>
        <v>1.1009637651263606</v>
      </c>
      <c r="AA32" s="37">
        <f t="shared" si="29"/>
        <v>0.34605484160709188</v>
      </c>
      <c r="AB32" s="37">
        <v>0</v>
      </c>
      <c r="AC32" s="37">
        <f t="shared" si="8"/>
        <v>1.0658101852574139E-3</v>
      </c>
      <c r="AD32" s="40">
        <f t="shared" si="19"/>
        <v>1.0658101852574139E-3</v>
      </c>
      <c r="AE32" s="39">
        <f t="shared" si="27"/>
        <v>9.3187145401584875E-2</v>
      </c>
      <c r="AF32" s="37">
        <f t="shared" si="20"/>
        <v>0.27795793763910881</v>
      </c>
      <c r="AG32" s="37">
        <f t="shared" si="9"/>
        <v>3.5539882944429882E-4</v>
      </c>
      <c r="AH32" s="37">
        <f t="shared" si="10"/>
        <v>2.1419332083436268E-2</v>
      </c>
      <c r="AI32" s="40">
        <f t="shared" si="21"/>
        <v>2.1774730912880565E-2</v>
      </c>
      <c r="AJ32" s="39">
        <f t="shared" si="22"/>
        <v>5.125292997087167E-2</v>
      </c>
      <c r="AK32" s="37">
        <f t="shared" si="11"/>
        <v>0.20613912365953893</v>
      </c>
      <c r="AL32" s="37">
        <f t="shared" si="12"/>
        <v>0.19333333333333333</v>
      </c>
      <c r="AM32" s="37">
        <f t="shared" si="13"/>
        <v>2.4552000000000001E-2</v>
      </c>
      <c r="AN32" s="40">
        <f t="shared" si="23"/>
        <v>0.21788533333333332</v>
      </c>
      <c r="AO32" s="39">
        <f t="shared" si="14"/>
        <v>1.545212301931734E-3</v>
      </c>
      <c r="AP32" s="37">
        <f t="shared" si="15"/>
        <v>0.11701800000000001</v>
      </c>
      <c r="AQ32" s="40">
        <f t="shared" si="16"/>
        <v>1.7099999999999999E-3</v>
      </c>
      <c r="AR32" s="39">
        <f t="shared" si="24"/>
        <v>0.36099908673340309</v>
      </c>
      <c r="AS32" s="37">
        <f t="shared" si="25"/>
        <v>1.666666666666667</v>
      </c>
      <c r="AT32" s="40">
        <f t="shared" si="26"/>
        <v>82.196321749377802</v>
      </c>
    </row>
    <row r="33" spans="17:46" x14ac:dyDescent="0.2">
      <c r="Q33">
        <v>26</v>
      </c>
      <c r="R33" s="39">
        <f t="shared" si="0"/>
        <v>5</v>
      </c>
      <c r="S33" s="37">
        <f t="shared" si="1"/>
        <v>0.34666666666666668</v>
      </c>
      <c r="T33" s="37">
        <f t="shared" si="2"/>
        <v>3.8</v>
      </c>
      <c r="U33" s="40">
        <f t="shared" si="3"/>
        <v>0.50682261208577006</v>
      </c>
      <c r="V33" s="39">
        <f t="shared" si="4"/>
        <v>1</v>
      </c>
      <c r="W33" s="37">
        <f t="shared" si="5"/>
        <v>0.19500692508479009</v>
      </c>
      <c r="X33" s="40">
        <f t="shared" si="6"/>
        <v>0.10725380879663454</v>
      </c>
      <c r="Y33" s="39">
        <f t="shared" si="7"/>
        <v>1.1227671444275793</v>
      </c>
      <c r="Z33" s="37">
        <f t="shared" si="28"/>
        <v>1.1227671444275793</v>
      </c>
      <c r="AA33" s="37">
        <f t="shared" si="29"/>
        <v>0.35638542479276542</v>
      </c>
      <c r="AB33" s="37">
        <v>0</v>
      </c>
      <c r="AC33" s="37">
        <f t="shared" si="8"/>
        <v>1.1303940819420066E-3</v>
      </c>
      <c r="AD33" s="40">
        <f t="shared" si="19"/>
        <v>1.1303940819420066E-3</v>
      </c>
      <c r="AE33" s="39">
        <f t="shared" si="27"/>
        <v>9.8833919146287391E-2</v>
      </c>
      <c r="AF33" s="37">
        <f t="shared" si="20"/>
        <v>0.28625566173267697</v>
      </c>
      <c r="AG33" s="37">
        <f t="shared" si="9"/>
        <v>3.7693459782045882E-4</v>
      </c>
      <c r="AH33" s="37">
        <f t="shared" si="10"/>
        <v>2.2276105366773716E-2</v>
      </c>
      <c r="AI33" s="40">
        <f t="shared" si="21"/>
        <v>2.2653039964594175E-2</v>
      </c>
      <c r="AJ33" s="39">
        <f t="shared" si="22"/>
        <v>5.4358655530458058E-2</v>
      </c>
      <c r="AK33" s="37">
        <f t="shared" si="11"/>
        <v>0.21229288054644468</v>
      </c>
      <c r="AL33" s="37">
        <f t="shared" si="12"/>
        <v>0.20106666666666667</v>
      </c>
      <c r="AM33" s="37">
        <f t="shared" si="13"/>
        <v>2.4552000000000001E-2</v>
      </c>
      <c r="AN33" s="40">
        <f t="shared" si="23"/>
        <v>0.22561866666666666</v>
      </c>
      <c r="AO33" s="39">
        <f t="shared" si="14"/>
        <v>1.6388460774802557E-3</v>
      </c>
      <c r="AP33" s="37">
        <f t="shared" si="15"/>
        <v>0.11701800000000001</v>
      </c>
      <c r="AQ33" s="40">
        <f t="shared" si="16"/>
        <v>1.7099999999999999E-3</v>
      </c>
      <c r="AR33" s="39">
        <f t="shared" si="24"/>
        <v>0.36976894679068306</v>
      </c>
      <c r="AS33" s="37">
        <f t="shared" si="25"/>
        <v>1.7333333333333334</v>
      </c>
      <c r="AT33" s="40">
        <f t="shared" si="26"/>
        <v>82.417928491386633</v>
      </c>
    </row>
    <row r="34" spans="17:46" x14ac:dyDescent="0.2">
      <c r="Q34">
        <v>27</v>
      </c>
      <c r="R34" s="39">
        <f t="shared" si="0"/>
        <v>5</v>
      </c>
      <c r="S34" s="37">
        <f t="shared" si="1"/>
        <v>0.36000000000000004</v>
      </c>
      <c r="T34" s="37">
        <f t="shared" si="2"/>
        <v>3.8</v>
      </c>
      <c r="U34" s="40">
        <f t="shared" si="3"/>
        <v>0.52631578947368429</v>
      </c>
      <c r="V34" s="39">
        <f t="shared" si="4"/>
        <v>1</v>
      </c>
      <c r="W34" s="37">
        <f t="shared" si="5"/>
        <v>0.19872167649539718</v>
      </c>
      <c r="X34" s="40">
        <f t="shared" si="6"/>
        <v>0.10929692207246845</v>
      </c>
      <c r="Y34" s="39">
        <f t="shared" si="7"/>
        <v>1.1441551070947109</v>
      </c>
      <c r="Z34" s="37">
        <f t="shared" si="28"/>
        <v>1.1441551070947109</v>
      </c>
      <c r="AA34" s="37">
        <f t="shared" si="29"/>
        <v>0.36661712417548775</v>
      </c>
      <c r="AB34" s="37">
        <v>0</v>
      </c>
      <c r="AC34" s="37">
        <f t="shared" si="8"/>
        <v>1.1962322300744746E-3</v>
      </c>
      <c r="AD34" s="40">
        <f t="shared" si="19"/>
        <v>1.1962322300744746E-3</v>
      </c>
      <c r="AE34" s="39">
        <f t="shared" si="27"/>
        <v>0.10459035605020905</v>
      </c>
      <c r="AF34" s="37">
        <f t="shared" si="20"/>
        <v>0.29447396044439944</v>
      </c>
      <c r="AG34" s="37">
        <f t="shared" si="9"/>
        <v>3.9888860154712474E-4</v>
      </c>
      <c r="AH34" s="37">
        <f t="shared" si="10"/>
        <v>2.3132878650111165E-2</v>
      </c>
      <c r="AI34" s="40">
        <f t="shared" si="21"/>
        <v>2.353176725165829E-2</v>
      </c>
      <c r="AJ34" s="39">
        <f t="shared" si="22"/>
        <v>5.7524695827614984E-2</v>
      </c>
      <c r="AK34" s="37">
        <f t="shared" si="11"/>
        <v>0.2183877339936823</v>
      </c>
      <c r="AL34" s="37">
        <f t="shared" si="12"/>
        <v>0.20880000000000001</v>
      </c>
      <c r="AM34" s="37">
        <f t="shared" si="13"/>
        <v>2.4552000000000001E-2</v>
      </c>
      <c r="AN34" s="40">
        <f t="shared" si="23"/>
        <v>0.233352</v>
      </c>
      <c r="AO34" s="39">
        <f t="shared" si="14"/>
        <v>1.7342982675961946E-3</v>
      </c>
      <c r="AP34" s="37">
        <f t="shared" si="15"/>
        <v>0.11701800000000001</v>
      </c>
      <c r="AQ34" s="40">
        <f t="shared" si="16"/>
        <v>1.7099999999999999E-3</v>
      </c>
      <c r="AR34" s="39">
        <f t="shared" si="24"/>
        <v>0.37854229774932896</v>
      </c>
      <c r="AS34" s="37">
        <f t="shared" si="25"/>
        <v>1.8000000000000003</v>
      </c>
      <c r="AT34" s="40">
        <f t="shared" si="26"/>
        <v>82.62405562928916</v>
      </c>
    </row>
    <row r="35" spans="17:46" x14ac:dyDescent="0.2">
      <c r="Q35">
        <v>28</v>
      </c>
      <c r="R35" s="39">
        <f t="shared" si="0"/>
        <v>5</v>
      </c>
      <c r="S35" s="37">
        <f t="shared" si="1"/>
        <v>0.37333333333333335</v>
      </c>
      <c r="T35" s="37">
        <f t="shared" si="2"/>
        <v>3.8</v>
      </c>
      <c r="U35" s="40">
        <f t="shared" si="3"/>
        <v>0.54580896686159841</v>
      </c>
      <c r="V35" s="39">
        <f t="shared" si="4"/>
        <v>1</v>
      </c>
      <c r="W35" s="37">
        <f t="shared" si="5"/>
        <v>0.20236824994859651</v>
      </c>
      <c r="X35" s="40">
        <f t="shared" si="6"/>
        <v>0.11130253747172808</v>
      </c>
      <c r="Y35" s="39">
        <f t="shared" si="7"/>
        <v>1.1651505300070706</v>
      </c>
      <c r="Z35" s="37">
        <f t="shared" si="28"/>
        <v>1.1651505300070706</v>
      </c>
      <c r="AA35" s="37">
        <f t="shared" si="29"/>
        <v>0.37675449869534033</v>
      </c>
      <c r="AB35" s="37">
        <v>0</v>
      </c>
      <c r="AC35" s="37">
        <f t="shared" si="8"/>
        <v>1.2633011753558773E-3</v>
      </c>
      <c r="AD35" s="40">
        <f t="shared" si="19"/>
        <v>1.2633011753558773E-3</v>
      </c>
      <c r="AE35" s="39">
        <f t="shared" si="27"/>
        <v>0.11045440543003318</v>
      </c>
      <c r="AF35" s="37">
        <f t="shared" si="20"/>
        <v>0.30261649560306864</v>
      </c>
      <c r="AG35" s="37">
        <f t="shared" si="9"/>
        <v>4.2125301969097749E-4</v>
      </c>
      <c r="AH35" s="37">
        <f t="shared" si="10"/>
        <v>2.3989651933448611E-2</v>
      </c>
      <c r="AI35" s="40">
        <f t="shared" si="21"/>
        <v>2.4410904953139589E-2</v>
      </c>
      <c r="AJ35" s="39">
        <f t="shared" si="22"/>
        <v>6.0749922986518247E-2</v>
      </c>
      <c r="AK35" s="37">
        <f t="shared" si="11"/>
        <v>0.2244263996861669</v>
      </c>
      <c r="AL35" s="37">
        <f t="shared" si="12"/>
        <v>0.21653333333333333</v>
      </c>
      <c r="AM35" s="37">
        <f t="shared" si="13"/>
        <v>2.4552000000000001E-2</v>
      </c>
      <c r="AN35" s="40">
        <f t="shared" si="23"/>
        <v>0.24108533333333332</v>
      </c>
      <c r="AO35" s="39">
        <f t="shared" si="14"/>
        <v>1.8315348682216412E-3</v>
      </c>
      <c r="AP35" s="37">
        <f t="shared" si="15"/>
        <v>0.11701800000000001</v>
      </c>
      <c r="AQ35" s="40">
        <f t="shared" si="16"/>
        <v>1.7099999999999999E-3</v>
      </c>
      <c r="AR35" s="39">
        <f t="shared" si="24"/>
        <v>0.38731907433005042</v>
      </c>
      <c r="AS35" s="37">
        <f t="shared" si="25"/>
        <v>1.8666666666666667</v>
      </c>
      <c r="AT35" s="40">
        <f t="shared" si="26"/>
        <v>82.816258892623836</v>
      </c>
    </row>
    <row r="36" spans="17:46" x14ac:dyDescent="0.2">
      <c r="Q36">
        <v>29</v>
      </c>
      <c r="R36" s="39">
        <f t="shared" si="0"/>
        <v>5</v>
      </c>
      <c r="S36" s="37">
        <f t="shared" si="1"/>
        <v>0.38666666666666671</v>
      </c>
      <c r="T36" s="37">
        <f t="shared" si="2"/>
        <v>3.8</v>
      </c>
      <c r="U36" s="40">
        <f t="shared" si="3"/>
        <v>0.56530214424951275</v>
      </c>
      <c r="V36" s="39">
        <f t="shared" si="4"/>
        <v>1</v>
      </c>
      <c r="W36" s="37">
        <f t="shared" si="5"/>
        <v>0.20595026697087326</v>
      </c>
      <c r="X36" s="40">
        <f t="shared" si="6"/>
        <v>0.11327264683398029</v>
      </c>
      <c r="Y36" s="39">
        <f t="shared" si="7"/>
        <v>1.1857742643777551</v>
      </c>
      <c r="Z36" s="37">
        <f t="shared" si="28"/>
        <v>1.1857742643777551</v>
      </c>
      <c r="AA36" s="37">
        <f t="shared" si="29"/>
        <v>0.3868017423490942</v>
      </c>
      <c r="AB36" s="37">
        <v>0</v>
      </c>
      <c r="AC36" s="37">
        <f t="shared" si="8"/>
        <v>1.3315787321702259E-3</v>
      </c>
      <c r="AD36" s="40">
        <f t="shared" si="19"/>
        <v>1.3315787321702259E-3</v>
      </c>
      <c r="AE36" s="39">
        <f t="shared" si="27"/>
        <v>0.11642412752739426</v>
      </c>
      <c r="AF36" s="37">
        <f t="shared" si="20"/>
        <v>0.31068663590795664</v>
      </c>
      <c r="AG36" s="37">
        <f t="shared" si="9"/>
        <v>4.440204543662948E-4</v>
      </c>
      <c r="AH36" s="37">
        <f t="shared" si="10"/>
        <v>2.4846425216786067E-2</v>
      </c>
      <c r="AI36" s="40">
        <f t="shared" si="21"/>
        <v>2.5290445671152361E-2</v>
      </c>
      <c r="AJ36" s="39">
        <f t="shared" si="22"/>
        <v>6.4033270140066836E-2</v>
      </c>
      <c r="AK36" s="37">
        <f t="shared" si="11"/>
        <v>0.23041137591814292</v>
      </c>
      <c r="AL36" s="37">
        <f t="shared" si="12"/>
        <v>0.22426666666666667</v>
      </c>
      <c r="AM36" s="37">
        <f t="shared" si="13"/>
        <v>2.4552000000000001E-2</v>
      </c>
      <c r="AN36" s="40">
        <f t="shared" si="23"/>
        <v>0.24881866666666666</v>
      </c>
      <c r="AO36" s="39">
        <f t="shared" si="14"/>
        <v>1.9305237146360643E-3</v>
      </c>
      <c r="AP36" s="37">
        <f t="shared" si="15"/>
        <v>0.11701800000000001</v>
      </c>
      <c r="AQ36" s="40">
        <f t="shared" si="16"/>
        <v>1.7099999999999999E-3</v>
      </c>
      <c r="AR36" s="39">
        <f t="shared" si="24"/>
        <v>0.39609921478462529</v>
      </c>
      <c r="AS36" s="37">
        <f t="shared" si="25"/>
        <v>1.9333333333333336</v>
      </c>
      <c r="AT36" s="40">
        <f t="shared" si="26"/>
        <v>82.995892493017251</v>
      </c>
    </row>
    <row r="37" spans="17:46" x14ac:dyDescent="0.2">
      <c r="Q37">
        <v>30</v>
      </c>
      <c r="R37" s="39">
        <f t="shared" si="0"/>
        <v>5</v>
      </c>
      <c r="S37" s="37">
        <f t="shared" si="1"/>
        <v>0.4</v>
      </c>
      <c r="T37" s="37">
        <f t="shared" si="2"/>
        <v>3.8</v>
      </c>
      <c r="U37" s="40">
        <f t="shared" si="3"/>
        <v>0.58479532163742687</v>
      </c>
      <c r="V37" s="39">
        <f t="shared" si="4"/>
        <v>1</v>
      </c>
      <c r="W37" s="37">
        <f t="shared" si="5"/>
        <v>0.20947103939086739</v>
      </c>
      <c r="X37" s="40">
        <f t="shared" si="6"/>
        <v>0.11520907166497704</v>
      </c>
      <c r="Y37" s="39">
        <f t="shared" si="7"/>
        <v>1.2060453783110545</v>
      </c>
      <c r="Z37" s="37">
        <f t="shared" si="28"/>
        <v>1.2060453783110545</v>
      </c>
      <c r="AA37" s="37">
        <f t="shared" si="29"/>
        <v>0.39676272494510367</v>
      </c>
      <c r="AB37" s="37">
        <v>0</v>
      </c>
      <c r="AC37" s="37">
        <f t="shared" si="8"/>
        <v>1.4010438731621895E-3</v>
      </c>
      <c r="AD37" s="40">
        <f t="shared" si="19"/>
        <v>1.4010438731621895E-3</v>
      </c>
      <c r="AE37" s="39">
        <f t="shared" si="27"/>
        <v>0.12249768385430841</v>
      </c>
      <c r="AF37" s="37">
        <f t="shared" si="20"/>
        <v>0.3186874896639329</v>
      </c>
      <c r="AG37" s="37">
        <f t="shared" si="9"/>
        <v>4.6718389391417692E-4</v>
      </c>
      <c r="AH37" s="37">
        <f t="shared" si="10"/>
        <v>2.5703198500123512E-2</v>
      </c>
      <c r="AI37" s="40">
        <f t="shared" si="21"/>
        <v>2.617038239403769E-2</v>
      </c>
      <c r="AJ37" s="39">
        <f t="shared" si="22"/>
        <v>6.7373726119869609E-2</v>
      </c>
      <c r="AK37" s="37">
        <f t="shared" si="11"/>
        <v>0.23634496787019738</v>
      </c>
      <c r="AL37" s="37">
        <f t="shared" si="12"/>
        <v>0.23199999999999998</v>
      </c>
      <c r="AM37" s="37">
        <f t="shared" si="13"/>
        <v>2.4552000000000001E-2</v>
      </c>
      <c r="AN37" s="40">
        <f t="shared" si="23"/>
        <v>0.256552</v>
      </c>
      <c r="AO37" s="39">
        <f t="shared" si="14"/>
        <v>2.0312343213659866E-3</v>
      </c>
      <c r="AP37" s="37">
        <f t="shared" si="15"/>
        <v>0.11701800000000001</v>
      </c>
      <c r="AQ37" s="40">
        <f t="shared" si="16"/>
        <v>1.7099999999999999E-3</v>
      </c>
      <c r="AR37" s="39">
        <f t="shared" si="24"/>
        <v>0.40488266058856587</v>
      </c>
      <c r="AS37" s="37">
        <f t="shared" si="25"/>
        <v>2</v>
      </c>
      <c r="AT37" s="40">
        <f t="shared" si="26"/>
        <v>83.164140719885452</v>
      </c>
    </row>
    <row r="38" spans="17:46" x14ac:dyDescent="0.2">
      <c r="Q38">
        <v>31</v>
      </c>
      <c r="R38" s="39">
        <f t="shared" si="0"/>
        <v>5</v>
      </c>
      <c r="S38" s="37">
        <f t="shared" si="1"/>
        <v>0.41333333333333339</v>
      </c>
      <c r="T38" s="37">
        <f t="shared" si="2"/>
        <v>3.8</v>
      </c>
      <c r="U38" s="40">
        <f t="shared" si="3"/>
        <v>0.60428849902534121</v>
      </c>
      <c r="V38" s="39">
        <f t="shared" si="4"/>
        <v>1</v>
      </c>
      <c r="W38" s="37">
        <f t="shared" si="5"/>
        <v>0.21293360519562587</v>
      </c>
      <c r="X38" s="40">
        <f t="shared" si="6"/>
        <v>0.11711348285759419</v>
      </c>
      <c r="Y38" s="39">
        <f t="shared" si="7"/>
        <v>1.2259813632475429</v>
      </c>
      <c r="Z38" s="37">
        <f t="shared" si="28"/>
        <v>1.2259813632475429</v>
      </c>
      <c r="AA38" s="37">
        <f t="shared" si="29"/>
        <v>0.40664102710330841</v>
      </c>
      <c r="AB38" s="37">
        <v>0</v>
      </c>
      <c r="AC38" s="37">
        <f t="shared" si="8"/>
        <v>1.471676631820339E-3</v>
      </c>
      <c r="AD38" s="40">
        <f t="shared" si="19"/>
        <v>1.471676631820339E-3</v>
      </c>
      <c r="AE38" s="39">
        <f t="shared" si="27"/>
        <v>0.12867332867571935</v>
      </c>
      <c r="AF38" s="37">
        <f t="shared" si="20"/>
        <v>0.32662193289414226</v>
      </c>
      <c r="AG38" s="37">
        <f t="shared" si="9"/>
        <v>4.9073668041852564E-4</v>
      </c>
      <c r="AH38" s="37">
        <f t="shared" si="10"/>
        <v>2.6559971783460971E-2</v>
      </c>
      <c r="AI38" s="40">
        <f t="shared" si="21"/>
        <v>2.7050708463879497E-2</v>
      </c>
      <c r="AJ38" s="39">
        <f t="shared" si="22"/>
        <v>7.0770330771645629E-2</v>
      </c>
      <c r="AK38" s="37">
        <f t="shared" si="11"/>
        <v>0.2422293084581798</v>
      </c>
      <c r="AL38" s="37">
        <f t="shared" si="12"/>
        <v>0.23973333333333335</v>
      </c>
      <c r="AM38" s="37">
        <f t="shared" si="13"/>
        <v>2.4552000000000001E-2</v>
      </c>
      <c r="AN38" s="40">
        <f t="shared" si="23"/>
        <v>0.26428533333333337</v>
      </c>
      <c r="AO38" s="39">
        <f t="shared" si="14"/>
        <v>2.1336377409501115E-3</v>
      </c>
      <c r="AP38" s="37">
        <f t="shared" si="15"/>
        <v>0.11701800000000001</v>
      </c>
      <c r="AQ38" s="40">
        <f t="shared" si="16"/>
        <v>1.7099999999999999E-3</v>
      </c>
      <c r="AR38" s="39">
        <f t="shared" si="24"/>
        <v>0.41366935616998329</v>
      </c>
      <c r="AS38" s="37">
        <f t="shared" si="25"/>
        <v>2.0666666666666669</v>
      </c>
      <c r="AT38" s="40">
        <f t="shared" si="26"/>
        <v>83.32204377304943</v>
      </c>
    </row>
    <row r="39" spans="17:46" x14ac:dyDescent="0.2">
      <c r="Q39">
        <v>32</v>
      </c>
      <c r="R39" s="39">
        <f t="shared" si="0"/>
        <v>5</v>
      </c>
      <c r="S39" s="37">
        <f t="shared" ref="S39:S70" si="30">Q39*$O$12</f>
        <v>0.42666666666666669</v>
      </c>
      <c r="T39" s="37">
        <f t="shared" si="2"/>
        <v>3.8</v>
      </c>
      <c r="U39" s="40">
        <f t="shared" ref="U39:U70" si="31">(R39*S39)/(T39*EFF_est)</f>
        <v>0.62378167641325533</v>
      </c>
      <c r="V39" s="39">
        <f t="shared" ref="V39:V70" si="32">IF((S39*R39/T39)&lt;((T39*(1-(T39/R39)))/(2*Lm*Fsw)),1,2)</f>
        <v>1</v>
      </c>
      <c r="W39" s="37">
        <f t="shared" ref="W39:W70" si="33">CHOOSE(V39,SQRT((2*S39*Lm*Fsw*(R39-T39))/((T39)^2)),1-(T39/R39))</f>
        <v>0.21634075921962326</v>
      </c>
      <c r="X39" s="40">
        <f t="shared" ref="X39:X70" si="34">CHOOSE(V39,(Lm*W39*Fsw)/(R39-T39),1-W39)</f>
        <v>0.11898741757079277</v>
      </c>
      <c r="Y39" s="39">
        <f t="shared" ref="Y39:Y70" si="35">(T39*W39)/(Lm*Fsw)</f>
        <v>1.2455983106584367</v>
      </c>
      <c r="Z39" s="37">
        <f t="shared" si="28"/>
        <v>1.2455983106584367</v>
      </c>
      <c r="AA39" s="37">
        <f t="shared" si="29"/>
        <v>0.4164399704720485</v>
      </c>
      <c r="AB39" s="37">
        <v>0</v>
      </c>
      <c r="AC39" s="37">
        <f t="shared" ref="AC39:AC70" si="36">(AA39^2)*Rdcr</f>
        <v>1.5434580161601695E-3</v>
      </c>
      <c r="AD39" s="40">
        <f t="shared" si="19"/>
        <v>1.5434580161601695E-3</v>
      </c>
      <c r="AE39" s="39">
        <f t="shared" si="27"/>
        <v>0.13494940146253301</v>
      </c>
      <c r="AF39" s="37">
        <f t="shared" si="20"/>
        <v>0.33449263361073522</v>
      </c>
      <c r="AG39" s="37">
        <f t="shared" ref="AG39:AG70" si="37">(AF39^2)*RDS_on</f>
        <v>5.1467248092328956E-4</v>
      </c>
      <c r="AH39" s="37">
        <f t="shared" ref="AH39:AH70" si="38">((R39*U39)/2)*Fsw*(tr_sw+tf_sw)</f>
        <v>2.7416745066798413E-2</v>
      </c>
      <c r="AI39" s="40">
        <f t="shared" si="21"/>
        <v>2.7931417547721701E-2</v>
      </c>
      <c r="AJ39" s="39">
        <f t="shared" si="22"/>
        <v>7.4222170804393153E-2</v>
      </c>
      <c r="AK39" s="37">
        <f t="shared" ref="AK39:AK70" si="39">CHOOSE(V39,Z39*SQRT(X39/3),SQRT(X39*((Z39^2)+((Y39^2)/3)-(Y39*Z39))))</f>
        <v>0.24806637633285786</v>
      </c>
      <c r="AL39" s="37">
        <f t="shared" ref="AL39:AL70" si="40">S39*Vd_rect</f>
        <v>0.24746666666666667</v>
      </c>
      <c r="AM39" s="37">
        <f t="shared" ref="AM39:AM70" si="41">CHOOSE(V39,(R39+Vd_rect)*Qrr*Fsw,(R39+Vd_rect)*Qrr*Fsw)</f>
        <v>2.4552000000000001E-2</v>
      </c>
      <c r="AN39" s="40">
        <f t="shared" si="23"/>
        <v>0.27201866666666669</v>
      </c>
      <c r="AO39" s="39">
        <f t="shared" ref="AO39:AO70" si="42">(AF39^2)*R_cs</f>
        <v>2.237706438796911E-3</v>
      </c>
      <c r="AP39" s="37">
        <f t="shared" ref="AP39:AP70" si="43">Qg_tot*Vcc*Fsw</f>
        <v>0.11701800000000001</v>
      </c>
      <c r="AQ39" s="40">
        <f t="shared" ref="AQ39:AQ70" si="44">IQ*T39</f>
        <v>1.7099999999999999E-3</v>
      </c>
      <c r="AR39" s="39">
        <f t="shared" si="24"/>
        <v>0.42245924866934548</v>
      </c>
      <c r="AS39" s="37">
        <f t="shared" si="25"/>
        <v>2.1333333333333333</v>
      </c>
      <c r="AT39" s="40">
        <f t="shared" si="26"/>
        <v>83.470519022388231</v>
      </c>
    </row>
    <row r="40" spans="17:46" x14ac:dyDescent="0.2">
      <c r="Q40">
        <v>33</v>
      </c>
      <c r="R40" s="39">
        <f t="shared" si="0"/>
        <v>5</v>
      </c>
      <c r="S40" s="37">
        <f t="shared" si="30"/>
        <v>0.44</v>
      </c>
      <c r="T40" s="37">
        <f t="shared" si="2"/>
        <v>3.8</v>
      </c>
      <c r="U40" s="40">
        <f t="shared" si="31"/>
        <v>0.64327485380116967</v>
      </c>
      <c r="V40" s="39">
        <f t="shared" si="32"/>
        <v>1</v>
      </c>
      <c r="W40" s="37">
        <f t="shared" si="33"/>
        <v>0.21969507954854006</v>
      </c>
      <c r="X40" s="40">
        <f t="shared" si="34"/>
        <v>0.120832293751697</v>
      </c>
      <c r="Y40" s="39">
        <f t="shared" si="35"/>
        <v>1.2649110640673518</v>
      </c>
      <c r="Z40" s="37">
        <f t="shared" si="28"/>
        <v>1.2649110640673518</v>
      </c>
      <c r="AA40" s="37">
        <f t="shared" si="29"/>
        <v>0.42616264394414</v>
      </c>
      <c r="AB40" s="37">
        <v>0</v>
      </c>
      <c r="AC40" s="37">
        <f t="shared" si="36"/>
        <v>1.6163699319317925E-3</v>
      </c>
      <c r="AD40" s="40">
        <f t="shared" si="19"/>
        <v>1.6163699319317925E-3</v>
      </c>
      <c r="AE40" s="39">
        <f t="shared" si="27"/>
        <v>0.14132432017742344</v>
      </c>
      <c r="AF40" s="37">
        <f t="shared" si="20"/>
        <v>0.34230207287212661</v>
      </c>
      <c r="AG40" s="37">
        <f t="shared" si="37"/>
        <v>5.3898526182575147E-4</v>
      </c>
      <c r="AH40" s="37">
        <f t="shared" si="38"/>
        <v>2.8273518350135869E-2</v>
      </c>
      <c r="AI40" s="40">
        <f t="shared" si="21"/>
        <v>2.881250361196162E-2</v>
      </c>
      <c r="AJ40" s="39">
        <f t="shared" si="22"/>
        <v>7.7728376097582874E-2</v>
      </c>
      <c r="AK40" s="37">
        <f t="shared" si="39"/>
        <v>0.25385801149639747</v>
      </c>
      <c r="AL40" s="37">
        <f t="shared" si="40"/>
        <v>0.25519999999999998</v>
      </c>
      <c r="AM40" s="37">
        <f t="shared" si="41"/>
        <v>2.4552000000000001E-2</v>
      </c>
      <c r="AN40" s="40">
        <f t="shared" si="23"/>
        <v>0.279752</v>
      </c>
      <c r="AO40" s="39">
        <f t="shared" si="42"/>
        <v>2.3434141818510935E-3</v>
      </c>
      <c r="AP40" s="37">
        <f t="shared" si="43"/>
        <v>0.11701800000000001</v>
      </c>
      <c r="AQ40" s="40">
        <f t="shared" si="44"/>
        <v>1.7099999999999999E-3</v>
      </c>
      <c r="AR40" s="39">
        <f t="shared" si="24"/>
        <v>0.43125228772574453</v>
      </c>
      <c r="AS40" s="37">
        <f t="shared" si="25"/>
        <v>2.2000000000000002</v>
      </c>
      <c r="AT40" s="40">
        <f t="shared" si="26"/>
        <v>83.61037861183253</v>
      </c>
    </row>
    <row r="41" spans="17:46" x14ac:dyDescent="0.2">
      <c r="Q41">
        <v>34</v>
      </c>
      <c r="R41" s="39">
        <f t="shared" si="0"/>
        <v>5</v>
      </c>
      <c r="S41" s="37">
        <f t="shared" si="30"/>
        <v>0.45333333333333337</v>
      </c>
      <c r="T41" s="37">
        <f t="shared" si="2"/>
        <v>3.8</v>
      </c>
      <c r="U41" s="40">
        <f t="shared" si="31"/>
        <v>0.66276803118908378</v>
      </c>
      <c r="V41" s="39">
        <f t="shared" si="32"/>
        <v>1</v>
      </c>
      <c r="W41" s="37">
        <f t="shared" si="33"/>
        <v>0.2229989503472061</v>
      </c>
      <c r="X41" s="40">
        <f t="shared" si="34"/>
        <v>0.12264942269096335</v>
      </c>
      <c r="Y41" s="39">
        <f t="shared" si="35"/>
        <v>1.2839333504839139</v>
      </c>
      <c r="Z41" s="37">
        <f t="shared" si="28"/>
        <v>1.2839333504839139</v>
      </c>
      <c r="AA41" s="37">
        <f t="shared" si="29"/>
        <v>0.43581192650685963</v>
      </c>
      <c r="AB41" s="37">
        <v>0</v>
      </c>
      <c r="AC41" s="37">
        <f t="shared" si="36"/>
        <v>1.6903951140420216E-3</v>
      </c>
      <c r="AD41" s="40">
        <f t="shared" si="19"/>
        <v>1.6903951140420216E-3</v>
      </c>
      <c r="AE41" s="39">
        <f t="shared" si="27"/>
        <v>0.14779657527885004</v>
      </c>
      <c r="AF41" s="37">
        <f t="shared" si="20"/>
        <v>0.35005256313654498</v>
      </c>
      <c r="AG41" s="37">
        <f t="shared" si="37"/>
        <v>5.6366926600893812E-4</v>
      </c>
      <c r="AH41" s="37">
        <f t="shared" si="38"/>
        <v>2.9130291633473318E-2</v>
      </c>
      <c r="AI41" s="40">
        <f t="shared" si="21"/>
        <v>2.9693960899482258E-2</v>
      </c>
      <c r="AJ41" s="39">
        <f t="shared" si="22"/>
        <v>8.1288116403367514E-2</v>
      </c>
      <c r="AK41" s="37">
        <f t="shared" si="39"/>
        <v>0.25960592891372036</v>
      </c>
      <c r="AL41" s="37">
        <f t="shared" si="40"/>
        <v>0.26293333333333335</v>
      </c>
      <c r="AM41" s="37">
        <f t="shared" si="41"/>
        <v>2.4552000000000001E-2</v>
      </c>
      <c r="AN41" s="40">
        <f t="shared" si="23"/>
        <v>0.28748533333333337</v>
      </c>
      <c r="AO41" s="39">
        <f t="shared" si="42"/>
        <v>2.4507359391692965E-3</v>
      </c>
      <c r="AP41" s="37">
        <f t="shared" si="43"/>
        <v>0.11701800000000001</v>
      </c>
      <c r="AQ41" s="40">
        <f t="shared" si="44"/>
        <v>1.7099999999999999E-3</v>
      </c>
      <c r="AR41" s="39">
        <f t="shared" si="24"/>
        <v>0.44004842528602689</v>
      </c>
      <c r="AS41" s="37">
        <f t="shared" si="25"/>
        <v>2.2666666666666666</v>
      </c>
      <c r="AT41" s="40">
        <f t="shared" si="26"/>
        <v>83.742344120578849</v>
      </c>
    </row>
    <row r="42" spans="17:46" x14ac:dyDescent="0.2">
      <c r="Q42">
        <v>35</v>
      </c>
      <c r="R42" s="39">
        <f t="shared" si="0"/>
        <v>5</v>
      </c>
      <c r="S42" s="37">
        <f t="shared" si="30"/>
        <v>0.46666666666666667</v>
      </c>
      <c r="T42" s="37">
        <f t="shared" si="2"/>
        <v>3.8</v>
      </c>
      <c r="U42" s="40">
        <f t="shared" si="31"/>
        <v>0.68226120857699812</v>
      </c>
      <c r="V42" s="39">
        <f t="shared" si="32"/>
        <v>1</v>
      </c>
      <c r="W42" s="37">
        <f t="shared" si="33"/>
        <v>0.22625458168636506</v>
      </c>
      <c r="X42" s="40">
        <f t="shared" si="34"/>
        <v>0.12444001992750078</v>
      </c>
      <c r="Y42" s="39">
        <f t="shared" si="35"/>
        <v>1.3026778945578592</v>
      </c>
      <c r="Z42" s="37">
        <f t="shared" si="28"/>
        <v>1.3026778945578592</v>
      </c>
      <c r="AA42" s="37">
        <f t="shared" si="29"/>
        <v>0.44539050724414508</v>
      </c>
      <c r="AB42" s="37">
        <v>0</v>
      </c>
      <c r="AC42" s="37">
        <f t="shared" si="36"/>
        <v>1.765517065094452E-3</v>
      </c>
      <c r="AD42" s="40">
        <f t="shared" si="19"/>
        <v>1.765517065094452E-3</v>
      </c>
      <c r="AE42" s="39">
        <f t="shared" si="27"/>
        <v>0.15436472434742257</v>
      </c>
      <c r="AF42" s="37">
        <f t="shared" si="20"/>
        <v>0.35774626432818579</v>
      </c>
      <c r="AG42" s="37">
        <f t="shared" si="37"/>
        <v>5.8871899234755201E-4</v>
      </c>
      <c r="AH42" s="37">
        <f t="shared" si="38"/>
        <v>2.9987064916810767E-2</v>
      </c>
      <c r="AI42" s="40">
        <f t="shared" si="21"/>
        <v>3.057578390915832E-2</v>
      </c>
      <c r="AJ42" s="39">
        <f t="shared" si="22"/>
        <v>8.490059839108241E-2</v>
      </c>
      <c r="AK42" s="37">
        <f t="shared" si="39"/>
        <v>0.26531173042748163</v>
      </c>
      <c r="AL42" s="37">
        <f t="shared" si="40"/>
        <v>0.27066666666666667</v>
      </c>
      <c r="AM42" s="37">
        <f t="shared" si="41"/>
        <v>2.4552000000000001E-2</v>
      </c>
      <c r="AN42" s="40">
        <f t="shared" si="23"/>
        <v>0.29521866666666668</v>
      </c>
      <c r="AO42" s="39">
        <f t="shared" si="42"/>
        <v>2.5596477928154439E-3</v>
      </c>
      <c r="AP42" s="37">
        <f t="shared" si="43"/>
        <v>0.11701800000000001</v>
      </c>
      <c r="AQ42" s="40">
        <f t="shared" si="44"/>
        <v>1.7099999999999999E-3</v>
      </c>
      <c r="AR42" s="39">
        <f t="shared" si="24"/>
        <v>0.44884761543373491</v>
      </c>
      <c r="AS42" s="37">
        <f t="shared" si="25"/>
        <v>2.3333333333333335</v>
      </c>
      <c r="AT42" s="40">
        <f t="shared" si="26"/>
        <v>83.867058839841349</v>
      </c>
    </row>
    <row r="43" spans="17:46" x14ac:dyDescent="0.2">
      <c r="Q43">
        <v>36</v>
      </c>
      <c r="R43" s="39">
        <f t="shared" si="0"/>
        <v>5</v>
      </c>
      <c r="S43" s="37">
        <f t="shared" si="30"/>
        <v>0.48000000000000004</v>
      </c>
      <c r="T43" s="37">
        <f t="shared" si="2"/>
        <v>3.8</v>
      </c>
      <c r="U43" s="40">
        <f t="shared" si="31"/>
        <v>0.70175438596491235</v>
      </c>
      <c r="V43" s="39">
        <f t="shared" si="32"/>
        <v>1</v>
      </c>
      <c r="W43" s="37">
        <f t="shared" si="33"/>
        <v>0.22946402683686257</v>
      </c>
      <c r="X43" s="40">
        <f t="shared" si="34"/>
        <v>0.12620521476027441</v>
      </c>
      <c r="Y43" s="39">
        <f t="shared" si="35"/>
        <v>1.3211565181516329</v>
      </c>
      <c r="Z43" s="37">
        <f t="shared" si="28"/>
        <v>1.3211565181516329</v>
      </c>
      <c r="AA43" s="37">
        <f t="shared" si="29"/>
        <v>0.4549009029169957</v>
      </c>
      <c r="AB43" s="37">
        <v>0</v>
      </c>
      <c r="AC43" s="37">
        <f t="shared" si="36"/>
        <v>1.8417200001248117E-3</v>
      </c>
      <c r="AD43" s="40">
        <f t="shared" si="19"/>
        <v>1.8417200001248117E-3</v>
      </c>
      <c r="AE43" s="39">
        <f t="shared" si="27"/>
        <v>0.16102738725393867</v>
      </c>
      <c r="AF43" s="37">
        <f t="shared" si="20"/>
        <v>0.36538519795813007</v>
      </c>
      <c r="AG43" s="37">
        <f t="shared" si="37"/>
        <v>6.1412917727974865E-4</v>
      </c>
      <c r="AH43" s="37">
        <f t="shared" si="38"/>
        <v>3.0843838200148219E-2</v>
      </c>
      <c r="AI43" s="40">
        <f t="shared" si="21"/>
        <v>3.1457967377427967E-2</v>
      </c>
      <c r="AJ43" s="39">
        <f t="shared" si="22"/>
        <v>8.8565062989666266E-2</v>
      </c>
      <c r="AK43" s="37">
        <f t="shared" si="39"/>
        <v>0.27097691523042333</v>
      </c>
      <c r="AL43" s="37">
        <f t="shared" si="40"/>
        <v>0.27839999999999998</v>
      </c>
      <c r="AM43" s="37">
        <f t="shared" si="41"/>
        <v>2.4552000000000001E-2</v>
      </c>
      <c r="AN43" s="40">
        <f t="shared" si="23"/>
        <v>0.302952</v>
      </c>
      <c r="AO43" s="39">
        <f t="shared" si="42"/>
        <v>2.6701268577380378E-3</v>
      </c>
      <c r="AP43" s="37">
        <f t="shared" si="43"/>
        <v>0.11701800000000001</v>
      </c>
      <c r="AQ43" s="40">
        <f t="shared" si="44"/>
        <v>1.7099999999999999E-3</v>
      </c>
      <c r="AR43" s="39">
        <f t="shared" si="24"/>
        <v>0.45764981423529083</v>
      </c>
      <c r="AS43" s="37">
        <f t="shared" si="25"/>
        <v>2.4000000000000004</v>
      </c>
      <c r="AT43" s="40">
        <f t="shared" si="26"/>
        <v>83.985098105599818</v>
      </c>
    </row>
    <row r="44" spans="17:46" x14ac:dyDescent="0.2">
      <c r="Q44">
        <v>37</v>
      </c>
      <c r="R44" s="39">
        <f t="shared" si="0"/>
        <v>5</v>
      </c>
      <c r="S44" s="37">
        <f t="shared" si="30"/>
        <v>0.49333333333333335</v>
      </c>
      <c r="T44" s="37">
        <f t="shared" si="2"/>
        <v>3.8</v>
      </c>
      <c r="U44" s="40">
        <f t="shared" si="31"/>
        <v>0.72124756335282658</v>
      </c>
      <c r="V44" s="39">
        <f t="shared" si="32"/>
        <v>1</v>
      </c>
      <c r="W44" s="37">
        <f t="shared" si="33"/>
        <v>0.23262919741576876</v>
      </c>
      <c r="X44" s="40">
        <f t="shared" si="34"/>
        <v>0.12794605857867281</v>
      </c>
      <c r="Y44" s="39">
        <f t="shared" si="35"/>
        <v>1.3393802275453353</v>
      </c>
      <c r="Z44" s="37">
        <f t="shared" si="28"/>
        <v>1.3393802275453353</v>
      </c>
      <c r="AA44" s="37">
        <f t="shared" si="29"/>
        <v>0.46434547347429816</v>
      </c>
      <c r="AB44" s="37">
        <v>0</v>
      </c>
      <c r="AC44" s="37">
        <f t="shared" si="36"/>
        <v>1.9189887967510243E-3</v>
      </c>
      <c r="AD44" s="40">
        <f t="shared" si="19"/>
        <v>1.9189887967510243E-3</v>
      </c>
      <c r="AE44" s="39">
        <f t="shared" si="27"/>
        <v>0.16778324180084689</v>
      </c>
      <c r="AF44" s="37">
        <f t="shared" si="20"/>
        <v>0.37297125958293881</v>
      </c>
      <c r="AG44" s="37">
        <f t="shared" si="37"/>
        <v>6.3989477818446609E-4</v>
      </c>
      <c r="AH44" s="37">
        <f t="shared" si="38"/>
        <v>3.1700611483485672E-2</v>
      </c>
      <c r="AI44" s="40">
        <f t="shared" si="21"/>
        <v>3.2340506261670135E-2</v>
      </c>
      <c r="AJ44" s="39">
        <f t="shared" si="22"/>
        <v>9.2280782990465771E-2</v>
      </c>
      <c r="AK44" s="37">
        <f t="shared" si="39"/>
        <v>0.27660288910491548</v>
      </c>
      <c r="AL44" s="37">
        <f t="shared" si="40"/>
        <v>0.2861333333333333</v>
      </c>
      <c r="AM44" s="37">
        <f t="shared" si="41"/>
        <v>2.4552000000000001E-2</v>
      </c>
      <c r="AN44" s="40">
        <f t="shared" si="23"/>
        <v>0.31068533333333331</v>
      </c>
      <c r="AO44" s="39">
        <f t="shared" si="42"/>
        <v>2.7821512094976788E-3</v>
      </c>
      <c r="AP44" s="37">
        <f t="shared" si="43"/>
        <v>0.11701800000000001</v>
      </c>
      <c r="AQ44" s="40">
        <f t="shared" si="44"/>
        <v>1.7099999999999999E-3</v>
      </c>
      <c r="AR44" s="39">
        <f t="shared" si="24"/>
        <v>0.4664549796012521</v>
      </c>
      <c r="AS44" s="37">
        <f t="shared" si="25"/>
        <v>2.4666666666666668</v>
      </c>
      <c r="AT44" s="40">
        <f t="shared" si="26"/>
        <v>84.096978037212807</v>
      </c>
    </row>
    <row r="45" spans="17:46" x14ac:dyDescent="0.2">
      <c r="Q45">
        <v>38</v>
      </c>
      <c r="R45" s="39">
        <f t="shared" si="0"/>
        <v>5</v>
      </c>
      <c r="S45" s="37">
        <f t="shared" si="30"/>
        <v>0.50666666666666671</v>
      </c>
      <c r="T45" s="37">
        <f t="shared" si="2"/>
        <v>3.8</v>
      </c>
      <c r="U45" s="40">
        <f t="shared" si="31"/>
        <v>0.74074074074074081</v>
      </c>
      <c r="V45" s="39">
        <f t="shared" si="32"/>
        <v>1</v>
      </c>
      <c r="W45" s="37">
        <f t="shared" si="33"/>
        <v>0.23575187670180078</v>
      </c>
      <c r="X45" s="40">
        <f t="shared" si="34"/>
        <v>0.12966353218599039</v>
      </c>
      <c r="Y45" s="39">
        <f t="shared" si="35"/>
        <v>1.3573592901012772</v>
      </c>
      <c r="Z45" s="37">
        <f t="shared" si="28"/>
        <v>1.3573592901012772</v>
      </c>
      <c r="AA45" s="37">
        <f t="shared" si="29"/>
        <v>0.47372643578695423</v>
      </c>
      <c r="AB45" s="37">
        <v>0</v>
      </c>
      <c r="AC45" s="37">
        <f t="shared" si="36"/>
        <v>1.9973089500743605E-3</v>
      </c>
      <c r="AD45" s="40">
        <f t="shared" si="19"/>
        <v>1.9973089500743605E-3</v>
      </c>
      <c r="AE45" s="39">
        <f t="shared" si="27"/>
        <v>0.17463101977911172</v>
      </c>
      <c r="AF45" s="37">
        <f t="shared" si="20"/>
        <v>0.38050622983617005</v>
      </c>
      <c r="AG45" s="37">
        <f t="shared" si="37"/>
        <v>6.6601095834302687E-4</v>
      </c>
      <c r="AH45" s="37">
        <f t="shared" si="38"/>
        <v>3.2557384766823121E-2</v>
      </c>
      <c r="AI45" s="40">
        <f t="shared" si="21"/>
        <v>3.3223395725166145E-2</v>
      </c>
      <c r="AJ45" s="39">
        <f t="shared" si="22"/>
        <v>9.6047060878511406E-2</v>
      </c>
      <c r="AK45" s="37">
        <f t="shared" si="39"/>
        <v>0.28219097260414788</v>
      </c>
      <c r="AL45" s="37">
        <f t="shared" si="40"/>
        <v>0.29386666666666666</v>
      </c>
      <c r="AM45" s="37">
        <f t="shared" si="41"/>
        <v>2.4552000000000001E-2</v>
      </c>
      <c r="AN45" s="40">
        <f t="shared" si="23"/>
        <v>0.31841866666666668</v>
      </c>
      <c r="AO45" s="39">
        <f t="shared" si="42"/>
        <v>2.8956998188827254E-3</v>
      </c>
      <c r="AP45" s="37">
        <f t="shared" si="43"/>
        <v>0.11701800000000001</v>
      </c>
      <c r="AQ45" s="40">
        <f t="shared" si="44"/>
        <v>1.7099999999999999E-3</v>
      </c>
      <c r="AR45" s="39">
        <f t="shared" si="24"/>
        <v>0.47526307116078992</v>
      </c>
      <c r="AS45" s="37">
        <f t="shared" si="25"/>
        <v>2.5333333333333337</v>
      </c>
      <c r="AT45" s="40">
        <f t="shared" si="26"/>
        <v>84.203162961610261</v>
      </c>
    </row>
    <row r="46" spans="17:46" x14ac:dyDescent="0.2">
      <c r="Q46">
        <v>39</v>
      </c>
      <c r="R46" s="39">
        <f t="shared" si="0"/>
        <v>5</v>
      </c>
      <c r="S46" s="37">
        <f t="shared" si="30"/>
        <v>0.52</v>
      </c>
      <c r="T46" s="37">
        <f t="shared" si="2"/>
        <v>3.8</v>
      </c>
      <c r="U46" s="40">
        <f t="shared" si="31"/>
        <v>0.76023391812865504</v>
      </c>
      <c r="V46" s="39">
        <f t="shared" si="32"/>
        <v>1</v>
      </c>
      <c r="W46" s="37">
        <f t="shared" si="33"/>
        <v>0.2388337313834405</v>
      </c>
      <c r="X46" s="40">
        <f t="shared" si="34"/>
        <v>0.13135855226089227</v>
      </c>
      <c r="Y46" s="39">
        <f t="shared" si="35"/>
        <v>1.3751033019046572</v>
      </c>
      <c r="Z46" s="37">
        <f t="shared" si="28"/>
        <v>1.3751033019046572</v>
      </c>
      <c r="AA46" s="37">
        <f t="shared" si="29"/>
        <v>0.48304587585013276</v>
      </c>
      <c r="AB46" s="37">
        <v>0</v>
      </c>
      <c r="AC46" s="37">
        <f t="shared" si="36"/>
        <v>2.0766665317648145E-3</v>
      </c>
      <c r="AD46" s="40">
        <f t="shared" si="19"/>
        <v>2.0766665317648145E-3</v>
      </c>
      <c r="AE46" s="39">
        <f t="shared" si="27"/>
        <v>0.18156950339091968</v>
      </c>
      <c r="AF46" s="37">
        <f t="shared" si="20"/>
        <v>0.3879917842294634</v>
      </c>
      <c r="AG46" s="37">
        <f t="shared" si="37"/>
        <v>6.9247307329598743E-4</v>
      </c>
      <c r="AH46" s="37">
        <f t="shared" si="38"/>
        <v>3.341415805016057E-2</v>
      </c>
      <c r="AI46" s="40">
        <f t="shared" si="21"/>
        <v>3.4106631123456556E-2</v>
      </c>
      <c r="AJ46" s="39">
        <f t="shared" si="22"/>
        <v>9.986322686500583E-2</v>
      </c>
      <c r="AK46" s="37">
        <f t="shared" si="39"/>
        <v>0.28774240832080933</v>
      </c>
      <c r="AL46" s="37">
        <f t="shared" si="40"/>
        <v>0.30159999999999998</v>
      </c>
      <c r="AM46" s="37">
        <f t="shared" si="41"/>
        <v>2.4552000000000001E-2</v>
      </c>
      <c r="AN46" s="40">
        <f t="shared" si="23"/>
        <v>0.326152</v>
      </c>
      <c r="AO46" s="39">
        <f t="shared" si="42"/>
        <v>3.0107524925912501E-3</v>
      </c>
      <c r="AP46" s="37">
        <f t="shared" si="43"/>
        <v>0.11701800000000001</v>
      </c>
      <c r="AQ46" s="40">
        <f t="shared" si="44"/>
        <v>1.7099999999999999E-3</v>
      </c>
      <c r="AR46" s="39">
        <f t="shared" si="24"/>
        <v>0.48407405014781263</v>
      </c>
      <c r="AS46" s="37">
        <f t="shared" si="25"/>
        <v>2.6</v>
      </c>
      <c r="AT46" s="40">
        <f t="shared" si="26"/>
        <v>84.304071748062853</v>
      </c>
    </row>
    <row r="47" spans="17:46" x14ac:dyDescent="0.2">
      <c r="Q47">
        <v>40</v>
      </c>
      <c r="R47" s="39">
        <f t="shared" si="0"/>
        <v>5</v>
      </c>
      <c r="S47" s="37">
        <f t="shared" si="30"/>
        <v>0.53333333333333333</v>
      </c>
      <c r="T47" s="37">
        <f t="shared" si="2"/>
        <v>3.8</v>
      </c>
      <c r="U47" s="40">
        <f t="shared" si="31"/>
        <v>0.77972709551656916</v>
      </c>
      <c r="V47" s="39">
        <f t="shared" si="32"/>
        <v>2</v>
      </c>
      <c r="W47" s="37">
        <f t="shared" si="33"/>
        <v>0.24</v>
      </c>
      <c r="X47" s="40">
        <f t="shared" si="34"/>
        <v>0.76</v>
      </c>
      <c r="Y47" s="39">
        <f t="shared" si="35"/>
        <v>1.3818181818181816</v>
      </c>
      <c r="Z47" s="37">
        <f t="shared" si="28"/>
        <v>1.4706361864256601</v>
      </c>
      <c r="AA47" s="37">
        <f t="shared" si="29"/>
        <v>0.87583834169496166</v>
      </c>
      <c r="AB47" s="37">
        <v>0</v>
      </c>
      <c r="AC47" s="37">
        <f t="shared" si="36"/>
        <v>6.8271259269685261E-3</v>
      </c>
      <c r="AD47" s="40">
        <f t="shared" si="19"/>
        <v>6.8271259269685261E-3</v>
      </c>
      <c r="AE47" s="39">
        <f t="shared" si="27"/>
        <v>0.1871345029239766</v>
      </c>
      <c r="AF47" s="37">
        <f t="shared" si="20"/>
        <v>0.42907140686360734</v>
      </c>
      <c r="AG47" s="37">
        <f t="shared" si="37"/>
        <v>8.4687045206441021E-4</v>
      </c>
      <c r="AH47" s="37">
        <f t="shared" si="38"/>
        <v>3.4270931333498018E-2</v>
      </c>
      <c r="AI47" s="40">
        <f t="shared" si="21"/>
        <v>3.5117801785562432E-2</v>
      </c>
      <c r="AJ47" s="39">
        <f t="shared" si="22"/>
        <v>0.59259259259259256</v>
      </c>
      <c r="AK47" s="37">
        <f t="shared" si="39"/>
        <v>0.76353816446531664</v>
      </c>
      <c r="AL47" s="37">
        <f t="shared" si="40"/>
        <v>0.30933333333333329</v>
      </c>
      <c r="AM47" s="37">
        <f t="shared" si="41"/>
        <v>2.4552000000000001E-2</v>
      </c>
      <c r="AN47" s="40">
        <f t="shared" si="23"/>
        <v>0.33388533333333331</v>
      </c>
      <c r="AO47" s="39">
        <f t="shared" si="42"/>
        <v>3.6820454437583058E-3</v>
      </c>
      <c r="AP47" s="37">
        <f t="shared" si="43"/>
        <v>0.11701800000000001</v>
      </c>
      <c r="AQ47" s="40">
        <f t="shared" si="44"/>
        <v>1.7099999999999999E-3</v>
      </c>
      <c r="AR47" s="39">
        <f t="shared" si="24"/>
        <v>0.49824030648962264</v>
      </c>
      <c r="AS47" s="37">
        <f t="shared" si="25"/>
        <v>2.6666666666666665</v>
      </c>
      <c r="AT47" s="40">
        <f t="shared" si="26"/>
        <v>84.25734750766658</v>
      </c>
    </row>
    <row r="48" spans="17:46" x14ac:dyDescent="0.2">
      <c r="Q48">
        <v>41</v>
      </c>
      <c r="R48" s="39">
        <f t="shared" si="0"/>
        <v>5</v>
      </c>
      <c r="S48" s="37">
        <f t="shared" si="30"/>
        <v>0.54666666666666675</v>
      </c>
      <c r="T48" s="37">
        <f t="shared" si="2"/>
        <v>3.8</v>
      </c>
      <c r="U48" s="40">
        <f t="shared" si="31"/>
        <v>0.79922027290448361</v>
      </c>
      <c r="V48" s="39">
        <f t="shared" si="32"/>
        <v>2</v>
      </c>
      <c r="W48" s="37">
        <f t="shared" si="33"/>
        <v>0.24</v>
      </c>
      <c r="X48" s="40">
        <f t="shared" si="34"/>
        <v>0.76</v>
      </c>
      <c r="Y48" s="39">
        <f t="shared" si="35"/>
        <v>1.3818181818181816</v>
      </c>
      <c r="Z48" s="37">
        <f t="shared" si="28"/>
        <v>1.4901293638135744</v>
      </c>
      <c r="AA48" s="37">
        <f t="shared" si="29"/>
        <v>0.89323653190058938</v>
      </c>
      <c r="AB48" s="37">
        <v>0</v>
      </c>
      <c r="AC48" s="37">
        <f t="shared" si="36"/>
        <v>7.1010563671039546E-3</v>
      </c>
      <c r="AD48" s="40">
        <f t="shared" si="19"/>
        <v>7.1010563671039546E-3</v>
      </c>
      <c r="AE48" s="39">
        <f t="shared" si="27"/>
        <v>0.19181286549707605</v>
      </c>
      <c r="AF48" s="37">
        <f t="shared" si="20"/>
        <v>0.43759474455394259</v>
      </c>
      <c r="AG48" s="37">
        <f t="shared" si="37"/>
        <v>8.8085013812165926E-4</v>
      </c>
      <c r="AH48" s="37">
        <f t="shared" si="38"/>
        <v>3.5127704616835474E-2</v>
      </c>
      <c r="AI48" s="40">
        <f t="shared" si="21"/>
        <v>3.6008554754957137E-2</v>
      </c>
      <c r="AJ48" s="39">
        <f t="shared" si="22"/>
        <v>0.60740740740740751</v>
      </c>
      <c r="AK48" s="37">
        <f t="shared" si="39"/>
        <v>0.77870555504668293</v>
      </c>
      <c r="AL48" s="37">
        <f t="shared" si="40"/>
        <v>0.31706666666666666</v>
      </c>
      <c r="AM48" s="37">
        <f t="shared" si="41"/>
        <v>2.4552000000000001E-2</v>
      </c>
      <c r="AN48" s="40">
        <f t="shared" si="23"/>
        <v>0.34161866666666668</v>
      </c>
      <c r="AO48" s="39">
        <f t="shared" si="42"/>
        <v>3.8297832092246053E-3</v>
      </c>
      <c r="AP48" s="37">
        <f t="shared" si="43"/>
        <v>0.11701800000000001</v>
      </c>
      <c r="AQ48" s="40">
        <f t="shared" si="44"/>
        <v>1.7099999999999999E-3</v>
      </c>
      <c r="AR48" s="39">
        <f t="shared" si="24"/>
        <v>0.50728606099795237</v>
      </c>
      <c r="AS48" s="37">
        <f t="shared" si="25"/>
        <v>2.7333333333333338</v>
      </c>
      <c r="AT48" s="40">
        <f t="shared" si="26"/>
        <v>84.346015398002862</v>
      </c>
    </row>
    <row r="49" spans="17:46" x14ac:dyDescent="0.2">
      <c r="Q49">
        <v>42</v>
      </c>
      <c r="R49" s="39">
        <f t="shared" si="0"/>
        <v>5</v>
      </c>
      <c r="S49" s="37">
        <f t="shared" si="30"/>
        <v>0.56000000000000005</v>
      </c>
      <c r="T49" s="37">
        <f t="shared" si="2"/>
        <v>3.8</v>
      </c>
      <c r="U49" s="40">
        <f t="shared" si="31"/>
        <v>0.81871345029239773</v>
      </c>
      <c r="V49" s="39">
        <f t="shared" si="32"/>
        <v>2</v>
      </c>
      <c r="W49" s="37">
        <f t="shared" si="33"/>
        <v>0.24</v>
      </c>
      <c r="X49" s="40">
        <f t="shared" si="34"/>
        <v>0.76</v>
      </c>
      <c r="Y49" s="39">
        <f t="shared" si="35"/>
        <v>1.3818181818181816</v>
      </c>
      <c r="Z49" s="37">
        <f t="shared" si="28"/>
        <v>1.5096225412014885</v>
      </c>
      <c r="AA49" s="37">
        <f t="shared" si="29"/>
        <v>0.910719589659714</v>
      </c>
      <c r="AB49" s="37">
        <v>0</v>
      </c>
      <c r="AC49" s="37">
        <f t="shared" si="36"/>
        <v>7.3817505218106245E-3</v>
      </c>
      <c r="AD49" s="40">
        <f t="shared" si="19"/>
        <v>7.3817505218106245E-3</v>
      </c>
      <c r="AE49" s="39">
        <f t="shared" si="27"/>
        <v>0.19649122807017544</v>
      </c>
      <c r="AF49" s="37">
        <f t="shared" si="20"/>
        <v>0.44615965868463492</v>
      </c>
      <c r="AG49" s="37">
        <f t="shared" si="37"/>
        <v>9.156688287729137E-4</v>
      </c>
      <c r="AH49" s="37">
        <f t="shared" si="38"/>
        <v>3.5984477900172916E-2</v>
      </c>
      <c r="AI49" s="40">
        <f t="shared" si="21"/>
        <v>3.6900146728945829E-2</v>
      </c>
      <c r="AJ49" s="39">
        <f t="shared" si="22"/>
        <v>0.62222222222222223</v>
      </c>
      <c r="AK49" s="37">
        <f t="shared" si="39"/>
        <v>0.79394693144590467</v>
      </c>
      <c r="AL49" s="37">
        <f t="shared" si="40"/>
        <v>0.32480000000000003</v>
      </c>
      <c r="AM49" s="37">
        <f t="shared" si="41"/>
        <v>2.4552000000000001E-2</v>
      </c>
      <c r="AN49" s="40">
        <f t="shared" si="23"/>
        <v>0.34935200000000005</v>
      </c>
      <c r="AO49" s="39">
        <f t="shared" si="42"/>
        <v>3.9811688207517983E-3</v>
      </c>
      <c r="AP49" s="37">
        <f t="shared" si="43"/>
        <v>0.11701800000000001</v>
      </c>
      <c r="AQ49" s="40">
        <f t="shared" si="44"/>
        <v>1.7099999999999999E-3</v>
      </c>
      <c r="AR49" s="39">
        <f t="shared" si="24"/>
        <v>0.51634306607150826</v>
      </c>
      <c r="AS49" s="37">
        <f t="shared" si="25"/>
        <v>2.8000000000000003</v>
      </c>
      <c r="AT49" s="40">
        <f t="shared" si="26"/>
        <v>84.430348254556165</v>
      </c>
    </row>
    <row r="50" spans="17:46" x14ac:dyDescent="0.2">
      <c r="Q50">
        <v>43</v>
      </c>
      <c r="R50" s="39">
        <f t="shared" si="0"/>
        <v>5</v>
      </c>
      <c r="S50" s="37">
        <f t="shared" si="30"/>
        <v>0.57333333333333336</v>
      </c>
      <c r="T50" s="37">
        <f t="shared" si="2"/>
        <v>3.8</v>
      </c>
      <c r="U50" s="40">
        <f t="shared" si="31"/>
        <v>0.83820662768031196</v>
      </c>
      <c r="V50" s="39">
        <f t="shared" si="32"/>
        <v>2</v>
      </c>
      <c r="W50" s="37">
        <f t="shared" si="33"/>
        <v>0.24</v>
      </c>
      <c r="X50" s="40">
        <f t="shared" si="34"/>
        <v>0.76</v>
      </c>
      <c r="Y50" s="39">
        <f t="shared" si="35"/>
        <v>1.3818181818181816</v>
      </c>
      <c r="Z50" s="37">
        <f t="shared" si="28"/>
        <v>1.5291157185894027</v>
      </c>
      <c r="AA50" s="37">
        <f t="shared" si="29"/>
        <v>0.92828271985827493</v>
      </c>
      <c r="AB50" s="37">
        <v>0</v>
      </c>
      <c r="AC50" s="37">
        <f t="shared" si="36"/>
        <v>7.6692083910885412E-3</v>
      </c>
      <c r="AD50" s="40">
        <f t="shared" si="19"/>
        <v>7.6692083910885412E-3</v>
      </c>
      <c r="AE50" s="39">
        <f t="shared" si="27"/>
        <v>0.20116959064327486</v>
      </c>
      <c r="AF50" s="37">
        <f t="shared" si="20"/>
        <v>0.45476380013914286</v>
      </c>
      <c r="AG50" s="37">
        <f t="shared" si="37"/>
        <v>9.5132652401817364E-4</v>
      </c>
      <c r="AH50" s="37">
        <f t="shared" si="38"/>
        <v>3.6841251183510372E-2</v>
      </c>
      <c r="AI50" s="40">
        <f t="shared" si="21"/>
        <v>3.7792577707528544E-2</v>
      </c>
      <c r="AJ50" s="39">
        <f t="shared" si="22"/>
        <v>0.63703703703703707</v>
      </c>
      <c r="AK50" s="37">
        <f t="shared" si="39"/>
        <v>0.80925811337945941</v>
      </c>
      <c r="AL50" s="37">
        <f t="shared" si="40"/>
        <v>0.33253333333333335</v>
      </c>
      <c r="AM50" s="37">
        <f t="shared" si="41"/>
        <v>2.4552000000000001E-2</v>
      </c>
      <c r="AN50" s="40">
        <f t="shared" si="23"/>
        <v>0.35708533333333337</v>
      </c>
      <c r="AO50" s="39">
        <f t="shared" si="42"/>
        <v>4.1362022783398853E-3</v>
      </c>
      <c r="AP50" s="37">
        <f t="shared" si="43"/>
        <v>0.11701800000000001</v>
      </c>
      <c r="AQ50" s="40">
        <f t="shared" si="44"/>
        <v>1.7099999999999999E-3</v>
      </c>
      <c r="AR50" s="39">
        <f t="shared" si="24"/>
        <v>0.52541132171029037</v>
      </c>
      <c r="AS50" s="37">
        <f t="shared" si="25"/>
        <v>2.8666666666666667</v>
      </c>
      <c r="AT50" s="40">
        <f t="shared" si="26"/>
        <v>84.510635559953926</v>
      </c>
    </row>
    <row r="51" spans="17:46" x14ac:dyDescent="0.2">
      <c r="Q51">
        <v>44</v>
      </c>
      <c r="R51" s="39">
        <f t="shared" si="0"/>
        <v>5</v>
      </c>
      <c r="S51" s="37">
        <f t="shared" si="30"/>
        <v>0.58666666666666667</v>
      </c>
      <c r="T51" s="37">
        <f t="shared" si="2"/>
        <v>3.8</v>
      </c>
      <c r="U51" s="40">
        <f t="shared" si="31"/>
        <v>0.85769980506822618</v>
      </c>
      <c r="V51" s="39">
        <f t="shared" si="32"/>
        <v>2</v>
      </c>
      <c r="W51" s="37">
        <f t="shared" si="33"/>
        <v>0.24</v>
      </c>
      <c r="X51" s="40">
        <f t="shared" si="34"/>
        <v>0.76</v>
      </c>
      <c r="Y51" s="39">
        <f t="shared" si="35"/>
        <v>1.3818181818181816</v>
      </c>
      <c r="Z51" s="37">
        <f t="shared" si="28"/>
        <v>1.548608895977317</v>
      </c>
      <c r="AA51" s="37">
        <f t="shared" si="29"/>
        <v>0.94592146233942098</v>
      </c>
      <c r="AB51" s="37">
        <v>0</v>
      </c>
      <c r="AC51" s="37">
        <f t="shared" si="36"/>
        <v>7.9634299749377028E-3</v>
      </c>
      <c r="AD51" s="40">
        <f t="shared" si="19"/>
        <v>7.9634299749377028E-3</v>
      </c>
      <c r="AE51" s="39">
        <f t="shared" si="27"/>
        <v>0.20584795321637428</v>
      </c>
      <c r="AF51" s="37">
        <f t="shared" si="20"/>
        <v>0.46340498389577511</v>
      </c>
      <c r="AG51" s="37">
        <f t="shared" si="37"/>
        <v>9.8782322385744048E-4</v>
      </c>
      <c r="AH51" s="37">
        <f t="shared" si="38"/>
        <v>3.7698024466847821E-2</v>
      </c>
      <c r="AI51" s="40">
        <f t="shared" si="21"/>
        <v>3.8685847690705259E-2</v>
      </c>
      <c r="AJ51" s="39">
        <f t="shared" si="22"/>
        <v>0.6518518518518519</v>
      </c>
      <c r="AK51" s="37">
        <f t="shared" si="39"/>
        <v>0.82463521257275019</v>
      </c>
      <c r="AL51" s="37">
        <f t="shared" si="40"/>
        <v>0.34026666666666666</v>
      </c>
      <c r="AM51" s="37">
        <f t="shared" si="41"/>
        <v>2.4552000000000001E-2</v>
      </c>
      <c r="AN51" s="40">
        <f t="shared" si="23"/>
        <v>0.36481866666666668</v>
      </c>
      <c r="AO51" s="39">
        <f t="shared" si="42"/>
        <v>4.2948835819888722E-3</v>
      </c>
      <c r="AP51" s="37">
        <f t="shared" si="43"/>
        <v>0.11701800000000001</v>
      </c>
      <c r="AQ51" s="40">
        <f t="shared" si="44"/>
        <v>1.7099999999999999E-3</v>
      </c>
      <c r="AR51" s="39">
        <f t="shared" si="24"/>
        <v>0.53449082791429847</v>
      </c>
      <c r="AS51" s="37">
        <f t="shared" si="25"/>
        <v>2.9333333333333336</v>
      </c>
      <c r="AT51" s="40">
        <f t="shared" si="26"/>
        <v>84.58714158903598</v>
      </c>
    </row>
    <row r="52" spans="17:46" x14ac:dyDescent="0.2">
      <c r="Q52">
        <v>45</v>
      </c>
      <c r="R52" s="39">
        <f t="shared" si="0"/>
        <v>5</v>
      </c>
      <c r="S52" s="37">
        <f t="shared" si="30"/>
        <v>0.60000000000000009</v>
      </c>
      <c r="T52" s="37">
        <f t="shared" si="2"/>
        <v>3.8</v>
      </c>
      <c r="U52" s="40">
        <f t="shared" si="31"/>
        <v>0.87719298245614052</v>
      </c>
      <c r="V52" s="39">
        <f t="shared" si="32"/>
        <v>2</v>
      </c>
      <c r="W52" s="37">
        <f t="shared" si="33"/>
        <v>0.24</v>
      </c>
      <c r="X52" s="40">
        <f t="shared" si="34"/>
        <v>0.76</v>
      </c>
      <c r="Y52" s="39">
        <f t="shared" si="35"/>
        <v>1.3818181818181816</v>
      </c>
      <c r="Z52" s="37">
        <f t="shared" si="28"/>
        <v>1.5681020733652313</v>
      </c>
      <c r="AA52" s="37">
        <f t="shared" si="29"/>
        <v>0.96363166498957176</v>
      </c>
      <c r="AB52" s="37">
        <v>0</v>
      </c>
      <c r="AC52" s="37">
        <f t="shared" si="36"/>
        <v>8.2644152733581111E-3</v>
      </c>
      <c r="AD52" s="40">
        <f t="shared" si="19"/>
        <v>8.2644152733581111E-3</v>
      </c>
      <c r="AE52" s="39">
        <f t="shared" si="27"/>
        <v>0.21052631578947373</v>
      </c>
      <c r="AF52" s="37">
        <f t="shared" si="20"/>
        <v>0.47208117584260639</v>
      </c>
      <c r="AG52" s="37">
        <f t="shared" si="37"/>
        <v>1.025158928290714E-3</v>
      </c>
      <c r="AH52" s="37">
        <f t="shared" si="38"/>
        <v>3.8554797750185277E-2</v>
      </c>
      <c r="AI52" s="40">
        <f t="shared" si="21"/>
        <v>3.957995667847599E-2</v>
      </c>
      <c r="AJ52" s="39">
        <f t="shared" si="22"/>
        <v>0.66666666666666685</v>
      </c>
      <c r="AK52" s="37">
        <f t="shared" si="39"/>
        <v>0.84007460929707711</v>
      </c>
      <c r="AL52" s="37">
        <f t="shared" si="40"/>
        <v>0.34800000000000003</v>
      </c>
      <c r="AM52" s="37">
        <f t="shared" si="41"/>
        <v>2.4552000000000001E-2</v>
      </c>
      <c r="AN52" s="40">
        <f t="shared" si="23"/>
        <v>0.37255200000000005</v>
      </c>
      <c r="AO52" s="39">
        <f t="shared" si="42"/>
        <v>4.4572127316987575E-3</v>
      </c>
      <c r="AP52" s="37">
        <f t="shared" si="43"/>
        <v>0.11701800000000001</v>
      </c>
      <c r="AQ52" s="40">
        <f t="shared" si="44"/>
        <v>1.7099999999999999E-3</v>
      </c>
      <c r="AR52" s="39">
        <f t="shared" si="24"/>
        <v>0.5435815846835329</v>
      </c>
      <c r="AS52" s="37">
        <f t="shared" si="25"/>
        <v>3.0000000000000004</v>
      </c>
      <c r="AT52" s="40">
        <f t="shared" si="26"/>
        <v>84.660108094221329</v>
      </c>
    </row>
    <row r="53" spans="17:46" x14ac:dyDescent="0.2">
      <c r="Q53">
        <v>46</v>
      </c>
      <c r="R53" s="39">
        <f t="shared" si="0"/>
        <v>5</v>
      </c>
      <c r="S53" s="37">
        <f t="shared" si="30"/>
        <v>0.6133333333333334</v>
      </c>
      <c r="T53" s="37">
        <f t="shared" si="2"/>
        <v>3.8</v>
      </c>
      <c r="U53" s="40">
        <f t="shared" si="31"/>
        <v>0.89668615984405464</v>
      </c>
      <c r="V53" s="39">
        <f t="shared" si="32"/>
        <v>2</v>
      </c>
      <c r="W53" s="37">
        <f t="shared" si="33"/>
        <v>0.24</v>
      </c>
      <c r="X53" s="40">
        <f t="shared" si="34"/>
        <v>0.76</v>
      </c>
      <c r="Y53" s="39">
        <f t="shared" si="35"/>
        <v>1.3818181818181816</v>
      </c>
      <c r="Z53" s="37">
        <f t="shared" si="28"/>
        <v>1.5875952507531454</v>
      </c>
      <c r="AA53" s="37">
        <f t="shared" si="29"/>
        <v>0.98140945917397437</v>
      </c>
      <c r="AB53" s="37">
        <v>0</v>
      </c>
      <c r="AC53" s="37">
        <f t="shared" si="36"/>
        <v>8.5721642863497618E-3</v>
      </c>
      <c r="AD53" s="40">
        <f t="shared" si="19"/>
        <v>8.5721642863497618E-3</v>
      </c>
      <c r="AE53" s="39">
        <f t="shared" si="27"/>
        <v>0.21520467836257309</v>
      </c>
      <c r="AF53" s="37">
        <f t="shared" si="20"/>
        <v>0.48079048074340724</v>
      </c>
      <c r="AG53" s="37">
        <f t="shared" si="37"/>
        <v>1.0633336373179927E-3</v>
      </c>
      <c r="AH53" s="37">
        <f t="shared" si="38"/>
        <v>3.9411571033522726E-2</v>
      </c>
      <c r="AI53" s="40">
        <f t="shared" si="21"/>
        <v>4.0474904670840715E-2</v>
      </c>
      <c r="AJ53" s="39">
        <f t="shared" si="22"/>
        <v>0.68148148148148158</v>
      </c>
      <c r="AK53" s="37">
        <f t="shared" si="39"/>
        <v>0.8555729309548521</v>
      </c>
      <c r="AL53" s="37">
        <f t="shared" si="40"/>
        <v>0.35573333333333335</v>
      </c>
      <c r="AM53" s="37">
        <f t="shared" si="41"/>
        <v>2.4552000000000001E-2</v>
      </c>
      <c r="AN53" s="40">
        <f t="shared" si="23"/>
        <v>0.38028533333333336</v>
      </c>
      <c r="AO53" s="39">
        <f t="shared" si="42"/>
        <v>4.6231897274695332E-3</v>
      </c>
      <c r="AP53" s="37">
        <f t="shared" si="43"/>
        <v>0.11701800000000001</v>
      </c>
      <c r="AQ53" s="40">
        <f t="shared" si="44"/>
        <v>1.7099999999999999E-3</v>
      </c>
      <c r="AR53" s="39">
        <f t="shared" si="24"/>
        <v>0.55268359201799344</v>
      </c>
      <c r="AS53" s="37">
        <f t="shared" si="25"/>
        <v>3.0666666666666669</v>
      </c>
      <c r="AT53" s="40">
        <f t="shared" si="26"/>
        <v>84.729756654752478</v>
      </c>
    </row>
    <row r="54" spans="17:46" x14ac:dyDescent="0.2">
      <c r="Q54">
        <v>47</v>
      </c>
      <c r="R54" s="39">
        <f t="shared" si="0"/>
        <v>5</v>
      </c>
      <c r="S54" s="37">
        <f t="shared" si="30"/>
        <v>0.62666666666666671</v>
      </c>
      <c r="T54" s="37">
        <f t="shared" si="2"/>
        <v>3.8</v>
      </c>
      <c r="U54" s="40">
        <f t="shared" si="31"/>
        <v>0.91617933723196898</v>
      </c>
      <c r="V54" s="39">
        <f t="shared" si="32"/>
        <v>2</v>
      </c>
      <c r="W54" s="37">
        <f t="shared" si="33"/>
        <v>0.24</v>
      </c>
      <c r="X54" s="40">
        <f t="shared" si="34"/>
        <v>0.76</v>
      </c>
      <c r="Y54" s="39">
        <f t="shared" si="35"/>
        <v>1.3818181818181816</v>
      </c>
      <c r="Z54" s="37">
        <f t="shared" si="28"/>
        <v>1.6070884281410598</v>
      </c>
      <c r="AA54" s="37">
        <f t="shared" si="29"/>
        <v>0.99925123731276178</v>
      </c>
      <c r="AB54" s="37">
        <v>0</v>
      </c>
      <c r="AC54" s="37">
        <f t="shared" si="36"/>
        <v>8.8866770139126583E-3</v>
      </c>
      <c r="AD54" s="40">
        <f t="shared" si="19"/>
        <v>8.8866770139126583E-3</v>
      </c>
      <c r="AE54" s="39">
        <f t="shared" si="27"/>
        <v>0.21988304093567254</v>
      </c>
      <c r="AF54" s="37">
        <f t="shared" si="20"/>
        <v>0.48953113125220177</v>
      </c>
      <c r="AG54" s="37">
        <f t="shared" si="37"/>
        <v>1.1023473509392779E-3</v>
      </c>
      <c r="AH54" s="37">
        <f t="shared" si="38"/>
        <v>4.0268344316860175E-2</v>
      </c>
      <c r="AI54" s="40">
        <f t="shared" si="21"/>
        <v>4.1370691667799456E-2</v>
      </c>
      <c r="AJ54" s="39">
        <f t="shared" si="22"/>
        <v>0.69629629629629641</v>
      </c>
      <c r="AK54" s="37">
        <f t="shared" si="39"/>
        <v>0.87112703253086154</v>
      </c>
      <c r="AL54" s="37">
        <f t="shared" si="40"/>
        <v>0.36346666666666666</v>
      </c>
      <c r="AM54" s="37">
        <f t="shared" si="41"/>
        <v>2.4552000000000001E-2</v>
      </c>
      <c r="AN54" s="40">
        <f t="shared" si="23"/>
        <v>0.38801866666666668</v>
      </c>
      <c r="AO54" s="39">
        <f t="shared" si="42"/>
        <v>4.792814569301208E-3</v>
      </c>
      <c r="AP54" s="37">
        <f t="shared" si="43"/>
        <v>0.11701800000000001</v>
      </c>
      <c r="AQ54" s="40">
        <f t="shared" si="44"/>
        <v>1.7099999999999999E-3</v>
      </c>
      <c r="AR54" s="39">
        <f t="shared" si="24"/>
        <v>0.56179684991767997</v>
      </c>
      <c r="AS54" s="37">
        <f t="shared" si="25"/>
        <v>3.1333333333333337</v>
      </c>
      <c r="AT54" s="40">
        <f t="shared" si="26"/>
        <v>84.796290737897479</v>
      </c>
    </row>
    <row r="55" spans="17:46" x14ac:dyDescent="0.2">
      <c r="Q55">
        <v>48</v>
      </c>
      <c r="R55" s="39">
        <f t="shared" si="0"/>
        <v>5</v>
      </c>
      <c r="S55" s="37">
        <f t="shared" si="30"/>
        <v>0.64</v>
      </c>
      <c r="T55" s="37">
        <f t="shared" si="2"/>
        <v>3.8</v>
      </c>
      <c r="U55" s="40">
        <f t="shared" si="31"/>
        <v>0.9356725146198831</v>
      </c>
      <c r="V55" s="39">
        <f t="shared" si="32"/>
        <v>2</v>
      </c>
      <c r="W55" s="37">
        <f t="shared" si="33"/>
        <v>0.24</v>
      </c>
      <c r="X55" s="40">
        <f t="shared" si="34"/>
        <v>0.76</v>
      </c>
      <c r="Y55" s="39">
        <f t="shared" si="35"/>
        <v>1.3818181818181816</v>
      </c>
      <c r="Z55" s="37">
        <f t="shared" si="28"/>
        <v>1.6265816055289739</v>
      </c>
      <c r="AA55" s="37">
        <f t="shared" si="29"/>
        <v>1.0171536324053367</v>
      </c>
      <c r="AB55" s="37">
        <v>0</v>
      </c>
      <c r="AC55" s="37">
        <f t="shared" si="36"/>
        <v>9.2079534560468006E-3</v>
      </c>
      <c r="AD55" s="40">
        <f t="shared" si="19"/>
        <v>9.2079534560468006E-3</v>
      </c>
      <c r="AE55" s="39">
        <f t="shared" si="27"/>
        <v>0.22456140350877193</v>
      </c>
      <c r="AF55" s="37">
        <f t="shared" si="20"/>
        <v>0.49830147788230461</v>
      </c>
      <c r="AG55" s="37">
        <f t="shared" si="37"/>
        <v>1.1422000691545689E-3</v>
      </c>
      <c r="AH55" s="37">
        <f t="shared" si="38"/>
        <v>4.1125117600197623E-2</v>
      </c>
      <c r="AI55" s="40">
        <f t="shared" si="21"/>
        <v>4.226731766935219E-2</v>
      </c>
      <c r="AJ55" s="39">
        <f t="shared" si="22"/>
        <v>0.71111111111111114</v>
      </c>
      <c r="AK55" s="37">
        <f t="shared" si="39"/>
        <v>0.88673397874203597</v>
      </c>
      <c r="AL55" s="37">
        <f t="shared" si="40"/>
        <v>0.37119999999999997</v>
      </c>
      <c r="AM55" s="37">
        <f t="shared" si="41"/>
        <v>2.4552000000000001E-2</v>
      </c>
      <c r="AN55" s="40">
        <f t="shared" si="23"/>
        <v>0.39575199999999999</v>
      </c>
      <c r="AO55" s="39">
        <f t="shared" si="42"/>
        <v>4.9660872571937785E-3</v>
      </c>
      <c r="AP55" s="37">
        <f t="shared" si="43"/>
        <v>0.11701800000000001</v>
      </c>
      <c r="AQ55" s="40">
        <f t="shared" si="44"/>
        <v>1.7099999999999999E-3</v>
      </c>
      <c r="AR55" s="39">
        <f t="shared" si="24"/>
        <v>0.57092135838259284</v>
      </c>
      <c r="AS55" s="37">
        <f t="shared" si="25"/>
        <v>3.2</v>
      </c>
      <c r="AT55" s="40">
        <f t="shared" si="26"/>
        <v>84.859897512488303</v>
      </c>
    </row>
    <row r="56" spans="17:46" x14ac:dyDescent="0.2">
      <c r="Q56">
        <v>49</v>
      </c>
      <c r="R56" s="39">
        <f t="shared" si="0"/>
        <v>5</v>
      </c>
      <c r="S56" s="37">
        <f t="shared" si="30"/>
        <v>0.65333333333333332</v>
      </c>
      <c r="T56" s="37">
        <f t="shared" si="2"/>
        <v>3.8</v>
      </c>
      <c r="U56" s="40">
        <f t="shared" si="31"/>
        <v>0.95516569200779733</v>
      </c>
      <c r="V56" s="39">
        <f t="shared" si="32"/>
        <v>2</v>
      </c>
      <c r="W56" s="37">
        <f t="shared" si="33"/>
        <v>0.24</v>
      </c>
      <c r="X56" s="40">
        <f t="shared" si="34"/>
        <v>0.76</v>
      </c>
      <c r="Y56" s="39">
        <f t="shared" si="35"/>
        <v>1.3818181818181816</v>
      </c>
      <c r="Z56" s="37">
        <f t="shared" si="28"/>
        <v>1.6460747829168882</v>
      </c>
      <c r="AA56" s="37">
        <f t="shared" si="29"/>
        <v>1.0351134993270108</v>
      </c>
      <c r="AB56" s="37">
        <v>0</v>
      </c>
      <c r="AC56" s="37">
        <f t="shared" si="36"/>
        <v>9.5359936127521836E-3</v>
      </c>
      <c r="AD56" s="40">
        <f t="shared" si="19"/>
        <v>9.5359936127521836E-3</v>
      </c>
      <c r="AE56" s="39">
        <f t="shared" si="27"/>
        <v>0.22923976608187135</v>
      </c>
      <c r="AF56" s="37">
        <f t="shared" si="20"/>
        <v>0.50709997984358313</v>
      </c>
      <c r="AG56" s="37">
        <f t="shared" si="37"/>
        <v>1.182891791963867E-3</v>
      </c>
      <c r="AH56" s="37">
        <f t="shared" si="38"/>
        <v>4.1981890883535072E-2</v>
      </c>
      <c r="AI56" s="40">
        <f t="shared" si="21"/>
        <v>4.316478267549894E-2</v>
      </c>
      <c r="AJ56" s="39">
        <f t="shared" si="22"/>
        <v>0.72592592592592597</v>
      </c>
      <c r="AK56" s="37">
        <f t="shared" si="39"/>
        <v>0.90239102773223967</v>
      </c>
      <c r="AL56" s="37">
        <f t="shared" si="40"/>
        <v>0.37893333333333329</v>
      </c>
      <c r="AM56" s="37">
        <f t="shared" si="41"/>
        <v>2.4552000000000001E-2</v>
      </c>
      <c r="AN56" s="40">
        <f t="shared" si="23"/>
        <v>0.40348533333333331</v>
      </c>
      <c r="AO56" s="39">
        <f t="shared" si="42"/>
        <v>5.1430077911472482E-3</v>
      </c>
      <c r="AP56" s="37">
        <f t="shared" si="43"/>
        <v>0.11701800000000001</v>
      </c>
      <c r="AQ56" s="40">
        <f t="shared" si="44"/>
        <v>1.7099999999999999E-3</v>
      </c>
      <c r="AR56" s="39">
        <f t="shared" si="24"/>
        <v>0.58005711741273169</v>
      </c>
      <c r="AS56" s="37">
        <f t="shared" si="25"/>
        <v>3.2666666666666666</v>
      </c>
      <c r="AT56" s="40">
        <f t="shared" si="26"/>
        <v>84.920749448831273</v>
      </c>
    </row>
    <row r="57" spans="17:46" x14ac:dyDescent="0.2">
      <c r="Q57">
        <v>50</v>
      </c>
      <c r="R57" s="39">
        <f t="shared" si="0"/>
        <v>5</v>
      </c>
      <c r="S57" s="37">
        <f t="shared" si="30"/>
        <v>0.66666666666666674</v>
      </c>
      <c r="T57" s="37">
        <f t="shared" si="2"/>
        <v>3.8</v>
      </c>
      <c r="U57" s="40">
        <f t="shared" si="31"/>
        <v>0.97465886939571167</v>
      </c>
      <c r="V57" s="39">
        <f t="shared" si="32"/>
        <v>2</v>
      </c>
      <c r="W57" s="37">
        <f t="shared" si="33"/>
        <v>0.24</v>
      </c>
      <c r="X57" s="40">
        <f t="shared" si="34"/>
        <v>0.76</v>
      </c>
      <c r="Y57" s="39">
        <f t="shared" si="35"/>
        <v>1.3818181818181816</v>
      </c>
      <c r="Z57" s="37">
        <f t="shared" si="28"/>
        <v>1.6655679603048026</v>
      </c>
      <c r="AA57" s="37">
        <f t="shared" si="29"/>
        <v>1.0531278977370233</v>
      </c>
      <c r="AB57" s="37">
        <v>0</v>
      </c>
      <c r="AC57" s="37">
        <f t="shared" si="36"/>
        <v>9.8707974840288211E-3</v>
      </c>
      <c r="AD57" s="40">
        <f t="shared" si="19"/>
        <v>9.8707974840288211E-3</v>
      </c>
      <c r="AE57" s="39">
        <f t="shared" si="27"/>
        <v>0.2339181286549708</v>
      </c>
      <c r="AF57" s="37">
        <f t="shared" si="20"/>
        <v>0.51592519666913006</v>
      </c>
      <c r="AG57" s="37">
        <f t="shared" si="37"/>
        <v>1.2244225193671703E-3</v>
      </c>
      <c r="AH57" s="37">
        <f t="shared" si="38"/>
        <v>4.2838664166872535E-2</v>
      </c>
      <c r="AI57" s="40">
        <f t="shared" si="21"/>
        <v>4.4063086686239705E-2</v>
      </c>
      <c r="AJ57" s="39">
        <f t="shared" si="22"/>
        <v>0.74074074074074092</v>
      </c>
      <c r="AK57" s="37">
        <f t="shared" si="39"/>
        <v>0.91809561617182434</v>
      </c>
      <c r="AL57" s="37">
        <f t="shared" si="40"/>
        <v>0.38666666666666666</v>
      </c>
      <c r="AM57" s="37">
        <f t="shared" si="41"/>
        <v>2.4552000000000001E-2</v>
      </c>
      <c r="AN57" s="40">
        <f t="shared" si="23"/>
        <v>0.41121866666666668</v>
      </c>
      <c r="AO57" s="39">
        <f t="shared" si="42"/>
        <v>5.3235761711616101E-3</v>
      </c>
      <c r="AP57" s="37">
        <f t="shared" si="43"/>
        <v>0.11701800000000001</v>
      </c>
      <c r="AQ57" s="40">
        <f t="shared" si="44"/>
        <v>1.7099999999999999E-3</v>
      </c>
      <c r="AR57" s="39">
        <f t="shared" si="24"/>
        <v>0.58920412700809688</v>
      </c>
      <c r="AS57" s="37">
        <f t="shared" si="25"/>
        <v>3.3333333333333339</v>
      </c>
      <c r="AT57" s="40">
        <f t="shared" si="26"/>
        <v>84.979005733783083</v>
      </c>
    </row>
    <row r="58" spans="17:46" x14ac:dyDescent="0.2">
      <c r="Q58">
        <v>51</v>
      </c>
      <c r="R58" s="39">
        <f t="shared" si="0"/>
        <v>5</v>
      </c>
      <c r="S58" s="37">
        <f t="shared" si="30"/>
        <v>0.68</v>
      </c>
      <c r="T58" s="37">
        <f t="shared" si="2"/>
        <v>3.8</v>
      </c>
      <c r="U58" s="40">
        <f t="shared" si="31"/>
        <v>0.9941520467836259</v>
      </c>
      <c r="V58" s="39">
        <f t="shared" si="32"/>
        <v>2</v>
      </c>
      <c r="W58" s="37">
        <f t="shared" si="33"/>
        <v>0.24</v>
      </c>
      <c r="X58" s="40">
        <f t="shared" si="34"/>
        <v>0.76</v>
      </c>
      <c r="Y58" s="39">
        <f t="shared" si="35"/>
        <v>1.3818181818181816</v>
      </c>
      <c r="Z58" s="37">
        <f t="shared" si="28"/>
        <v>1.6850611376927167</v>
      </c>
      <c r="AA58" s="37">
        <f t="shared" si="29"/>
        <v>1.0711940764512975</v>
      </c>
      <c r="AB58" s="37">
        <v>0</v>
      </c>
      <c r="AC58" s="37">
        <f t="shared" si="36"/>
        <v>1.0212365069876699E-2</v>
      </c>
      <c r="AD58" s="40">
        <f t="shared" si="19"/>
        <v>1.0212365069876699E-2</v>
      </c>
      <c r="AE58" s="39">
        <f t="shared" si="27"/>
        <v>0.2385964912280702</v>
      </c>
      <c r="AF58" s="37">
        <f t="shared" si="20"/>
        <v>0.52477578055951046</v>
      </c>
      <c r="AG58" s="37">
        <f t="shared" si="37"/>
        <v>1.2667922513644799E-3</v>
      </c>
      <c r="AH58" s="37">
        <f t="shared" si="38"/>
        <v>4.3695437450209984E-2</v>
      </c>
      <c r="AI58" s="40">
        <f t="shared" si="21"/>
        <v>4.4962229701574465E-2</v>
      </c>
      <c r="AJ58" s="39">
        <f t="shared" si="22"/>
        <v>0.75555555555555565</v>
      </c>
      <c r="AK58" s="37">
        <f t="shared" si="39"/>
        <v>0.93384534563411747</v>
      </c>
      <c r="AL58" s="37">
        <f t="shared" si="40"/>
        <v>0.39440000000000003</v>
      </c>
      <c r="AM58" s="37">
        <f t="shared" si="41"/>
        <v>2.4552000000000001E-2</v>
      </c>
      <c r="AN58" s="40">
        <f t="shared" si="23"/>
        <v>0.41895200000000005</v>
      </c>
      <c r="AO58" s="39">
        <f t="shared" si="42"/>
        <v>5.5077923972368693E-3</v>
      </c>
      <c r="AP58" s="37">
        <f t="shared" si="43"/>
        <v>0.11701800000000001</v>
      </c>
      <c r="AQ58" s="40">
        <f t="shared" si="44"/>
        <v>1.7099999999999999E-3</v>
      </c>
      <c r="AR58" s="39">
        <f t="shared" si="24"/>
        <v>0.59836238716868817</v>
      </c>
      <c r="AS58" s="37">
        <f t="shared" si="25"/>
        <v>3.4000000000000004</v>
      </c>
      <c r="AT58" s="40">
        <f t="shared" si="26"/>
        <v>85.034813525434373</v>
      </c>
    </row>
    <row r="59" spans="17:46" x14ac:dyDescent="0.2">
      <c r="Q59">
        <v>52</v>
      </c>
      <c r="R59" s="39">
        <f t="shared" si="0"/>
        <v>5</v>
      </c>
      <c r="S59" s="37">
        <f t="shared" si="30"/>
        <v>0.69333333333333336</v>
      </c>
      <c r="T59" s="37">
        <f t="shared" si="2"/>
        <v>3.8</v>
      </c>
      <c r="U59" s="40">
        <f t="shared" si="31"/>
        <v>1.0136452241715401</v>
      </c>
      <c r="V59" s="39">
        <f t="shared" si="32"/>
        <v>2</v>
      </c>
      <c r="W59" s="37">
        <f t="shared" si="33"/>
        <v>0.24</v>
      </c>
      <c r="X59" s="40">
        <f t="shared" si="34"/>
        <v>0.76</v>
      </c>
      <c r="Y59" s="39">
        <f t="shared" si="35"/>
        <v>1.3818181818181816</v>
      </c>
      <c r="Z59" s="37">
        <f t="shared" si="28"/>
        <v>1.7045543150806308</v>
      </c>
      <c r="AA59" s="37">
        <f t="shared" si="29"/>
        <v>1.0893094591465031</v>
      </c>
      <c r="AB59" s="37">
        <v>0</v>
      </c>
      <c r="AC59" s="37">
        <f t="shared" si="36"/>
        <v>1.056069637029582E-2</v>
      </c>
      <c r="AD59" s="40">
        <f t="shared" si="19"/>
        <v>1.056069637029582E-2</v>
      </c>
      <c r="AE59" s="39">
        <f t="shared" si="27"/>
        <v>0.24327485380116962</v>
      </c>
      <c r="AF59" s="37">
        <f t="shared" si="20"/>
        <v>0.53365046937921012</v>
      </c>
      <c r="AG59" s="37">
        <f t="shared" si="37"/>
        <v>1.3100009879557959E-3</v>
      </c>
      <c r="AH59" s="37">
        <f t="shared" si="38"/>
        <v>4.4552210733547433E-2</v>
      </c>
      <c r="AI59" s="40">
        <f t="shared" si="21"/>
        <v>4.5862211721503232E-2</v>
      </c>
      <c r="AJ59" s="39">
        <f t="shared" si="22"/>
        <v>0.77037037037037048</v>
      </c>
      <c r="AK59" s="37">
        <f t="shared" si="39"/>
        <v>0.94963797013251083</v>
      </c>
      <c r="AL59" s="37">
        <f t="shared" si="40"/>
        <v>0.40213333333333334</v>
      </c>
      <c r="AM59" s="37">
        <f t="shared" si="41"/>
        <v>2.4552000000000001E-2</v>
      </c>
      <c r="AN59" s="40">
        <f t="shared" si="23"/>
        <v>0.42668533333333336</v>
      </c>
      <c r="AO59" s="39">
        <f t="shared" si="42"/>
        <v>5.695656469373026E-3</v>
      </c>
      <c r="AP59" s="37">
        <f t="shared" si="43"/>
        <v>0.11701800000000001</v>
      </c>
      <c r="AQ59" s="40">
        <f t="shared" si="44"/>
        <v>1.7099999999999999E-3</v>
      </c>
      <c r="AR59" s="39">
        <f t="shared" si="24"/>
        <v>0.60753189789450546</v>
      </c>
      <c r="AS59" s="37">
        <f t="shared" si="25"/>
        <v>3.4666666666666668</v>
      </c>
      <c r="AT59" s="40">
        <f t="shared" si="26"/>
        <v>85.088309068216901</v>
      </c>
    </row>
    <row r="60" spans="17:46" x14ac:dyDescent="0.2">
      <c r="Q60">
        <v>53</v>
      </c>
      <c r="R60" s="39">
        <f t="shared" si="0"/>
        <v>5</v>
      </c>
      <c r="S60" s="37">
        <f t="shared" si="30"/>
        <v>0.70666666666666667</v>
      </c>
      <c r="T60" s="37">
        <f t="shared" si="2"/>
        <v>3.8</v>
      </c>
      <c r="U60" s="40">
        <f t="shared" si="31"/>
        <v>1.0331384015594542</v>
      </c>
      <c r="V60" s="39">
        <f t="shared" si="32"/>
        <v>2</v>
      </c>
      <c r="W60" s="37">
        <f t="shared" si="33"/>
        <v>0.24</v>
      </c>
      <c r="X60" s="40">
        <f t="shared" si="34"/>
        <v>0.76</v>
      </c>
      <c r="Y60" s="39">
        <f t="shared" si="35"/>
        <v>1.3818181818181816</v>
      </c>
      <c r="Z60" s="37">
        <f t="shared" si="28"/>
        <v>1.7240474924685452</v>
      </c>
      <c r="AA60" s="37">
        <f t="shared" si="29"/>
        <v>1.1074716312741828</v>
      </c>
      <c r="AB60" s="37">
        <v>0</v>
      </c>
      <c r="AC60" s="37">
        <f t="shared" si="36"/>
        <v>1.0915791385286186E-2</v>
      </c>
      <c r="AD60" s="40">
        <f t="shared" si="19"/>
        <v>1.0915791385286186E-2</v>
      </c>
      <c r="AE60" s="39">
        <f t="shared" si="27"/>
        <v>0.24795321637426901</v>
      </c>
      <c r="AF60" s="37">
        <f t="shared" si="20"/>
        <v>0.54254808024589285</v>
      </c>
      <c r="AG60" s="37">
        <f t="shared" si="37"/>
        <v>1.3540487291411173E-3</v>
      </c>
      <c r="AH60" s="37">
        <f t="shared" si="38"/>
        <v>4.5408984016884882E-2</v>
      </c>
      <c r="AI60" s="40">
        <f t="shared" si="21"/>
        <v>4.6763032746026001E-2</v>
      </c>
      <c r="AJ60" s="39">
        <f t="shared" si="22"/>
        <v>0.78518518518518521</v>
      </c>
      <c r="AK60" s="37">
        <f t="shared" si="39"/>
        <v>0.9654713847124603</v>
      </c>
      <c r="AL60" s="37">
        <f t="shared" si="40"/>
        <v>0.40986666666666666</v>
      </c>
      <c r="AM60" s="37">
        <f t="shared" si="41"/>
        <v>2.4552000000000001E-2</v>
      </c>
      <c r="AN60" s="40">
        <f t="shared" si="23"/>
        <v>0.43441866666666668</v>
      </c>
      <c r="AO60" s="39">
        <f t="shared" si="42"/>
        <v>5.8871683875700758E-3</v>
      </c>
      <c r="AP60" s="37">
        <f t="shared" si="43"/>
        <v>0.11701800000000001</v>
      </c>
      <c r="AQ60" s="40">
        <f t="shared" si="44"/>
        <v>1.7099999999999999E-3</v>
      </c>
      <c r="AR60" s="39">
        <f t="shared" si="24"/>
        <v>0.61671265918554896</v>
      </c>
      <c r="AS60" s="37">
        <f t="shared" si="25"/>
        <v>3.5333333333333332</v>
      </c>
      <c r="AT60" s="40">
        <f t="shared" si="26"/>
        <v>85.139618686220075</v>
      </c>
    </row>
    <row r="61" spans="17:46" x14ac:dyDescent="0.2">
      <c r="Q61">
        <v>54</v>
      </c>
      <c r="R61" s="39">
        <f t="shared" si="0"/>
        <v>5</v>
      </c>
      <c r="S61" s="37">
        <f t="shared" si="30"/>
        <v>0.72000000000000008</v>
      </c>
      <c r="T61" s="37">
        <f t="shared" si="2"/>
        <v>3.8</v>
      </c>
      <c r="U61" s="40">
        <f t="shared" si="31"/>
        <v>1.0526315789473686</v>
      </c>
      <c r="V61" s="39">
        <f t="shared" si="32"/>
        <v>2</v>
      </c>
      <c r="W61" s="37">
        <f t="shared" si="33"/>
        <v>0.24</v>
      </c>
      <c r="X61" s="40">
        <f t="shared" si="34"/>
        <v>0.76</v>
      </c>
      <c r="Y61" s="39">
        <f t="shared" si="35"/>
        <v>1.3818181818181816</v>
      </c>
      <c r="Z61" s="37">
        <f t="shared" si="28"/>
        <v>1.7435406698564595</v>
      </c>
      <c r="AA61" s="37">
        <f t="shared" si="29"/>
        <v>1.1256783280749016</v>
      </c>
      <c r="AB61" s="37">
        <v>0</v>
      </c>
      <c r="AC61" s="37">
        <f t="shared" si="36"/>
        <v>1.1277650114847803E-2</v>
      </c>
      <c r="AD61" s="40">
        <f t="shared" si="19"/>
        <v>1.1277650114847803E-2</v>
      </c>
      <c r="AE61" s="39">
        <f t="shared" si="27"/>
        <v>0.25263157894736843</v>
      </c>
      <c r="AF61" s="37">
        <f t="shared" si="20"/>
        <v>0.55146750365855768</v>
      </c>
      <c r="AG61" s="37">
        <f t="shared" si="37"/>
        <v>1.3989354749204461E-3</v>
      </c>
      <c r="AH61" s="37">
        <f t="shared" si="38"/>
        <v>4.6265757300222331E-2</v>
      </c>
      <c r="AI61" s="40">
        <f t="shared" si="21"/>
        <v>4.7664692775142778E-2</v>
      </c>
      <c r="AJ61" s="39">
        <f t="shared" si="22"/>
        <v>0.80000000000000016</v>
      </c>
      <c r="AK61" s="37">
        <f t="shared" si="39"/>
        <v>0.98134361500246403</v>
      </c>
      <c r="AL61" s="37">
        <f t="shared" si="40"/>
        <v>0.41760000000000003</v>
      </c>
      <c r="AM61" s="37">
        <f t="shared" si="41"/>
        <v>2.4552000000000001E-2</v>
      </c>
      <c r="AN61" s="40">
        <f t="shared" si="23"/>
        <v>0.44215200000000004</v>
      </c>
      <c r="AO61" s="39">
        <f t="shared" si="42"/>
        <v>6.0823281518280273E-3</v>
      </c>
      <c r="AP61" s="37">
        <f t="shared" si="43"/>
        <v>0.11701800000000001</v>
      </c>
      <c r="AQ61" s="40">
        <f t="shared" si="44"/>
        <v>1.7099999999999999E-3</v>
      </c>
      <c r="AR61" s="39">
        <f t="shared" si="24"/>
        <v>0.62590467104181868</v>
      </c>
      <c r="AS61" s="37">
        <f t="shared" si="25"/>
        <v>3.6000000000000005</v>
      </c>
      <c r="AT61" s="40">
        <f t="shared" si="26"/>
        <v>85.188859669957637</v>
      </c>
    </row>
    <row r="62" spans="17:46" x14ac:dyDescent="0.2">
      <c r="Q62">
        <v>55</v>
      </c>
      <c r="R62" s="39">
        <f t="shared" si="0"/>
        <v>5</v>
      </c>
      <c r="S62" s="37">
        <f t="shared" si="30"/>
        <v>0.73333333333333339</v>
      </c>
      <c r="T62" s="37">
        <f t="shared" si="2"/>
        <v>3.8</v>
      </c>
      <c r="U62" s="40">
        <f t="shared" si="31"/>
        <v>1.0721247563352827</v>
      </c>
      <c r="V62" s="39">
        <f t="shared" si="32"/>
        <v>2</v>
      </c>
      <c r="W62" s="37">
        <f t="shared" si="33"/>
        <v>0.24</v>
      </c>
      <c r="X62" s="40">
        <f t="shared" si="34"/>
        <v>0.76</v>
      </c>
      <c r="Y62" s="39">
        <f t="shared" si="35"/>
        <v>1.3818181818181816</v>
      </c>
      <c r="Z62" s="37">
        <f t="shared" si="28"/>
        <v>1.7630338472443734</v>
      </c>
      <c r="AA62" s="37">
        <f t="shared" si="29"/>
        <v>1.1439274235926267</v>
      </c>
      <c r="AB62" s="37">
        <v>0</v>
      </c>
      <c r="AC62" s="37">
        <f t="shared" si="36"/>
        <v>1.1646272558980656E-2</v>
      </c>
      <c r="AD62" s="40">
        <f t="shared" si="19"/>
        <v>1.1646272558980656E-2</v>
      </c>
      <c r="AE62" s="39">
        <f t="shared" si="27"/>
        <v>0.25730994152046782</v>
      </c>
      <c r="AF62" s="37">
        <f t="shared" si="20"/>
        <v>0.56040769811570534</v>
      </c>
      <c r="AG62" s="37">
        <f t="shared" si="37"/>
        <v>1.4446612252937802E-3</v>
      </c>
      <c r="AH62" s="37">
        <f t="shared" si="38"/>
        <v>4.712253058355978E-2</v>
      </c>
      <c r="AI62" s="40">
        <f t="shared" si="21"/>
        <v>4.8567191808853563E-2</v>
      </c>
      <c r="AJ62" s="39">
        <f t="shared" si="22"/>
        <v>0.81481481481481488</v>
      </c>
      <c r="AK62" s="37">
        <f t="shared" si="39"/>
        <v>0.99725280763702107</v>
      </c>
      <c r="AL62" s="37">
        <f t="shared" si="40"/>
        <v>0.42533333333333334</v>
      </c>
      <c r="AM62" s="37">
        <f t="shared" si="41"/>
        <v>2.4552000000000001E-2</v>
      </c>
      <c r="AN62" s="40">
        <f t="shared" si="23"/>
        <v>0.44988533333333336</v>
      </c>
      <c r="AO62" s="39">
        <f t="shared" si="42"/>
        <v>6.281135762146871E-3</v>
      </c>
      <c r="AP62" s="37">
        <f t="shared" si="43"/>
        <v>0.11701800000000001</v>
      </c>
      <c r="AQ62" s="40">
        <f t="shared" si="44"/>
        <v>1.7099999999999999E-3</v>
      </c>
      <c r="AR62" s="39">
        <f t="shared" si="24"/>
        <v>0.6351079334633144</v>
      </c>
      <c r="AS62" s="37">
        <f t="shared" si="25"/>
        <v>3.666666666666667</v>
      </c>
      <c r="AT62" s="40">
        <f t="shared" si="26"/>
        <v>85.236141069684962</v>
      </c>
    </row>
    <row r="63" spans="17:46" x14ac:dyDescent="0.2">
      <c r="Q63">
        <v>56</v>
      </c>
      <c r="R63" s="39">
        <f t="shared" si="0"/>
        <v>5</v>
      </c>
      <c r="S63" s="37">
        <f t="shared" si="30"/>
        <v>0.7466666666666667</v>
      </c>
      <c r="T63" s="37">
        <f t="shared" si="2"/>
        <v>3.8</v>
      </c>
      <c r="U63" s="40">
        <f t="shared" si="31"/>
        <v>1.0916179337231968</v>
      </c>
      <c r="V63" s="39">
        <f t="shared" si="32"/>
        <v>2</v>
      </c>
      <c r="W63" s="37">
        <f t="shared" si="33"/>
        <v>0.24</v>
      </c>
      <c r="X63" s="40">
        <f t="shared" si="34"/>
        <v>0.76</v>
      </c>
      <c r="Y63" s="39">
        <f t="shared" si="35"/>
        <v>1.3818181818181816</v>
      </c>
      <c r="Z63" s="37">
        <f t="shared" si="28"/>
        <v>1.7825270246322877</v>
      </c>
      <c r="AA63" s="37">
        <f t="shared" si="29"/>
        <v>1.1622169205988946</v>
      </c>
      <c r="AB63" s="37">
        <v>0</v>
      </c>
      <c r="AC63" s="37">
        <f t="shared" si="36"/>
        <v>1.2021658717684758E-2</v>
      </c>
      <c r="AD63" s="40">
        <f t="shared" si="19"/>
        <v>1.2021658717684758E-2</v>
      </c>
      <c r="AE63" s="39">
        <f t="shared" si="27"/>
        <v>0.26198830409356721</v>
      </c>
      <c r="AF63" s="37">
        <f t="shared" si="20"/>
        <v>0.56936768517920877</v>
      </c>
      <c r="AG63" s="37">
        <f t="shared" si="37"/>
        <v>1.4912259802611206E-3</v>
      </c>
      <c r="AH63" s="37">
        <f t="shared" si="38"/>
        <v>4.7979303866897222E-2</v>
      </c>
      <c r="AI63" s="40">
        <f t="shared" si="21"/>
        <v>4.9470529847158343E-2</v>
      </c>
      <c r="AJ63" s="39">
        <f t="shared" si="22"/>
        <v>0.82962962962962961</v>
      </c>
      <c r="AK63" s="37">
        <f t="shared" si="39"/>
        <v>1.0131972214727234</v>
      </c>
      <c r="AL63" s="37">
        <f t="shared" si="40"/>
        <v>0.43306666666666666</v>
      </c>
      <c r="AM63" s="37">
        <f t="shared" si="41"/>
        <v>2.4552000000000001E-2</v>
      </c>
      <c r="AN63" s="40">
        <f t="shared" si="23"/>
        <v>0.45761866666666667</v>
      </c>
      <c r="AO63" s="39">
        <f t="shared" si="42"/>
        <v>6.4835912185266121E-3</v>
      </c>
      <c r="AP63" s="37">
        <f t="shared" si="43"/>
        <v>0.11701800000000001</v>
      </c>
      <c r="AQ63" s="40">
        <f t="shared" si="44"/>
        <v>1.7099999999999999E-3</v>
      </c>
      <c r="AR63" s="39">
        <f t="shared" si="24"/>
        <v>0.64432244645003645</v>
      </c>
      <c r="AS63" s="37">
        <f t="shared" si="25"/>
        <v>3.7333333333333334</v>
      </c>
      <c r="AT63" s="40">
        <f t="shared" si="26"/>
        <v>85.281564406557308</v>
      </c>
    </row>
    <row r="64" spans="17:46" x14ac:dyDescent="0.2">
      <c r="Q64">
        <v>57</v>
      </c>
      <c r="R64" s="39">
        <f t="shared" si="0"/>
        <v>5</v>
      </c>
      <c r="S64" s="37">
        <f t="shared" si="30"/>
        <v>0.76</v>
      </c>
      <c r="T64" s="37">
        <f t="shared" si="2"/>
        <v>3.8</v>
      </c>
      <c r="U64" s="40">
        <f t="shared" si="31"/>
        <v>1.1111111111111112</v>
      </c>
      <c r="V64" s="39">
        <f t="shared" si="32"/>
        <v>2</v>
      </c>
      <c r="W64" s="37">
        <f t="shared" si="33"/>
        <v>0.24</v>
      </c>
      <c r="X64" s="40">
        <f t="shared" si="34"/>
        <v>0.76</v>
      </c>
      <c r="Y64" s="39">
        <f t="shared" si="35"/>
        <v>1.3818181818181816</v>
      </c>
      <c r="Z64" s="37">
        <f t="shared" si="28"/>
        <v>1.8020202020202021</v>
      </c>
      <c r="AA64" s="37">
        <f t="shared" si="29"/>
        <v>1.1805449413448197</v>
      </c>
      <c r="AB64" s="37">
        <v>0</v>
      </c>
      <c r="AC64" s="37">
        <f t="shared" si="36"/>
        <v>1.240380859096011E-2</v>
      </c>
      <c r="AD64" s="40">
        <f t="shared" si="19"/>
        <v>1.240380859096011E-2</v>
      </c>
      <c r="AE64" s="39">
        <f t="shared" si="27"/>
        <v>0.26666666666666666</v>
      </c>
      <c r="AF64" s="37">
        <f t="shared" si="20"/>
        <v>0.57834654494374083</v>
      </c>
      <c r="AG64" s="37">
        <f t="shared" si="37"/>
        <v>1.5386297398224671E-3</v>
      </c>
      <c r="AH64" s="37">
        <f t="shared" si="38"/>
        <v>4.8836077150234677E-2</v>
      </c>
      <c r="AI64" s="40">
        <f t="shared" si="21"/>
        <v>5.0374706890057144E-2</v>
      </c>
      <c r="AJ64" s="39">
        <f t="shared" si="22"/>
        <v>0.84444444444444444</v>
      </c>
      <c r="AK64" s="37">
        <f t="shared" si="39"/>
        <v>1.0291752195260442</v>
      </c>
      <c r="AL64" s="37">
        <f t="shared" si="40"/>
        <v>0.44079999999999997</v>
      </c>
      <c r="AM64" s="37">
        <f t="shared" si="41"/>
        <v>2.4552000000000001E-2</v>
      </c>
      <c r="AN64" s="40">
        <f t="shared" si="23"/>
        <v>0.46535199999999999</v>
      </c>
      <c r="AO64" s="39">
        <f t="shared" si="42"/>
        <v>6.6896945209672489E-3</v>
      </c>
      <c r="AP64" s="37">
        <f t="shared" si="43"/>
        <v>0.11701800000000001</v>
      </c>
      <c r="AQ64" s="40">
        <f t="shared" si="44"/>
        <v>1.7099999999999999E-3</v>
      </c>
      <c r="AR64" s="39">
        <f t="shared" si="24"/>
        <v>0.6535482100019846</v>
      </c>
      <c r="AS64" s="37">
        <f t="shared" si="25"/>
        <v>3.8</v>
      </c>
      <c r="AT64" s="40">
        <f t="shared" si="26"/>
        <v>85.325224311388041</v>
      </c>
    </row>
    <row r="65" spans="17:46" x14ac:dyDescent="0.2">
      <c r="Q65">
        <v>58</v>
      </c>
      <c r="R65" s="39">
        <f t="shared" si="0"/>
        <v>5</v>
      </c>
      <c r="S65" s="37">
        <f t="shared" si="30"/>
        <v>0.77333333333333343</v>
      </c>
      <c r="T65" s="37">
        <f t="shared" si="2"/>
        <v>3.8</v>
      </c>
      <c r="U65" s="40">
        <f t="shared" si="31"/>
        <v>1.1306042884990255</v>
      </c>
      <c r="V65" s="39">
        <f t="shared" si="32"/>
        <v>2</v>
      </c>
      <c r="W65" s="37">
        <f t="shared" si="33"/>
        <v>0.24</v>
      </c>
      <c r="X65" s="40">
        <f t="shared" si="34"/>
        <v>0.76</v>
      </c>
      <c r="Y65" s="39">
        <f t="shared" si="35"/>
        <v>1.3818181818181816</v>
      </c>
      <c r="Z65" s="37">
        <f t="shared" si="28"/>
        <v>1.8215133794081164</v>
      </c>
      <c r="AA65" s="37">
        <f t="shared" si="29"/>
        <v>1.1989097190667291</v>
      </c>
      <c r="AB65" s="37">
        <v>0</v>
      </c>
      <c r="AC65" s="37">
        <f t="shared" si="36"/>
        <v>1.2792722178806702E-2</v>
      </c>
      <c r="AD65" s="40">
        <f t="shared" si="19"/>
        <v>1.2792722178806702E-2</v>
      </c>
      <c r="AE65" s="39">
        <f t="shared" si="27"/>
        <v>0.27134502923976611</v>
      </c>
      <c r="AF65" s="37">
        <f t="shared" si="20"/>
        <v>0.58734341187540284</v>
      </c>
      <c r="AG65" s="37">
        <f t="shared" si="37"/>
        <v>1.5868725039778198E-3</v>
      </c>
      <c r="AH65" s="37">
        <f t="shared" si="38"/>
        <v>4.9692850433572133E-2</v>
      </c>
      <c r="AI65" s="40">
        <f t="shared" si="21"/>
        <v>5.1279722937549954E-2</v>
      </c>
      <c r="AJ65" s="39">
        <f t="shared" si="22"/>
        <v>0.85925925925925939</v>
      </c>
      <c r="AK65" s="37">
        <f t="shared" si="39"/>
        <v>1.0451852615681223</v>
      </c>
      <c r="AL65" s="37">
        <f t="shared" si="40"/>
        <v>0.44853333333333334</v>
      </c>
      <c r="AM65" s="37">
        <f t="shared" si="41"/>
        <v>2.4552000000000001E-2</v>
      </c>
      <c r="AN65" s="40">
        <f t="shared" si="23"/>
        <v>0.47308533333333336</v>
      </c>
      <c r="AO65" s="39">
        <f t="shared" si="42"/>
        <v>6.8994456694687822E-3</v>
      </c>
      <c r="AP65" s="37">
        <f t="shared" si="43"/>
        <v>0.11701800000000001</v>
      </c>
      <c r="AQ65" s="40">
        <f t="shared" si="44"/>
        <v>1.7099999999999999E-3</v>
      </c>
      <c r="AR65" s="39">
        <f t="shared" si="24"/>
        <v>0.66278522411915886</v>
      </c>
      <c r="AS65" s="37">
        <f t="shared" si="25"/>
        <v>3.8666666666666671</v>
      </c>
      <c r="AT65" s="40">
        <f t="shared" si="26"/>
        <v>85.367209099461903</v>
      </c>
    </row>
    <row r="66" spans="17:46" x14ac:dyDescent="0.2">
      <c r="Q66">
        <v>59</v>
      </c>
      <c r="R66" s="39">
        <f t="shared" si="0"/>
        <v>5</v>
      </c>
      <c r="S66" s="37">
        <f t="shared" si="30"/>
        <v>0.78666666666666674</v>
      </c>
      <c r="T66" s="37">
        <f t="shared" si="2"/>
        <v>3.8</v>
      </c>
      <c r="U66" s="40">
        <f t="shared" si="31"/>
        <v>1.1500974658869396</v>
      </c>
      <c r="V66" s="39">
        <f t="shared" si="32"/>
        <v>2</v>
      </c>
      <c r="W66" s="37">
        <f t="shared" si="33"/>
        <v>0.24</v>
      </c>
      <c r="X66" s="40">
        <f t="shared" si="34"/>
        <v>0.76</v>
      </c>
      <c r="Y66" s="39">
        <f t="shared" si="35"/>
        <v>1.3818181818181816</v>
      </c>
      <c r="Z66" s="37">
        <f t="shared" si="28"/>
        <v>1.8410065567960303</v>
      </c>
      <c r="AA66" s="37">
        <f t="shared" si="29"/>
        <v>1.2173095901782076</v>
      </c>
      <c r="AB66" s="37">
        <v>0</v>
      </c>
      <c r="AC66" s="37">
        <f t="shared" si="36"/>
        <v>1.3188399481224538E-2</v>
      </c>
      <c r="AD66" s="40">
        <f t="shared" si="19"/>
        <v>1.3188399481224538E-2</v>
      </c>
      <c r="AE66" s="39">
        <f t="shared" si="27"/>
        <v>0.2760233918128655</v>
      </c>
      <c r="AF66" s="37">
        <f t="shared" si="20"/>
        <v>0.59635747098662273</v>
      </c>
      <c r="AG66" s="37">
        <f t="shared" si="37"/>
        <v>1.6359542727271785E-3</v>
      </c>
      <c r="AH66" s="37">
        <f t="shared" si="38"/>
        <v>5.0549623716909575E-2</v>
      </c>
      <c r="AI66" s="40">
        <f t="shared" si="21"/>
        <v>5.2185577989636751E-2</v>
      </c>
      <c r="AJ66" s="39">
        <f t="shared" si="22"/>
        <v>0.87407407407407411</v>
      </c>
      <c r="AK66" s="37">
        <f t="shared" si="39"/>
        <v>1.061225897317944</v>
      </c>
      <c r="AL66" s="37">
        <f t="shared" si="40"/>
        <v>0.45626666666666665</v>
      </c>
      <c r="AM66" s="37">
        <f t="shared" si="41"/>
        <v>2.4552000000000001E-2</v>
      </c>
      <c r="AN66" s="40">
        <f t="shared" si="23"/>
        <v>0.48081866666666667</v>
      </c>
      <c r="AO66" s="39">
        <f t="shared" si="42"/>
        <v>7.1128446640312121E-3</v>
      </c>
      <c r="AP66" s="37">
        <f t="shared" si="43"/>
        <v>0.11701800000000001</v>
      </c>
      <c r="AQ66" s="40">
        <f t="shared" si="44"/>
        <v>1.7099999999999999E-3</v>
      </c>
      <c r="AR66" s="39">
        <f t="shared" si="24"/>
        <v>0.67203348880155922</v>
      </c>
      <c r="AS66" s="37">
        <f t="shared" si="25"/>
        <v>3.9333333333333336</v>
      </c>
      <c r="AT66" s="40">
        <f t="shared" si="26"/>
        <v>85.407601288749746</v>
      </c>
    </row>
    <row r="67" spans="17:46" x14ac:dyDescent="0.2">
      <c r="Q67">
        <v>60</v>
      </c>
      <c r="R67" s="39">
        <f t="shared" si="0"/>
        <v>5</v>
      </c>
      <c r="S67" s="37">
        <f t="shared" si="30"/>
        <v>0.8</v>
      </c>
      <c r="T67" s="37">
        <f t="shared" si="2"/>
        <v>3.8</v>
      </c>
      <c r="U67" s="40">
        <f t="shared" si="31"/>
        <v>1.1695906432748537</v>
      </c>
      <c r="V67" s="39">
        <f t="shared" si="32"/>
        <v>2</v>
      </c>
      <c r="W67" s="37">
        <f t="shared" si="33"/>
        <v>0.24</v>
      </c>
      <c r="X67" s="40">
        <f t="shared" si="34"/>
        <v>0.76</v>
      </c>
      <c r="Y67" s="39">
        <f t="shared" si="35"/>
        <v>1.3818181818181816</v>
      </c>
      <c r="Z67" s="37">
        <f t="shared" si="28"/>
        <v>1.8604997341839447</v>
      </c>
      <c r="AA67" s="37">
        <f t="shared" si="29"/>
        <v>1.2357429870876717</v>
      </c>
      <c r="AB67" s="37">
        <v>0</v>
      </c>
      <c r="AC67" s="37">
        <f t="shared" si="36"/>
        <v>1.359084049821362E-2</v>
      </c>
      <c r="AD67" s="40">
        <f t="shared" si="19"/>
        <v>1.359084049821362E-2</v>
      </c>
      <c r="AE67" s="39">
        <f t="shared" si="27"/>
        <v>0.2807017543859649</v>
      </c>
      <c r="AF67" s="37">
        <f t="shared" si="20"/>
        <v>0.60538795431749948</v>
      </c>
      <c r="AG67" s="37">
        <f t="shared" si="37"/>
        <v>1.6858750460705433E-3</v>
      </c>
      <c r="AH67" s="37">
        <f t="shared" si="38"/>
        <v>5.1406397000247024E-2</v>
      </c>
      <c r="AI67" s="40">
        <f t="shared" si="21"/>
        <v>5.3092272046317571E-2</v>
      </c>
      <c r="AJ67" s="39">
        <f t="shared" si="22"/>
        <v>0.88888888888888884</v>
      </c>
      <c r="AK67" s="37">
        <f t="shared" si="39"/>
        <v>1.0772957601808497</v>
      </c>
      <c r="AL67" s="37">
        <f t="shared" si="40"/>
        <v>0.46399999999999997</v>
      </c>
      <c r="AM67" s="37">
        <f t="shared" si="41"/>
        <v>2.4552000000000001E-2</v>
      </c>
      <c r="AN67" s="40">
        <f t="shared" si="23"/>
        <v>0.48855199999999999</v>
      </c>
      <c r="AO67" s="39">
        <f t="shared" si="42"/>
        <v>7.3298915046545367E-3</v>
      </c>
      <c r="AP67" s="37">
        <f t="shared" si="43"/>
        <v>0.11701800000000001</v>
      </c>
      <c r="AQ67" s="40">
        <f t="shared" si="44"/>
        <v>1.7099999999999999E-3</v>
      </c>
      <c r="AR67" s="39">
        <f t="shared" si="24"/>
        <v>0.68129300404918569</v>
      </c>
      <c r="AS67" s="37">
        <f t="shared" si="25"/>
        <v>4</v>
      </c>
      <c r="AT67" s="40">
        <f t="shared" si="26"/>
        <v>85.446478067920822</v>
      </c>
    </row>
    <row r="68" spans="17:46" x14ac:dyDescent="0.2">
      <c r="Q68">
        <v>61</v>
      </c>
      <c r="R68" s="39">
        <f t="shared" si="0"/>
        <v>5</v>
      </c>
      <c r="S68" s="37">
        <f t="shared" si="30"/>
        <v>0.81333333333333335</v>
      </c>
      <c r="T68" s="37">
        <f t="shared" si="2"/>
        <v>3.8</v>
      </c>
      <c r="U68" s="40">
        <f t="shared" si="31"/>
        <v>1.1890838206627681</v>
      </c>
      <c r="V68" s="39">
        <f t="shared" si="32"/>
        <v>2</v>
      </c>
      <c r="W68" s="37">
        <f t="shared" si="33"/>
        <v>0.24</v>
      </c>
      <c r="X68" s="40">
        <f t="shared" si="34"/>
        <v>0.76</v>
      </c>
      <c r="Y68" s="39">
        <f t="shared" si="35"/>
        <v>1.3818181818181816</v>
      </c>
      <c r="Z68" s="37">
        <f t="shared" si="28"/>
        <v>1.879992911571859</v>
      </c>
      <c r="AA68" s="37">
        <f t="shared" si="29"/>
        <v>1.25420843158633</v>
      </c>
      <c r="AB68" s="37">
        <v>0</v>
      </c>
      <c r="AC68" s="37">
        <f t="shared" si="36"/>
        <v>1.4000045229773952E-2</v>
      </c>
      <c r="AD68" s="40">
        <f t="shared" si="19"/>
        <v>1.4000045229773952E-2</v>
      </c>
      <c r="AE68" s="39">
        <f t="shared" si="27"/>
        <v>0.28538011695906434</v>
      </c>
      <c r="AF68" s="37">
        <f t="shared" si="20"/>
        <v>0.6144341376965784</v>
      </c>
      <c r="AG68" s="37">
        <f t="shared" si="37"/>
        <v>1.7366348240079141E-3</v>
      </c>
      <c r="AH68" s="37">
        <f t="shared" si="38"/>
        <v>5.226317028358448E-2</v>
      </c>
      <c r="AI68" s="40">
        <f t="shared" si="21"/>
        <v>5.3999805107592391E-2</v>
      </c>
      <c r="AJ68" s="39">
        <f t="shared" si="22"/>
        <v>0.90370370370370379</v>
      </c>
      <c r="AK68" s="37">
        <f t="shared" si="39"/>
        <v>1.0933935614842916</v>
      </c>
      <c r="AL68" s="37">
        <f t="shared" si="40"/>
        <v>0.47173333333333334</v>
      </c>
      <c r="AM68" s="37">
        <f t="shared" si="41"/>
        <v>2.4552000000000001E-2</v>
      </c>
      <c r="AN68" s="40">
        <f t="shared" si="23"/>
        <v>0.49628533333333336</v>
      </c>
      <c r="AO68" s="39">
        <f t="shared" si="42"/>
        <v>7.5505861913387571E-3</v>
      </c>
      <c r="AP68" s="37">
        <f t="shared" si="43"/>
        <v>0.11701800000000001</v>
      </c>
      <c r="AQ68" s="40">
        <f t="shared" si="44"/>
        <v>1.7099999999999999E-3</v>
      </c>
      <c r="AR68" s="39">
        <f t="shared" si="24"/>
        <v>0.69056376986203849</v>
      </c>
      <c r="AS68" s="37">
        <f t="shared" si="25"/>
        <v>4.0666666666666664</v>
      </c>
      <c r="AT68" s="40">
        <f t="shared" si="26"/>
        <v>85.483911719737208</v>
      </c>
    </row>
    <row r="69" spans="17:46" x14ac:dyDescent="0.2">
      <c r="Q69">
        <v>62</v>
      </c>
      <c r="R69" s="39">
        <f t="shared" si="0"/>
        <v>5</v>
      </c>
      <c r="S69" s="37">
        <f t="shared" si="30"/>
        <v>0.82666666666666677</v>
      </c>
      <c r="T69" s="37">
        <f t="shared" si="2"/>
        <v>3.8</v>
      </c>
      <c r="U69" s="40">
        <f t="shared" si="31"/>
        <v>1.2085769980506824</v>
      </c>
      <c r="V69" s="39">
        <f t="shared" si="32"/>
        <v>2</v>
      </c>
      <c r="W69" s="37">
        <f t="shared" si="33"/>
        <v>0.24</v>
      </c>
      <c r="X69" s="40">
        <f t="shared" si="34"/>
        <v>0.76</v>
      </c>
      <c r="Y69" s="39">
        <f t="shared" si="35"/>
        <v>1.3818181818181816</v>
      </c>
      <c r="Z69" s="37">
        <f t="shared" si="28"/>
        <v>1.8994860889597733</v>
      </c>
      <c r="AA69" s="37">
        <f t="shared" si="29"/>
        <v>1.2727045287565668</v>
      </c>
      <c r="AB69" s="37">
        <v>0</v>
      </c>
      <c r="AC69" s="37">
        <f t="shared" si="36"/>
        <v>1.4416013675905524E-2</v>
      </c>
      <c r="AD69" s="40">
        <f t="shared" si="19"/>
        <v>1.4416013675905524E-2</v>
      </c>
      <c r="AE69" s="39">
        <f t="shared" si="27"/>
        <v>0.29005847953216379</v>
      </c>
      <c r="AF69" s="37">
        <f t="shared" si="20"/>
        <v>0.62349533775658184</v>
      </c>
      <c r="AG69" s="37">
        <f t="shared" si="37"/>
        <v>1.7882336065392927E-3</v>
      </c>
      <c r="AH69" s="37">
        <f t="shared" si="38"/>
        <v>5.3119943566921943E-2</v>
      </c>
      <c r="AI69" s="40">
        <f t="shared" si="21"/>
        <v>5.4908177173461234E-2</v>
      </c>
      <c r="AJ69" s="39">
        <f t="shared" si="22"/>
        <v>0.91851851851851862</v>
      </c>
      <c r="AK69" s="37">
        <f t="shared" si="39"/>
        <v>1.1095180851672861</v>
      </c>
      <c r="AL69" s="37">
        <f t="shared" si="40"/>
        <v>0.47946666666666671</v>
      </c>
      <c r="AM69" s="37">
        <f t="shared" si="41"/>
        <v>2.4552000000000001E-2</v>
      </c>
      <c r="AN69" s="40">
        <f t="shared" si="23"/>
        <v>0.50401866666666673</v>
      </c>
      <c r="AO69" s="39">
        <f t="shared" si="42"/>
        <v>7.7749287240838818E-3</v>
      </c>
      <c r="AP69" s="37">
        <f t="shared" si="43"/>
        <v>0.11701800000000001</v>
      </c>
      <c r="AQ69" s="40">
        <f t="shared" si="44"/>
        <v>1.7099999999999999E-3</v>
      </c>
      <c r="AR69" s="39">
        <f t="shared" si="24"/>
        <v>0.6998457862401174</v>
      </c>
      <c r="AS69" s="37">
        <f t="shared" si="25"/>
        <v>4.1333333333333337</v>
      </c>
      <c r="AT69" s="40">
        <f t="shared" si="26"/>
        <v>85.519970004714381</v>
      </c>
    </row>
    <row r="70" spans="17:46" x14ac:dyDescent="0.2">
      <c r="Q70">
        <v>63</v>
      </c>
      <c r="R70" s="39">
        <f t="shared" si="0"/>
        <v>5</v>
      </c>
      <c r="S70" s="37">
        <f t="shared" si="30"/>
        <v>0.84000000000000008</v>
      </c>
      <c r="T70" s="37">
        <f t="shared" si="2"/>
        <v>3.8</v>
      </c>
      <c r="U70" s="40">
        <f t="shared" si="31"/>
        <v>1.2280701754385965</v>
      </c>
      <c r="V70" s="39">
        <f t="shared" si="32"/>
        <v>2</v>
      </c>
      <c r="W70" s="37">
        <f t="shared" si="33"/>
        <v>0.24</v>
      </c>
      <c r="X70" s="40">
        <f t="shared" si="34"/>
        <v>0.76</v>
      </c>
      <c r="Y70" s="39">
        <f t="shared" si="35"/>
        <v>1.3818181818181816</v>
      </c>
      <c r="Z70" s="37">
        <f t="shared" si="28"/>
        <v>1.9189792663476872</v>
      </c>
      <c r="AA70" s="37">
        <f t="shared" si="29"/>
        <v>1.2912299613554747</v>
      </c>
      <c r="AB70" s="37">
        <v>0</v>
      </c>
      <c r="AC70" s="37">
        <f t="shared" si="36"/>
        <v>1.483874583660834E-2</v>
      </c>
      <c r="AD70" s="40">
        <f t="shared" si="19"/>
        <v>1.483874583660834E-2</v>
      </c>
      <c r="AE70" s="39">
        <f t="shared" si="27"/>
        <v>0.29473684210526313</v>
      </c>
      <c r="AF70" s="37">
        <f t="shared" si="20"/>
        <v>0.63257090918291103</v>
      </c>
      <c r="AG70" s="37">
        <f t="shared" si="37"/>
        <v>1.8406713936646756E-3</v>
      </c>
      <c r="AH70" s="37">
        <f t="shared" si="38"/>
        <v>5.3976716850259378E-2</v>
      </c>
      <c r="AI70" s="40">
        <f t="shared" si="21"/>
        <v>5.581738824392405E-2</v>
      </c>
      <c r="AJ70" s="39">
        <f t="shared" si="22"/>
        <v>0.93333333333333335</v>
      </c>
      <c r="AK70" s="37">
        <f t="shared" si="39"/>
        <v>1.1256681828840889</v>
      </c>
      <c r="AL70" s="37">
        <f t="shared" si="40"/>
        <v>0.48720000000000002</v>
      </c>
      <c r="AM70" s="37">
        <f t="shared" si="41"/>
        <v>2.4552000000000001E-2</v>
      </c>
      <c r="AN70" s="40">
        <f t="shared" si="23"/>
        <v>0.51175199999999998</v>
      </c>
      <c r="AO70" s="39">
        <f t="shared" si="42"/>
        <v>8.0029191028898935E-3</v>
      </c>
      <c r="AP70" s="37">
        <f t="shared" si="43"/>
        <v>0.11701800000000001</v>
      </c>
      <c r="AQ70" s="40">
        <f t="shared" si="44"/>
        <v>1.7099999999999999E-3</v>
      </c>
      <c r="AR70" s="39">
        <f t="shared" si="24"/>
        <v>0.70913905318342219</v>
      </c>
      <c r="AS70" s="37">
        <f t="shared" si="25"/>
        <v>4.2</v>
      </c>
      <c r="AT70" s="40">
        <f t="shared" si="26"/>
        <v>85.554716509332366</v>
      </c>
    </row>
    <row r="71" spans="17:46" x14ac:dyDescent="0.2">
      <c r="Q71">
        <v>64</v>
      </c>
      <c r="R71" s="39">
        <f t="shared" ref="R71:R134" si="45">VOUT</f>
        <v>5</v>
      </c>
      <c r="S71" s="37">
        <f t="shared" ref="S71:S102" si="46">Q71*$O$12</f>
        <v>0.85333333333333339</v>
      </c>
      <c r="T71" s="37">
        <f t="shared" ref="T71:T134" si="47">VIN_var</f>
        <v>3.8</v>
      </c>
      <c r="U71" s="40">
        <f t="shared" ref="U71:U102" si="48">(R71*S71)/(T71*EFF_est)</f>
        <v>1.2475633528265107</v>
      </c>
      <c r="V71" s="39">
        <f t="shared" ref="V71:V102" si="49">IF((S71*R71/T71)&lt;((T71*(1-(T71/R71)))/(2*Lm*Fsw)),1,2)</f>
        <v>2</v>
      </c>
      <c r="W71" s="37">
        <f t="shared" ref="W71:W102" si="50">CHOOSE(V71,SQRT((2*S71*Lm*Fsw*(R71-T71))/((T71)^2)),1-(T71/R71))</f>
        <v>0.24</v>
      </c>
      <c r="X71" s="40">
        <f t="shared" ref="X71:X102" si="51">CHOOSE(V71,(Lm*W71*Fsw)/(R71-T71),1-W71)</f>
        <v>0.76</v>
      </c>
      <c r="Y71" s="39">
        <f t="shared" ref="Y71:Y102" si="52">(T71*W71)/(Lm*Fsw)</f>
        <v>1.3818181818181816</v>
      </c>
      <c r="Z71" s="37">
        <f t="shared" si="28"/>
        <v>1.9384724437356016</v>
      </c>
      <c r="AA71" s="37">
        <f t="shared" si="29"/>
        <v>1.3097834846324794</v>
      </c>
      <c r="AB71" s="37">
        <v>0</v>
      </c>
      <c r="AC71" s="37">
        <f t="shared" ref="AC71:AC102" si="53">(AA71^2)*Rdcr</f>
        <v>1.5268241711882404E-2</v>
      </c>
      <c r="AD71" s="40">
        <f t="shared" si="19"/>
        <v>1.5268241711882404E-2</v>
      </c>
      <c r="AE71" s="39">
        <f t="shared" si="27"/>
        <v>0.29941520467836252</v>
      </c>
      <c r="AF71" s="37">
        <f t="shared" si="20"/>
        <v>0.64166024217481343</v>
      </c>
      <c r="AG71" s="37">
        <f t="shared" ref="AG71:AG102" si="54">(AF71^2)*RDS_on</f>
        <v>1.893948185384065E-3</v>
      </c>
      <c r="AH71" s="37">
        <f t="shared" ref="AH71:AH102" si="55">((R71*U71)/2)*Fsw*(tr_sw+tf_sw)</f>
        <v>5.4833490133596827E-2</v>
      </c>
      <c r="AI71" s="40">
        <f t="shared" si="21"/>
        <v>5.6727438318980888E-2</v>
      </c>
      <c r="AJ71" s="39">
        <f t="shared" si="22"/>
        <v>0.94814814814814807</v>
      </c>
      <c r="AK71" s="37">
        <f t="shared" ref="AK71:AK102" si="56">CHOOSE(V71,Z71*SQRT(X71/3),SQRT(X71*((Z71^2)+((Y71^2)/3)-(Y71*Z71))))</f>
        <v>1.1418427694863076</v>
      </c>
      <c r="AL71" s="37">
        <f t="shared" ref="AL71:AL102" si="57">S71*Vd_rect</f>
        <v>0.49493333333333334</v>
      </c>
      <c r="AM71" s="37">
        <f t="shared" ref="AM71:AM102" si="58">CHOOSE(V71,(R71+Vd_rect)*Qrr*Fsw,(R71+Vd_rect)*Qrr*Fsw)</f>
        <v>2.4552000000000001E-2</v>
      </c>
      <c r="AN71" s="40">
        <f t="shared" si="23"/>
        <v>0.51948533333333335</v>
      </c>
      <c r="AO71" s="39">
        <f t="shared" ref="AO71:AO102" si="59">(AF71^2)*R_cs</f>
        <v>8.2345573277568043E-3</v>
      </c>
      <c r="AP71" s="37">
        <f t="shared" ref="AP71:AP102" si="60">Qg_tot*Vcc*Fsw</f>
        <v>0.11701800000000001</v>
      </c>
      <c r="AQ71" s="40">
        <f t="shared" ref="AQ71:AQ102" si="61">IQ*T71</f>
        <v>1.7099999999999999E-3</v>
      </c>
      <c r="AR71" s="39">
        <f t="shared" si="24"/>
        <v>0.71844357069195353</v>
      </c>
      <c r="AS71" s="37">
        <f t="shared" si="25"/>
        <v>4.2666666666666666</v>
      </c>
      <c r="AT71" s="40">
        <f t="shared" si="26"/>
        <v>85.588210962559899</v>
      </c>
    </row>
    <row r="72" spans="17:46" x14ac:dyDescent="0.2">
      <c r="Q72">
        <v>65</v>
      </c>
      <c r="R72" s="39">
        <f t="shared" si="45"/>
        <v>5</v>
      </c>
      <c r="S72" s="37">
        <f t="shared" si="46"/>
        <v>0.8666666666666667</v>
      </c>
      <c r="T72" s="37">
        <f t="shared" si="47"/>
        <v>3.8</v>
      </c>
      <c r="U72" s="40">
        <f t="shared" si="48"/>
        <v>1.2670565302144252</v>
      </c>
      <c r="V72" s="39">
        <f t="shared" si="49"/>
        <v>2</v>
      </c>
      <c r="W72" s="37">
        <f t="shared" si="50"/>
        <v>0.24</v>
      </c>
      <c r="X72" s="40">
        <f t="shared" si="51"/>
        <v>0.76</v>
      </c>
      <c r="Y72" s="39">
        <f t="shared" si="52"/>
        <v>1.3818181818181816</v>
      </c>
      <c r="Z72" s="37">
        <f t="shared" si="28"/>
        <v>1.9579656211235159</v>
      </c>
      <c r="AA72" s="37">
        <f t="shared" si="29"/>
        <v>1.3283639215438268</v>
      </c>
      <c r="AB72" s="37">
        <v>0</v>
      </c>
      <c r="AC72" s="37">
        <f t="shared" si="53"/>
        <v>1.5704501301727715E-2</v>
      </c>
      <c r="AD72" s="40">
        <f t="shared" ref="AD72:AD135" si="62">AB72+AC72</f>
        <v>1.5704501301727715E-2</v>
      </c>
      <c r="AE72" s="39">
        <f t="shared" si="27"/>
        <v>0.30409356725146203</v>
      </c>
      <c r="AF72" s="37">
        <f t="shared" ref="AF72:AF135" si="63">CHOOSE(V72,Z72*SQRT(W72/3),SQRT(W72*((Z72^2)+((Y72^2)/3)-(Z72*Y72))))</f>
        <v>0.65076276010096834</v>
      </c>
      <c r="AG72" s="37">
        <f t="shared" si="54"/>
        <v>1.94806398169746E-3</v>
      </c>
      <c r="AH72" s="37">
        <f t="shared" si="55"/>
        <v>5.5690263416934296E-2</v>
      </c>
      <c r="AI72" s="40">
        <f t="shared" ref="AI72:AI135" si="64">AG72+AH72</f>
        <v>5.7638327398631756E-2</v>
      </c>
      <c r="AJ72" s="39">
        <f t="shared" ref="AJ72:AJ135" si="65">X72*U72</f>
        <v>0.96296296296296313</v>
      </c>
      <c r="AK72" s="37">
        <f t="shared" si="56"/>
        <v>1.1580408188509865</v>
      </c>
      <c r="AL72" s="37">
        <f t="shared" si="57"/>
        <v>0.5026666666666666</v>
      </c>
      <c r="AM72" s="37">
        <f t="shared" si="58"/>
        <v>2.4552000000000001E-2</v>
      </c>
      <c r="AN72" s="40">
        <f t="shared" ref="AN72:AN135" si="66">AL72+AM72</f>
        <v>0.52721866666666661</v>
      </c>
      <c r="AO72" s="39">
        <f t="shared" si="59"/>
        <v>8.4698433986846091E-3</v>
      </c>
      <c r="AP72" s="37">
        <f t="shared" si="60"/>
        <v>0.11701800000000001</v>
      </c>
      <c r="AQ72" s="40">
        <f t="shared" si="61"/>
        <v>1.7099999999999999E-3</v>
      </c>
      <c r="AR72" s="39">
        <f t="shared" ref="AR72:AR135" si="67">AO72+AN72+AI72+AD72+AP72+AQ72</f>
        <v>0.72775933876571075</v>
      </c>
      <c r="AS72" s="37">
        <f t="shared" ref="AS72:AS135" si="68">R72*S72</f>
        <v>4.3333333333333339</v>
      </c>
      <c r="AT72" s="40">
        <f t="shared" ref="AT72:AT135" si="69">(AS72/(AS72+AR72))*100</f>
        <v>85.620509524006039</v>
      </c>
    </row>
    <row r="73" spans="17:46" x14ac:dyDescent="0.2">
      <c r="Q73">
        <v>66</v>
      </c>
      <c r="R73" s="39">
        <f t="shared" si="45"/>
        <v>5</v>
      </c>
      <c r="S73" s="37">
        <f t="shared" si="46"/>
        <v>0.88</v>
      </c>
      <c r="T73" s="37">
        <f t="shared" si="47"/>
        <v>3.8</v>
      </c>
      <c r="U73" s="40">
        <f t="shared" si="48"/>
        <v>1.2865497076023393</v>
      </c>
      <c r="V73" s="39">
        <f t="shared" si="49"/>
        <v>2</v>
      </c>
      <c r="W73" s="37">
        <f t="shared" si="50"/>
        <v>0.24</v>
      </c>
      <c r="X73" s="40">
        <f t="shared" si="51"/>
        <v>0.76</v>
      </c>
      <c r="Y73" s="39">
        <f t="shared" si="52"/>
        <v>1.3818181818181816</v>
      </c>
      <c r="Z73" s="37">
        <f t="shared" si="28"/>
        <v>1.9774587985114302</v>
      </c>
      <c r="AA73" s="37">
        <f t="shared" si="29"/>
        <v>1.3469701583301465</v>
      </c>
      <c r="AB73" s="37">
        <v>0</v>
      </c>
      <c r="AC73" s="37">
        <f t="shared" si="53"/>
        <v>1.6147524606144267E-2</v>
      </c>
      <c r="AD73" s="40">
        <f t="shared" si="62"/>
        <v>1.6147524606144267E-2</v>
      </c>
      <c r="AE73" s="39">
        <f t="shared" ref="AE73:AE136" si="70">U73*W73</f>
        <v>0.30877192982456142</v>
      </c>
      <c r="AF73" s="37">
        <f t="shared" si="63"/>
        <v>0.65987791733294565</v>
      </c>
      <c r="AG73" s="37">
        <f t="shared" si="54"/>
        <v>2.0030187826048629E-3</v>
      </c>
      <c r="AH73" s="37">
        <f t="shared" si="55"/>
        <v>5.6547036700271738E-2</v>
      </c>
      <c r="AI73" s="40">
        <f t="shared" si="64"/>
        <v>5.8550055482876603E-2</v>
      </c>
      <c r="AJ73" s="39">
        <f t="shared" si="65"/>
        <v>0.97777777777777786</v>
      </c>
      <c r="AK73" s="37">
        <f t="shared" si="56"/>
        <v>1.1742613600252181</v>
      </c>
      <c r="AL73" s="37">
        <f t="shared" si="57"/>
        <v>0.51039999999999996</v>
      </c>
      <c r="AM73" s="37">
        <f t="shared" si="58"/>
        <v>2.4552000000000001E-2</v>
      </c>
      <c r="AN73" s="40">
        <f t="shared" si="66"/>
        <v>0.53495199999999998</v>
      </c>
      <c r="AO73" s="39">
        <f t="shared" si="59"/>
        <v>8.7087773156733182E-3</v>
      </c>
      <c r="AP73" s="37">
        <f t="shared" si="60"/>
        <v>0.11701800000000001</v>
      </c>
      <c r="AQ73" s="40">
        <f t="shared" si="61"/>
        <v>1.7099999999999999E-3</v>
      </c>
      <c r="AR73" s="39">
        <f t="shared" si="67"/>
        <v>0.73708635740469408</v>
      </c>
      <c r="AS73" s="37">
        <f t="shared" si="68"/>
        <v>4.4000000000000004</v>
      </c>
      <c r="AT73" s="40">
        <f t="shared" si="69"/>
        <v>85.651665046622313</v>
      </c>
    </row>
    <row r="74" spans="17:46" x14ac:dyDescent="0.2">
      <c r="Q74">
        <v>67</v>
      </c>
      <c r="R74" s="39">
        <f t="shared" si="45"/>
        <v>5</v>
      </c>
      <c r="S74" s="37">
        <f t="shared" si="46"/>
        <v>0.89333333333333342</v>
      </c>
      <c r="T74" s="37">
        <f t="shared" si="47"/>
        <v>3.8</v>
      </c>
      <c r="U74" s="40">
        <f t="shared" si="48"/>
        <v>1.3060428849902534</v>
      </c>
      <c r="V74" s="39">
        <f t="shared" si="49"/>
        <v>2</v>
      </c>
      <c r="W74" s="37">
        <f t="shared" si="50"/>
        <v>0.24</v>
      </c>
      <c r="X74" s="40">
        <f t="shared" si="51"/>
        <v>0.76</v>
      </c>
      <c r="Y74" s="39">
        <f t="shared" si="52"/>
        <v>1.3818181818181816</v>
      </c>
      <c r="Z74" s="37">
        <f t="shared" si="28"/>
        <v>1.9969519758993441</v>
      </c>
      <c r="AA74" s="37">
        <f t="shared" si="29"/>
        <v>1.3656011404264203</v>
      </c>
      <c r="AB74" s="37">
        <v>0</v>
      </c>
      <c r="AC74" s="37">
        <f t="shared" si="53"/>
        <v>1.6597311625132064E-2</v>
      </c>
      <c r="AD74" s="40">
        <f t="shared" si="62"/>
        <v>1.6597311625132064E-2</v>
      </c>
      <c r="AE74" s="39">
        <f t="shared" si="70"/>
        <v>0.31345029239766081</v>
      </c>
      <c r="AF74" s="37">
        <f t="shared" si="63"/>
        <v>0.66900519724150531</v>
      </c>
      <c r="AG74" s="37">
        <f t="shared" si="54"/>
        <v>2.0588125881062687E-3</v>
      </c>
      <c r="AH74" s="37">
        <f t="shared" si="55"/>
        <v>5.7403809983609173E-2</v>
      </c>
      <c r="AI74" s="40">
        <f t="shared" si="64"/>
        <v>5.9462622571715446E-2</v>
      </c>
      <c r="AJ74" s="39">
        <f t="shared" si="65"/>
        <v>0.99259259259259258</v>
      </c>
      <c r="AK74" s="37">
        <f t="shared" si="56"/>
        <v>1.1905034736605324</v>
      </c>
      <c r="AL74" s="37">
        <f t="shared" si="57"/>
        <v>0.51813333333333333</v>
      </c>
      <c r="AM74" s="37">
        <f t="shared" si="58"/>
        <v>2.4552000000000001E-2</v>
      </c>
      <c r="AN74" s="40">
        <f t="shared" si="66"/>
        <v>0.54268533333333335</v>
      </c>
      <c r="AO74" s="39">
        <f t="shared" si="59"/>
        <v>8.9513590787229074E-3</v>
      </c>
      <c r="AP74" s="37">
        <f t="shared" si="60"/>
        <v>0.11701800000000001</v>
      </c>
      <c r="AQ74" s="40">
        <f t="shared" si="61"/>
        <v>1.7099999999999999E-3</v>
      </c>
      <c r="AR74" s="39">
        <f t="shared" si="67"/>
        <v>0.74642462660890374</v>
      </c>
      <c r="AS74" s="37">
        <f t="shared" si="68"/>
        <v>4.4666666666666668</v>
      </c>
      <c r="AT74" s="40">
        <f t="shared" si="69"/>
        <v>85.681727316540076</v>
      </c>
    </row>
    <row r="75" spans="17:46" x14ac:dyDescent="0.2">
      <c r="Q75">
        <v>68</v>
      </c>
      <c r="R75" s="39">
        <f t="shared" si="45"/>
        <v>5</v>
      </c>
      <c r="S75" s="37">
        <f t="shared" si="46"/>
        <v>0.90666666666666673</v>
      </c>
      <c r="T75" s="37">
        <f t="shared" si="47"/>
        <v>3.8</v>
      </c>
      <c r="U75" s="40">
        <f t="shared" si="48"/>
        <v>1.3255360623781676</v>
      </c>
      <c r="V75" s="39">
        <f t="shared" si="49"/>
        <v>2</v>
      </c>
      <c r="W75" s="37">
        <f t="shared" si="50"/>
        <v>0.24</v>
      </c>
      <c r="X75" s="40">
        <f t="shared" si="51"/>
        <v>0.76</v>
      </c>
      <c r="Y75" s="39">
        <f t="shared" si="52"/>
        <v>1.3818181818181816</v>
      </c>
      <c r="Z75" s="37">
        <f t="shared" si="28"/>
        <v>2.0164451532872585</v>
      </c>
      <c r="AA75" s="37">
        <f t="shared" si="29"/>
        <v>1.3842558686764861</v>
      </c>
      <c r="AB75" s="37">
        <v>0</v>
      </c>
      <c r="AC75" s="37">
        <f t="shared" si="53"/>
        <v>1.7053862358691108E-2</v>
      </c>
      <c r="AD75" s="40">
        <f t="shared" si="62"/>
        <v>1.7053862358691108E-2</v>
      </c>
      <c r="AE75" s="39">
        <f t="shared" si="70"/>
        <v>0.31812865497076021</v>
      </c>
      <c r="AF75" s="37">
        <f t="shared" si="63"/>
        <v>0.67814411034209421</v>
      </c>
      <c r="AG75" s="37">
        <f t="shared" si="54"/>
        <v>2.115445398201684E-3</v>
      </c>
      <c r="AH75" s="37">
        <f t="shared" si="55"/>
        <v>5.8260583266946636E-2</v>
      </c>
      <c r="AI75" s="40">
        <f t="shared" si="64"/>
        <v>6.0376028665148324E-2</v>
      </c>
      <c r="AJ75" s="39">
        <f t="shared" si="65"/>
        <v>1.0074074074074073</v>
      </c>
      <c r="AK75" s="37">
        <f t="shared" si="56"/>
        <v>1.2067662887127826</v>
      </c>
      <c r="AL75" s="37">
        <f t="shared" si="57"/>
        <v>0.5258666666666667</v>
      </c>
      <c r="AM75" s="37">
        <f t="shared" si="58"/>
        <v>2.4552000000000001E-2</v>
      </c>
      <c r="AN75" s="40">
        <f t="shared" si="66"/>
        <v>0.55041866666666672</v>
      </c>
      <c r="AO75" s="39">
        <f t="shared" si="59"/>
        <v>9.1975886878334096E-3</v>
      </c>
      <c r="AP75" s="37">
        <f t="shared" si="60"/>
        <v>0.11701800000000001</v>
      </c>
      <c r="AQ75" s="40">
        <f t="shared" si="61"/>
        <v>1.7099999999999999E-3</v>
      </c>
      <c r="AR75" s="39">
        <f t="shared" si="67"/>
        <v>0.75577414637833951</v>
      </c>
      <c r="AS75" s="37">
        <f t="shared" si="68"/>
        <v>4.5333333333333332</v>
      </c>
      <c r="AT75" s="40">
        <f t="shared" si="69"/>
        <v>85.710743272331086</v>
      </c>
    </row>
    <row r="76" spans="17:46" x14ac:dyDescent="0.2">
      <c r="Q76">
        <v>69</v>
      </c>
      <c r="R76" s="39">
        <f t="shared" si="45"/>
        <v>5</v>
      </c>
      <c r="S76" s="37">
        <f t="shared" si="46"/>
        <v>0.92</v>
      </c>
      <c r="T76" s="37">
        <f t="shared" si="47"/>
        <v>3.8</v>
      </c>
      <c r="U76" s="40">
        <f t="shared" si="48"/>
        <v>1.3450292397660821</v>
      </c>
      <c r="V76" s="39">
        <f t="shared" si="49"/>
        <v>2</v>
      </c>
      <c r="W76" s="37">
        <f t="shared" si="50"/>
        <v>0.24</v>
      </c>
      <c r="X76" s="40">
        <f t="shared" si="51"/>
        <v>0.76</v>
      </c>
      <c r="Y76" s="39">
        <f t="shared" si="52"/>
        <v>1.3818181818181816</v>
      </c>
      <c r="Z76" s="37">
        <f t="shared" si="28"/>
        <v>2.0359383306751728</v>
      </c>
      <c r="AA76" s="37">
        <f t="shared" si="29"/>
        <v>1.4029333958267585</v>
      </c>
      <c r="AB76" s="37">
        <v>0</v>
      </c>
      <c r="AC76" s="37">
        <f t="shared" si="53"/>
        <v>1.7517176806821404E-2</v>
      </c>
      <c r="AD76" s="40">
        <f t="shared" si="62"/>
        <v>1.7517176806821404E-2</v>
      </c>
      <c r="AE76" s="39">
        <f t="shared" si="70"/>
        <v>0.32280701754385971</v>
      </c>
      <c r="AF76" s="37">
        <f t="shared" si="63"/>
        <v>0.68729419257712354</v>
      </c>
      <c r="AG76" s="37">
        <f t="shared" si="54"/>
        <v>2.1729172128911048E-3</v>
      </c>
      <c r="AH76" s="37">
        <f t="shared" si="55"/>
        <v>5.9117356550284092E-2</v>
      </c>
      <c r="AI76" s="40">
        <f t="shared" si="64"/>
        <v>6.1290273763175196E-2</v>
      </c>
      <c r="AJ76" s="39">
        <f t="shared" si="65"/>
        <v>1.0222222222222224</v>
      </c>
      <c r="AK76" s="37">
        <f t="shared" si="56"/>
        <v>1.2230489793854376</v>
      </c>
      <c r="AL76" s="37">
        <f t="shared" si="57"/>
        <v>0.53359999999999996</v>
      </c>
      <c r="AM76" s="37">
        <f t="shared" si="58"/>
        <v>2.4552000000000001E-2</v>
      </c>
      <c r="AN76" s="40">
        <f t="shared" si="66"/>
        <v>0.55815199999999998</v>
      </c>
      <c r="AO76" s="39">
        <f t="shared" si="59"/>
        <v>9.447466143004804E-3</v>
      </c>
      <c r="AP76" s="37">
        <f t="shared" si="60"/>
        <v>0.11701800000000001</v>
      </c>
      <c r="AQ76" s="40">
        <f t="shared" si="61"/>
        <v>1.7099999999999999E-3</v>
      </c>
      <c r="AR76" s="39">
        <f t="shared" si="67"/>
        <v>0.76513491671300138</v>
      </c>
      <c r="AS76" s="37">
        <f t="shared" si="68"/>
        <v>4.6000000000000005</v>
      </c>
      <c r="AT76" s="40">
        <f t="shared" si="69"/>
        <v>85.738757205722465</v>
      </c>
    </row>
    <row r="77" spans="17:46" x14ac:dyDescent="0.2">
      <c r="Q77">
        <v>70</v>
      </c>
      <c r="R77" s="39">
        <f t="shared" si="45"/>
        <v>5</v>
      </c>
      <c r="S77" s="37">
        <f t="shared" si="46"/>
        <v>0.93333333333333335</v>
      </c>
      <c r="T77" s="37">
        <f t="shared" si="47"/>
        <v>3.8</v>
      </c>
      <c r="U77" s="40">
        <f t="shared" si="48"/>
        <v>1.3645224171539962</v>
      </c>
      <c r="V77" s="39">
        <f t="shared" si="49"/>
        <v>2</v>
      </c>
      <c r="W77" s="37">
        <f t="shared" si="50"/>
        <v>0.24</v>
      </c>
      <c r="X77" s="40">
        <f t="shared" si="51"/>
        <v>0.76</v>
      </c>
      <c r="Y77" s="39">
        <f t="shared" si="52"/>
        <v>1.3818181818181816</v>
      </c>
      <c r="Z77" s="37">
        <f t="shared" si="28"/>
        <v>2.0554315080630872</v>
      </c>
      <c r="AA77" s="37">
        <f t="shared" si="29"/>
        <v>1.4216328232761299</v>
      </c>
      <c r="AB77" s="37">
        <v>0</v>
      </c>
      <c r="AC77" s="37">
        <f t="shared" si="53"/>
        <v>1.7987254969522932E-2</v>
      </c>
      <c r="AD77" s="40">
        <f t="shared" si="62"/>
        <v>1.7987254969522932E-2</v>
      </c>
      <c r="AE77" s="39">
        <f t="shared" si="70"/>
        <v>0.3274853801169591</v>
      </c>
      <c r="AF77" s="37">
        <f t="shared" si="63"/>
        <v>0.69645500372375424</v>
      </c>
      <c r="AG77" s="37">
        <f t="shared" si="54"/>
        <v>2.2312280321745309E-3</v>
      </c>
      <c r="AH77" s="37">
        <f t="shared" si="55"/>
        <v>5.9974129833621534E-2</v>
      </c>
      <c r="AI77" s="40">
        <f t="shared" si="64"/>
        <v>6.2205357865796063E-2</v>
      </c>
      <c r="AJ77" s="39">
        <f t="shared" si="65"/>
        <v>1.0370370370370372</v>
      </c>
      <c r="AK77" s="37">
        <f t="shared" si="56"/>
        <v>1.2393507622962139</v>
      </c>
      <c r="AL77" s="37">
        <f t="shared" si="57"/>
        <v>0.54133333333333333</v>
      </c>
      <c r="AM77" s="37">
        <f t="shared" si="58"/>
        <v>2.4552000000000001E-2</v>
      </c>
      <c r="AN77" s="40">
        <f t="shared" si="66"/>
        <v>0.56588533333333335</v>
      </c>
      <c r="AO77" s="39">
        <f t="shared" si="59"/>
        <v>9.7009914442370906E-3</v>
      </c>
      <c r="AP77" s="37">
        <f t="shared" si="60"/>
        <v>0.11701800000000001</v>
      </c>
      <c r="AQ77" s="40">
        <f t="shared" si="61"/>
        <v>1.7099999999999999E-3</v>
      </c>
      <c r="AR77" s="39">
        <f t="shared" si="67"/>
        <v>0.77450693761288936</v>
      </c>
      <c r="AS77" s="37">
        <f t="shared" si="68"/>
        <v>4.666666666666667</v>
      </c>
      <c r="AT77" s="40">
        <f t="shared" si="69"/>
        <v>85.765810945570109</v>
      </c>
    </row>
    <row r="78" spans="17:46" x14ac:dyDescent="0.2">
      <c r="Q78">
        <v>71</v>
      </c>
      <c r="R78" s="39">
        <f t="shared" si="45"/>
        <v>5</v>
      </c>
      <c r="S78" s="37">
        <f t="shared" si="46"/>
        <v>0.94666666666666677</v>
      </c>
      <c r="T78" s="37">
        <f t="shared" si="47"/>
        <v>3.8</v>
      </c>
      <c r="U78" s="40">
        <f t="shared" si="48"/>
        <v>1.3840155945419106</v>
      </c>
      <c r="V78" s="39">
        <f t="shared" si="49"/>
        <v>2</v>
      </c>
      <c r="W78" s="37">
        <f t="shared" si="50"/>
        <v>0.24</v>
      </c>
      <c r="X78" s="40">
        <f t="shared" si="51"/>
        <v>0.76</v>
      </c>
      <c r="Y78" s="39">
        <f t="shared" si="52"/>
        <v>1.3818181818181816</v>
      </c>
      <c r="Z78" s="37">
        <f t="shared" si="28"/>
        <v>2.0749246854510015</v>
      </c>
      <c r="AA78" s="37">
        <f t="shared" si="29"/>
        <v>1.4403532980610951</v>
      </c>
      <c r="AB78" s="37">
        <v>0</v>
      </c>
      <c r="AC78" s="37">
        <f t="shared" si="53"/>
        <v>1.8464096846795716E-2</v>
      </c>
      <c r="AD78" s="40">
        <f t="shared" si="62"/>
        <v>1.8464096846795716E-2</v>
      </c>
      <c r="AE78" s="39">
        <f t="shared" si="70"/>
        <v>0.33216374269005855</v>
      </c>
      <c r="AF78" s="37">
        <f t="shared" si="63"/>
        <v>0.70562612591691498</v>
      </c>
      <c r="AG78" s="37">
        <f t="shared" si="54"/>
        <v>2.2903778560519642E-3</v>
      </c>
      <c r="AH78" s="37">
        <f t="shared" si="55"/>
        <v>6.083090311695899E-2</v>
      </c>
      <c r="AI78" s="40">
        <f t="shared" si="64"/>
        <v>6.3121280973010951E-2</v>
      </c>
      <c r="AJ78" s="39">
        <f t="shared" si="65"/>
        <v>1.051851851851852</v>
      </c>
      <c r="AK78" s="37">
        <f t="shared" si="56"/>
        <v>1.2556708938487668</v>
      </c>
      <c r="AL78" s="37">
        <f t="shared" si="57"/>
        <v>0.5490666666666667</v>
      </c>
      <c r="AM78" s="37">
        <f t="shared" si="58"/>
        <v>2.4552000000000001E-2</v>
      </c>
      <c r="AN78" s="40">
        <f t="shared" si="66"/>
        <v>0.57361866666666672</v>
      </c>
      <c r="AO78" s="39">
        <f t="shared" si="59"/>
        <v>9.9581645915302799E-3</v>
      </c>
      <c r="AP78" s="37">
        <f t="shared" si="60"/>
        <v>0.11701800000000001</v>
      </c>
      <c r="AQ78" s="40">
        <f t="shared" si="61"/>
        <v>1.7099999999999999E-3</v>
      </c>
      <c r="AR78" s="39">
        <f t="shared" si="67"/>
        <v>0.78389020907800366</v>
      </c>
      <c r="AS78" s="37">
        <f t="shared" si="68"/>
        <v>4.7333333333333343</v>
      </c>
      <c r="AT78" s="40">
        <f t="shared" si="69"/>
        <v>85.791944026697905</v>
      </c>
    </row>
    <row r="79" spans="17:46" x14ac:dyDescent="0.2">
      <c r="Q79">
        <v>72</v>
      </c>
      <c r="R79" s="39">
        <f t="shared" si="45"/>
        <v>5</v>
      </c>
      <c r="S79" s="37">
        <f t="shared" si="46"/>
        <v>0.96000000000000008</v>
      </c>
      <c r="T79" s="37">
        <f t="shared" si="47"/>
        <v>3.8</v>
      </c>
      <c r="U79" s="40">
        <f t="shared" si="48"/>
        <v>1.4035087719298247</v>
      </c>
      <c r="V79" s="39">
        <f t="shared" si="49"/>
        <v>2</v>
      </c>
      <c r="W79" s="37">
        <f t="shared" si="50"/>
        <v>0.24</v>
      </c>
      <c r="X79" s="40">
        <f t="shared" si="51"/>
        <v>0.76</v>
      </c>
      <c r="Y79" s="39">
        <f t="shared" si="52"/>
        <v>1.3818181818181816</v>
      </c>
      <c r="Z79" s="37">
        <f t="shared" si="28"/>
        <v>2.0944178628389154</v>
      </c>
      <c r="AA79" s="37">
        <f t="shared" si="29"/>
        <v>1.459094010057008</v>
      </c>
      <c r="AB79" s="37">
        <v>0</v>
      </c>
      <c r="AC79" s="37">
        <f t="shared" si="53"/>
        <v>1.8947702438639739E-2</v>
      </c>
      <c r="AD79" s="40">
        <f t="shared" si="62"/>
        <v>1.8947702438639739E-2</v>
      </c>
      <c r="AE79" s="39">
        <f t="shared" si="70"/>
        <v>0.33684210526315794</v>
      </c>
      <c r="AF79" s="37">
        <f t="shared" si="63"/>
        <v>0.71480716227820318</v>
      </c>
      <c r="AG79" s="37">
        <f t="shared" si="54"/>
        <v>2.3503666845234006E-3</v>
      </c>
      <c r="AH79" s="37">
        <f t="shared" si="55"/>
        <v>6.1687676400296439E-2</v>
      </c>
      <c r="AI79" s="40">
        <f t="shared" si="64"/>
        <v>6.4038043084819835E-2</v>
      </c>
      <c r="AJ79" s="39">
        <f t="shared" si="65"/>
        <v>1.0666666666666669</v>
      </c>
      <c r="AK79" s="37">
        <f t="shared" si="56"/>
        <v>1.2720086677928033</v>
      </c>
      <c r="AL79" s="37">
        <f t="shared" si="57"/>
        <v>0.55679999999999996</v>
      </c>
      <c r="AM79" s="37">
        <f t="shared" si="58"/>
        <v>2.4552000000000001E-2</v>
      </c>
      <c r="AN79" s="40">
        <f t="shared" si="66"/>
        <v>0.58135199999999998</v>
      </c>
      <c r="AO79" s="39">
        <f t="shared" si="59"/>
        <v>1.0218985584884351E-2</v>
      </c>
      <c r="AP79" s="37">
        <f t="shared" si="60"/>
        <v>0.11701800000000001</v>
      </c>
      <c r="AQ79" s="40">
        <f t="shared" si="61"/>
        <v>1.7099999999999999E-3</v>
      </c>
      <c r="AR79" s="39">
        <f t="shared" si="67"/>
        <v>0.79328473110834385</v>
      </c>
      <c r="AS79" s="37">
        <f t="shared" si="68"/>
        <v>4.8000000000000007</v>
      </c>
      <c r="AT79" s="40">
        <f t="shared" si="69"/>
        <v>85.817193845035149</v>
      </c>
    </row>
    <row r="80" spans="17:46" x14ac:dyDescent="0.2">
      <c r="Q80">
        <v>73</v>
      </c>
      <c r="R80" s="39">
        <f t="shared" si="45"/>
        <v>5</v>
      </c>
      <c r="S80" s="37">
        <f t="shared" si="46"/>
        <v>0.97333333333333338</v>
      </c>
      <c r="T80" s="37">
        <f t="shared" si="47"/>
        <v>3.8</v>
      </c>
      <c r="U80" s="40">
        <f t="shared" si="48"/>
        <v>1.423001949317739</v>
      </c>
      <c r="V80" s="39">
        <f t="shared" si="49"/>
        <v>2</v>
      </c>
      <c r="W80" s="37">
        <f t="shared" si="50"/>
        <v>0.24</v>
      </c>
      <c r="X80" s="40">
        <f t="shared" si="51"/>
        <v>0.76</v>
      </c>
      <c r="Y80" s="39">
        <f t="shared" si="52"/>
        <v>1.3818181818181816</v>
      </c>
      <c r="Z80" s="37">
        <f t="shared" ref="Z80:Z143" si="71">CHOOSE(V80,Y80,U80+(0.5*Y80))</f>
        <v>2.1139110402268297</v>
      </c>
      <c r="AA80" s="37">
        <f t="shared" ref="AA80:AA143" si="72">CHOOSE(V80,Z80*SQRT((W80+X80)/3),SQRT((U80^2)+((Y80^2)/12)))</f>
        <v>1.4778541893780863</v>
      </c>
      <c r="AB80" s="37">
        <v>0</v>
      </c>
      <c r="AC80" s="37">
        <f t="shared" si="53"/>
        <v>1.9438071745055012E-2</v>
      </c>
      <c r="AD80" s="40">
        <f t="shared" si="62"/>
        <v>1.9438071745055012E-2</v>
      </c>
      <c r="AE80" s="39">
        <f t="shared" si="70"/>
        <v>0.34152046783625734</v>
      </c>
      <c r="AF80" s="37">
        <f t="shared" si="63"/>
        <v>0.72399773564215419</v>
      </c>
      <c r="AG80" s="37">
        <f t="shared" si="54"/>
        <v>2.4111945175888465E-3</v>
      </c>
      <c r="AH80" s="37">
        <f t="shared" si="55"/>
        <v>6.2544449683633901E-2</v>
      </c>
      <c r="AI80" s="40">
        <f t="shared" si="64"/>
        <v>6.4955644201222754E-2</v>
      </c>
      <c r="AJ80" s="39">
        <f t="shared" si="65"/>
        <v>1.0814814814814817</v>
      </c>
      <c r="AK80" s="37">
        <f t="shared" si="56"/>
        <v>1.2883634129574599</v>
      </c>
      <c r="AL80" s="37">
        <f t="shared" si="57"/>
        <v>0.56453333333333333</v>
      </c>
      <c r="AM80" s="37">
        <f t="shared" si="58"/>
        <v>2.4552000000000001E-2</v>
      </c>
      <c r="AN80" s="40">
        <f t="shared" si="66"/>
        <v>0.58908533333333335</v>
      </c>
      <c r="AO80" s="39">
        <f t="shared" si="59"/>
        <v>1.0483454424299333E-2</v>
      </c>
      <c r="AP80" s="37">
        <f t="shared" si="60"/>
        <v>0.11701800000000001</v>
      </c>
      <c r="AQ80" s="40">
        <f t="shared" si="61"/>
        <v>1.7099999999999999E-3</v>
      </c>
      <c r="AR80" s="39">
        <f t="shared" si="67"/>
        <v>0.80269050370391037</v>
      </c>
      <c r="AS80" s="37">
        <f t="shared" si="68"/>
        <v>4.8666666666666671</v>
      </c>
      <c r="AT80" s="40">
        <f t="shared" si="69"/>
        <v>85.841595800332286</v>
      </c>
    </row>
    <row r="81" spans="17:46" x14ac:dyDescent="0.2">
      <c r="Q81">
        <v>74</v>
      </c>
      <c r="R81" s="39">
        <f t="shared" si="45"/>
        <v>5</v>
      </c>
      <c r="S81" s="37">
        <f t="shared" si="46"/>
        <v>0.98666666666666669</v>
      </c>
      <c r="T81" s="37">
        <f t="shared" si="47"/>
        <v>3.8</v>
      </c>
      <c r="U81" s="40">
        <f t="shared" si="48"/>
        <v>1.4424951267056532</v>
      </c>
      <c r="V81" s="39">
        <f t="shared" si="49"/>
        <v>2</v>
      </c>
      <c r="W81" s="37">
        <f t="shared" si="50"/>
        <v>0.24</v>
      </c>
      <c r="X81" s="40">
        <f t="shared" si="51"/>
        <v>0.76</v>
      </c>
      <c r="Y81" s="39">
        <f t="shared" si="52"/>
        <v>1.3818181818181816</v>
      </c>
      <c r="Z81" s="37">
        <f t="shared" si="71"/>
        <v>2.1334042176147441</v>
      </c>
      <c r="AA81" s="37">
        <f t="shared" si="72"/>
        <v>1.4966331039602971</v>
      </c>
      <c r="AB81" s="37">
        <v>0</v>
      </c>
      <c r="AC81" s="37">
        <f t="shared" si="53"/>
        <v>1.9935204766041516E-2</v>
      </c>
      <c r="AD81" s="40">
        <f t="shared" si="62"/>
        <v>1.9935204766041516E-2</v>
      </c>
      <c r="AE81" s="39">
        <f t="shared" si="70"/>
        <v>0.34619883040935673</v>
      </c>
      <c r="AF81" s="37">
        <f t="shared" si="63"/>
        <v>0.73319748737209967</v>
      </c>
      <c r="AG81" s="37">
        <f t="shared" si="54"/>
        <v>2.4728613552482967E-3</v>
      </c>
      <c r="AH81" s="37">
        <f t="shared" si="55"/>
        <v>6.3401222966971343E-2</v>
      </c>
      <c r="AI81" s="40">
        <f t="shared" si="64"/>
        <v>6.5874084322219639E-2</v>
      </c>
      <c r="AJ81" s="39">
        <f t="shared" si="65"/>
        <v>1.0962962962962963</v>
      </c>
      <c r="AK81" s="37">
        <f t="shared" si="56"/>
        <v>1.3047344911441079</v>
      </c>
      <c r="AL81" s="37">
        <f t="shared" si="57"/>
        <v>0.57226666666666659</v>
      </c>
      <c r="AM81" s="37">
        <f t="shared" si="58"/>
        <v>2.4552000000000001E-2</v>
      </c>
      <c r="AN81" s="40">
        <f t="shared" si="66"/>
        <v>0.59681866666666661</v>
      </c>
      <c r="AO81" s="39">
        <f t="shared" si="59"/>
        <v>1.0751571109775204E-2</v>
      </c>
      <c r="AP81" s="37">
        <f t="shared" si="60"/>
        <v>0.11701800000000001</v>
      </c>
      <c r="AQ81" s="40">
        <f t="shared" si="61"/>
        <v>1.7099999999999999E-3</v>
      </c>
      <c r="AR81" s="39">
        <f t="shared" si="67"/>
        <v>0.812107526864703</v>
      </c>
      <c r="AS81" s="37">
        <f t="shared" si="68"/>
        <v>4.9333333333333336</v>
      </c>
      <c r="AT81" s="40">
        <f t="shared" si="69"/>
        <v>85.865183427600172</v>
      </c>
    </row>
    <row r="82" spans="17:46" x14ac:dyDescent="0.2">
      <c r="Q82">
        <v>75</v>
      </c>
      <c r="R82" s="39">
        <f t="shared" si="45"/>
        <v>5</v>
      </c>
      <c r="S82" s="37">
        <f t="shared" si="46"/>
        <v>1</v>
      </c>
      <c r="T82" s="37">
        <f t="shared" si="47"/>
        <v>3.8</v>
      </c>
      <c r="U82" s="40">
        <f t="shared" si="48"/>
        <v>1.4619883040935673</v>
      </c>
      <c r="V82" s="39">
        <f t="shared" si="49"/>
        <v>2</v>
      </c>
      <c r="W82" s="37">
        <f t="shared" si="50"/>
        <v>0.24</v>
      </c>
      <c r="X82" s="40">
        <f t="shared" si="51"/>
        <v>0.76</v>
      </c>
      <c r="Y82" s="39">
        <f t="shared" si="52"/>
        <v>1.3818181818181816</v>
      </c>
      <c r="Z82" s="37">
        <f t="shared" si="71"/>
        <v>2.152897395002658</v>
      </c>
      <c r="AA82" s="37">
        <f t="shared" si="72"/>
        <v>1.5154300573126629</v>
      </c>
      <c r="AB82" s="37">
        <v>0</v>
      </c>
      <c r="AC82" s="37">
        <f t="shared" si="53"/>
        <v>2.0439101501599281E-2</v>
      </c>
      <c r="AD82" s="40">
        <f t="shared" si="62"/>
        <v>2.0439101501599281E-2</v>
      </c>
      <c r="AE82" s="39">
        <f t="shared" si="70"/>
        <v>0.35087719298245612</v>
      </c>
      <c r="AF82" s="37">
        <f t="shared" si="63"/>
        <v>0.74240607625853816</v>
      </c>
      <c r="AG82" s="37">
        <f t="shared" si="54"/>
        <v>2.5353671975017521E-3</v>
      </c>
      <c r="AH82" s="37">
        <f t="shared" si="55"/>
        <v>6.4257996250308785E-2</v>
      </c>
      <c r="AI82" s="40">
        <f t="shared" si="64"/>
        <v>6.6793363447810533E-2</v>
      </c>
      <c r="AJ82" s="39">
        <f t="shared" si="65"/>
        <v>1.1111111111111112</v>
      </c>
      <c r="AK82" s="37">
        <f t="shared" si="56"/>
        <v>1.3211212951659896</v>
      </c>
      <c r="AL82" s="37">
        <f t="shared" si="57"/>
        <v>0.57999999999999996</v>
      </c>
      <c r="AM82" s="37">
        <f t="shared" si="58"/>
        <v>2.4552000000000001E-2</v>
      </c>
      <c r="AN82" s="40">
        <f t="shared" si="66"/>
        <v>0.60455199999999998</v>
      </c>
      <c r="AO82" s="39">
        <f t="shared" si="59"/>
        <v>1.1023335641311967E-2</v>
      </c>
      <c r="AP82" s="37">
        <f t="shared" si="60"/>
        <v>0.11701800000000001</v>
      </c>
      <c r="AQ82" s="40">
        <f t="shared" si="61"/>
        <v>1.7099999999999999E-3</v>
      </c>
      <c r="AR82" s="39">
        <f t="shared" si="67"/>
        <v>0.82153580059072173</v>
      </c>
      <c r="AS82" s="37">
        <f t="shared" si="68"/>
        <v>5</v>
      </c>
      <c r="AT82" s="40">
        <f t="shared" si="69"/>
        <v>85.88798851829857</v>
      </c>
    </row>
    <row r="83" spans="17:46" x14ac:dyDescent="0.2">
      <c r="Q83">
        <v>76</v>
      </c>
      <c r="R83" s="39">
        <f t="shared" si="45"/>
        <v>5</v>
      </c>
      <c r="S83" s="37">
        <f t="shared" si="46"/>
        <v>1.0133333333333334</v>
      </c>
      <c r="T83" s="37">
        <f t="shared" si="47"/>
        <v>3.8</v>
      </c>
      <c r="U83" s="40">
        <f t="shared" si="48"/>
        <v>1.4814814814814816</v>
      </c>
      <c r="V83" s="39">
        <f t="shared" si="49"/>
        <v>2</v>
      </c>
      <c r="W83" s="37">
        <f t="shared" si="50"/>
        <v>0.24</v>
      </c>
      <c r="X83" s="40">
        <f t="shared" si="51"/>
        <v>0.76</v>
      </c>
      <c r="Y83" s="39">
        <f t="shared" si="52"/>
        <v>1.3818181818181816</v>
      </c>
      <c r="Z83" s="37">
        <f t="shared" si="71"/>
        <v>2.1723905723905723</v>
      </c>
      <c r="AA83" s="37">
        <f t="shared" si="72"/>
        <v>1.5342443864237669</v>
      </c>
      <c r="AB83" s="37">
        <v>0</v>
      </c>
      <c r="AC83" s="37">
        <f t="shared" si="53"/>
        <v>2.0949761951728284E-2</v>
      </c>
      <c r="AD83" s="40">
        <f t="shared" si="62"/>
        <v>2.0949761951728284E-2</v>
      </c>
      <c r="AE83" s="39">
        <f t="shared" si="70"/>
        <v>0.35555555555555557</v>
      </c>
      <c r="AF83" s="37">
        <f t="shared" si="63"/>
        <v>0.75162317749353758</v>
      </c>
      <c r="AG83" s="37">
        <f t="shared" si="54"/>
        <v>2.5987120443492166E-3</v>
      </c>
      <c r="AH83" s="37">
        <f t="shared" si="55"/>
        <v>6.5114769533646241E-2</v>
      </c>
      <c r="AI83" s="40">
        <f t="shared" si="64"/>
        <v>6.7713481577995463E-2</v>
      </c>
      <c r="AJ83" s="39">
        <f t="shared" si="65"/>
        <v>1.125925925925926</v>
      </c>
      <c r="AK83" s="37">
        <f t="shared" si="56"/>
        <v>1.3375232470231535</v>
      </c>
      <c r="AL83" s="37">
        <f t="shared" si="57"/>
        <v>0.58773333333333333</v>
      </c>
      <c r="AM83" s="37">
        <f t="shared" si="58"/>
        <v>2.4552000000000001E-2</v>
      </c>
      <c r="AN83" s="40">
        <f t="shared" si="66"/>
        <v>0.61228533333333335</v>
      </c>
      <c r="AO83" s="39">
        <f t="shared" si="59"/>
        <v>1.1298748018909637E-2</v>
      </c>
      <c r="AP83" s="37">
        <f t="shared" si="60"/>
        <v>0.11701800000000001</v>
      </c>
      <c r="AQ83" s="40">
        <f t="shared" si="61"/>
        <v>1.7099999999999999E-3</v>
      </c>
      <c r="AR83" s="39">
        <f t="shared" si="67"/>
        <v>0.83097532488196679</v>
      </c>
      <c r="AS83" s="37">
        <f t="shared" si="68"/>
        <v>5.0666666666666673</v>
      </c>
      <c r="AT83" s="40">
        <f t="shared" si="69"/>
        <v>85.910041232194814</v>
      </c>
    </row>
    <row r="84" spans="17:46" x14ac:dyDescent="0.2">
      <c r="Q84">
        <v>77</v>
      </c>
      <c r="R84" s="39">
        <f t="shared" si="45"/>
        <v>5</v>
      </c>
      <c r="S84" s="37">
        <f t="shared" si="46"/>
        <v>1.0266666666666668</v>
      </c>
      <c r="T84" s="37">
        <f t="shared" si="47"/>
        <v>3.8</v>
      </c>
      <c r="U84" s="40">
        <f t="shared" si="48"/>
        <v>1.5009746588693962</v>
      </c>
      <c r="V84" s="39">
        <f t="shared" si="49"/>
        <v>2</v>
      </c>
      <c r="W84" s="37">
        <f t="shared" si="50"/>
        <v>0.24</v>
      </c>
      <c r="X84" s="40">
        <f t="shared" si="51"/>
        <v>0.76</v>
      </c>
      <c r="Y84" s="39">
        <f t="shared" si="52"/>
        <v>1.3818181818181816</v>
      </c>
      <c r="Z84" s="37">
        <f t="shared" si="71"/>
        <v>2.1918837497784871</v>
      </c>
      <c r="AA84" s="37">
        <f t="shared" si="72"/>
        <v>1.5530754598113947</v>
      </c>
      <c r="AB84" s="37">
        <v>0</v>
      </c>
      <c r="AC84" s="37">
        <f t="shared" si="53"/>
        <v>2.1467186116428536E-2</v>
      </c>
      <c r="AD84" s="40">
        <f t="shared" si="62"/>
        <v>2.1467186116428536E-2</v>
      </c>
      <c r="AE84" s="39">
        <f t="shared" si="70"/>
        <v>0.36023391812865507</v>
      </c>
      <c r="AF84" s="37">
        <f t="shared" si="63"/>
        <v>0.7608484817152561</v>
      </c>
      <c r="AG84" s="37">
        <f t="shared" si="54"/>
        <v>2.6628958957906879E-3</v>
      </c>
      <c r="AH84" s="37">
        <f t="shared" si="55"/>
        <v>6.5971542816983697E-2</v>
      </c>
      <c r="AI84" s="40">
        <f t="shared" si="64"/>
        <v>6.8634438712774387E-2</v>
      </c>
      <c r="AJ84" s="39">
        <f t="shared" si="65"/>
        <v>1.1407407407407411</v>
      </c>
      <c r="AK84" s="37">
        <f t="shared" si="56"/>
        <v>1.3539397962021673</v>
      </c>
      <c r="AL84" s="37">
        <f t="shared" si="57"/>
        <v>0.5954666666666667</v>
      </c>
      <c r="AM84" s="37">
        <f t="shared" si="58"/>
        <v>2.4552000000000001E-2</v>
      </c>
      <c r="AN84" s="40">
        <f t="shared" si="66"/>
        <v>0.62001866666666672</v>
      </c>
      <c r="AO84" s="39">
        <f t="shared" si="59"/>
        <v>1.1577808242568209E-2</v>
      </c>
      <c r="AP84" s="37">
        <f t="shared" si="60"/>
        <v>0.11701800000000001</v>
      </c>
      <c r="AQ84" s="40">
        <f t="shared" si="61"/>
        <v>1.7099999999999999E-3</v>
      </c>
      <c r="AR84" s="39">
        <f t="shared" si="67"/>
        <v>0.84042609973843774</v>
      </c>
      <c r="AS84" s="37">
        <f t="shared" si="68"/>
        <v>5.1333333333333346</v>
      </c>
      <c r="AT84" s="40">
        <f t="shared" si="69"/>
        <v>85.931370200719954</v>
      </c>
    </row>
    <row r="85" spans="17:46" x14ac:dyDescent="0.2">
      <c r="Q85">
        <v>78</v>
      </c>
      <c r="R85" s="39">
        <f t="shared" si="45"/>
        <v>5</v>
      </c>
      <c r="S85" s="37">
        <f t="shared" si="46"/>
        <v>1.04</v>
      </c>
      <c r="T85" s="37">
        <f t="shared" si="47"/>
        <v>3.8</v>
      </c>
      <c r="U85" s="40">
        <f t="shared" si="48"/>
        <v>1.5204678362573101</v>
      </c>
      <c r="V85" s="39">
        <f t="shared" si="49"/>
        <v>2</v>
      </c>
      <c r="W85" s="37">
        <f t="shared" si="50"/>
        <v>0.24</v>
      </c>
      <c r="X85" s="40">
        <f t="shared" si="51"/>
        <v>0.76</v>
      </c>
      <c r="Y85" s="39">
        <f t="shared" si="52"/>
        <v>1.3818181818181816</v>
      </c>
      <c r="Z85" s="37">
        <f t="shared" si="71"/>
        <v>2.211376927166401</v>
      </c>
      <c r="AA85" s="37">
        <f t="shared" si="72"/>
        <v>1.5719226757042668</v>
      </c>
      <c r="AB85" s="37">
        <v>0</v>
      </c>
      <c r="AC85" s="37">
        <f t="shared" si="53"/>
        <v>2.1991373995700027E-2</v>
      </c>
      <c r="AD85" s="40">
        <f t="shared" si="62"/>
        <v>2.1991373995700027E-2</v>
      </c>
      <c r="AE85" s="39">
        <f t="shared" si="70"/>
        <v>0.36491228070175441</v>
      </c>
      <c r="AF85" s="37">
        <f t="shared" si="63"/>
        <v>0.77008169411717808</v>
      </c>
      <c r="AG85" s="37">
        <f t="shared" si="54"/>
        <v>2.7279187518261618E-3</v>
      </c>
      <c r="AH85" s="37">
        <f t="shared" si="55"/>
        <v>6.6828316100321139E-2</v>
      </c>
      <c r="AI85" s="40">
        <f t="shared" si="64"/>
        <v>6.9556234852147306E-2</v>
      </c>
      <c r="AJ85" s="39">
        <f t="shared" si="65"/>
        <v>1.1555555555555557</v>
      </c>
      <c r="AK85" s="37">
        <f t="shared" si="56"/>
        <v>1.3703704180909919</v>
      </c>
      <c r="AL85" s="37">
        <f t="shared" si="57"/>
        <v>0.60319999999999996</v>
      </c>
      <c r="AM85" s="37">
        <f t="shared" si="58"/>
        <v>2.4552000000000001E-2</v>
      </c>
      <c r="AN85" s="40">
        <f t="shared" si="66"/>
        <v>0.62775199999999998</v>
      </c>
      <c r="AO85" s="39">
        <f t="shared" si="59"/>
        <v>1.1860516312287661E-2</v>
      </c>
      <c r="AP85" s="37">
        <f t="shared" si="60"/>
        <v>0.11701800000000001</v>
      </c>
      <c r="AQ85" s="40">
        <f t="shared" si="61"/>
        <v>1.7099999999999999E-3</v>
      </c>
      <c r="AR85" s="39">
        <f t="shared" si="67"/>
        <v>0.84988812516013501</v>
      </c>
      <c r="AS85" s="37">
        <f t="shared" si="68"/>
        <v>5.2</v>
      </c>
      <c r="AT85" s="40">
        <f t="shared" si="69"/>
        <v>85.952002622566852</v>
      </c>
    </row>
    <row r="86" spans="17:46" x14ac:dyDescent="0.2">
      <c r="Q86">
        <v>79</v>
      </c>
      <c r="R86" s="39">
        <f t="shared" si="45"/>
        <v>5</v>
      </c>
      <c r="S86" s="37">
        <f t="shared" si="46"/>
        <v>1.0533333333333335</v>
      </c>
      <c r="T86" s="37">
        <f t="shared" si="47"/>
        <v>3.8</v>
      </c>
      <c r="U86" s="40">
        <f t="shared" si="48"/>
        <v>1.5399610136452244</v>
      </c>
      <c r="V86" s="39">
        <f t="shared" si="49"/>
        <v>2</v>
      </c>
      <c r="W86" s="37">
        <f t="shared" si="50"/>
        <v>0.24</v>
      </c>
      <c r="X86" s="40">
        <f t="shared" si="51"/>
        <v>0.76</v>
      </c>
      <c r="Y86" s="39">
        <f t="shared" si="52"/>
        <v>1.3818181818181816</v>
      </c>
      <c r="Z86" s="37">
        <f t="shared" si="71"/>
        <v>2.2308701045543153</v>
      </c>
      <c r="AA86" s="37">
        <f t="shared" si="72"/>
        <v>1.5907854603457696</v>
      </c>
      <c r="AB86" s="37">
        <v>0</v>
      </c>
      <c r="AC86" s="37">
        <f t="shared" si="53"/>
        <v>2.2522325589542772E-2</v>
      </c>
      <c r="AD86" s="40">
        <f t="shared" si="62"/>
        <v>2.2522325589542772E-2</v>
      </c>
      <c r="AE86" s="39">
        <f t="shared" si="70"/>
        <v>0.36959064327485386</v>
      </c>
      <c r="AF86" s="37">
        <f t="shared" si="63"/>
        <v>0.7793225336171159</v>
      </c>
      <c r="AG86" s="37">
        <f t="shared" si="54"/>
        <v>2.7937806124556435E-3</v>
      </c>
      <c r="AH86" s="37">
        <f t="shared" si="55"/>
        <v>6.7685089383658595E-2</v>
      </c>
      <c r="AI86" s="40">
        <f t="shared" si="64"/>
        <v>7.0478869996114232E-2</v>
      </c>
      <c r="AJ86" s="39">
        <f t="shared" si="65"/>
        <v>1.1703703703703705</v>
      </c>
      <c r="AK86" s="37">
        <f t="shared" si="56"/>
        <v>1.3868146125002081</v>
      </c>
      <c r="AL86" s="37">
        <f t="shared" si="57"/>
        <v>0.61093333333333333</v>
      </c>
      <c r="AM86" s="37">
        <f t="shared" si="58"/>
        <v>2.4552000000000001E-2</v>
      </c>
      <c r="AN86" s="40">
        <f t="shared" si="66"/>
        <v>0.63548533333333335</v>
      </c>
      <c r="AO86" s="39">
        <f t="shared" si="59"/>
        <v>1.2146872228068015E-2</v>
      </c>
      <c r="AP86" s="37">
        <f t="shared" si="60"/>
        <v>0.11701800000000001</v>
      </c>
      <c r="AQ86" s="40">
        <f t="shared" si="61"/>
        <v>1.7099999999999999E-3</v>
      </c>
      <c r="AR86" s="39">
        <f t="shared" si="67"/>
        <v>0.85936140114705839</v>
      </c>
      <c r="AS86" s="37">
        <f t="shared" si="68"/>
        <v>5.2666666666666675</v>
      </c>
      <c r="AT86" s="40">
        <f t="shared" si="69"/>
        <v>85.971964352201383</v>
      </c>
    </row>
    <row r="87" spans="17:46" x14ac:dyDescent="0.2">
      <c r="Q87">
        <v>80</v>
      </c>
      <c r="R87" s="39">
        <f t="shared" si="45"/>
        <v>5</v>
      </c>
      <c r="S87" s="37">
        <f t="shared" si="46"/>
        <v>1.0666666666666667</v>
      </c>
      <c r="T87" s="37">
        <f t="shared" si="47"/>
        <v>3.8</v>
      </c>
      <c r="U87" s="40">
        <f t="shared" si="48"/>
        <v>1.5594541910331383</v>
      </c>
      <c r="V87" s="39">
        <f t="shared" si="49"/>
        <v>2</v>
      </c>
      <c r="W87" s="37">
        <f t="shared" si="50"/>
        <v>0.24</v>
      </c>
      <c r="X87" s="40">
        <f t="shared" si="51"/>
        <v>0.76</v>
      </c>
      <c r="Y87" s="39">
        <f t="shared" si="52"/>
        <v>1.3818181818181816</v>
      </c>
      <c r="Z87" s="37">
        <f t="shared" si="71"/>
        <v>2.2503632819422292</v>
      </c>
      <c r="AA87" s="37">
        <f t="shared" si="72"/>
        <v>1.60966326641043</v>
      </c>
      <c r="AB87" s="37">
        <v>0</v>
      </c>
      <c r="AC87" s="37">
        <f t="shared" si="53"/>
        <v>2.3060040897956748E-2</v>
      </c>
      <c r="AD87" s="40">
        <f t="shared" si="62"/>
        <v>2.3060040897956748E-2</v>
      </c>
      <c r="AE87" s="39">
        <f t="shared" si="70"/>
        <v>0.3742690058479532</v>
      </c>
      <c r="AF87" s="37">
        <f t="shared" si="63"/>
        <v>0.78857073208144313</v>
      </c>
      <c r="AG87" s="37">
        <f t="shared" si="54"/>
        <v>2.8604814776791308E-3</v>
      </c>
      <c r="AH87" s="37">
        <f t="shared" si="55"/>
        <v>6.8541862666996037E-2</v>
      </c>
      <c r="AI87" s="40">
        <f t="shared" si="64"/>
        <v>7.1402344144675167E-2</v>
      </c>
      <c r="AJ87" s="39">
        <f t="shared" si="65"/>
        <v>1.1851851851851851</v>
      </c>
      <c r="AK87" s="37">
        <f t="shared" si="56"/>
        <v>1.4032719022825311</v>
      </c>
      <c r="AL87" s="37">
        <f t="shared" si="57"/>
        <v>0.61866666666666659</v>
      </c>
      <c r="AM87" s="37">
        <f t="shared" si="58"/>
        <v>2.4552000000000001E-2</v>
      </c>
      <c r="AN87" s="40">
        <f t="shared" si="66"/>
        <v>0.64321866666666661</v>
      </c>
      <c r="AO87" s="39">
        <f t="shared" si="59"/>
        <v>1.2436875989909264E-2</v>
      </c>
      <c r="AP87" s="37">
        <f t="shared" si="60"/>
        <v>0.11701800000000001</v>
      </c>
      <c r="AQ87" s="40">
        <f t="shared" si="61"/>
        <v>1.7099999999999999E-3</v>
      </c>
      <c r="AR87" s="39">
        <f t="shared" si="67"/>
        <v>0.86884592769920788</v>
      </c>
      <c r="AS87" s="37">
        <f t="shared" si="68"/>
        <v>5.333333333333333</v>
      </c>
      <c r="AT87" s="40">
        <f t="shared" si="69"/>
        <v>85.991279981892006</v>
      </c>
    </row>
    <row r="88" spans="17:46" x14ac:dyDescent="0.2">
      <c r="Q88">
        <v>81</v>
      </c>
      <c r="R88" s="39">
        <f t="shared" si="45"/>
        <v>5</v>
      </c>
      <c r="S88" s="37">
        <f t="shared" si="46"/>
        <v>1.08</v>
      </c>
      <c r="T88" s="37">
        <f t="shared" si="47"/>
        <v>3.8</v>
      </c>
      <c r="U88" s="40">
        <f t="shared" si="48"/>
        <v>1.5789473684210529</v>
      </c>
      <c r="V88" s="39">
        <f t="shared" si="49"/>
        <v>2</v>
      </c>
      <c r="W88" s="37">
        <f t="shared" si="50"/>
        <v>0.24</v>
      </c>
      <c r="X88" s="40">
        <f t="shared" si="51"/>
        <v>0.76</v>
      </c>
      <c r="Y88" s="39">
        <f t="shared" si="52"/>
        <v>1.3818181818181816</v>
      </c>
      <c r="Z88" s="37">
        <f t="shared" si="71"/>
        <v>2.2698564593301436</v>
      </c>
      <c r="AA88" s="37">
        <f t="shared" si="72"/>
        <v>1.6285555715246696</v>
      </c>
      <c r="AB88" s="37">
        <v>0</v>
      </c>
      <c r="AC88" s="37">
        <f t="shared" si="53"/>
        <v>2.3604519920941983E-2</v>
      </c>
      <c r="AD88" s="40">
        <f t="shared" si="62"/>
        <v>2.3604519920941983E-2</v>
      </c>
      <c r="AE88" s="39">
        <f t="shared" si="70"/>
        <v>0.3789473684210527</v>
      </c>
      <c r="AF88" s="37">
        <f t="shared" si="63"/>
        <v>0.79782603360041493</v>
      </c>
      <c r="AG88" s="37">
        <f t="shared" si="54"/>
        <v>2.9280213474966238E-3</v>
      </c>
      <c r="AH88" s="37">
        <f t="shared" si="55"/>
        <v>6.9398635950333493E-2</v>
      </c>
      <c r="AI88" s="40">
        <f t="shared" si="64"/>
        <v>7.232665729783011E-2</v>
      </c>
      <c r="AJ88" s="39">
        <f t="shared" si="65"/>
        <v>1.2000000000000002</v>
      </c>
      <c r="AK88" s="37">
        <f t="shared" si="56"/>
        <v>1.4197418320432322</v>
      </c>
      <c r="AL88" s="37">
        <f t="shared" si="57"/>
        <v>0.62639999999999996</v>
      </c>
      <c r="AM88" s="37">
        <f t="shared" si="58"/>
        <v>2.4552000000000001E-2</v>
      </c>
      <c r="AN88" s="40">
        <f t="shared" si="66"/>
        <v>0.65095199999999998</v>
      </c>
      <c r="AO88" s="39">
        <f t="shared" si="59"/>
        <v>1.2730527597811408E-2</v>
      </c>
      <c r="AP88" s="37">
        <f t="shared" si="60"/>
        <v>0.11701800000000001</v>
      </c>
      <c r="AQ88" s="40">
        <f t="shared" si="61"/>
        <v>1.7099999999999999E-3</v>
      </c>
      <c r="AR88" s="39">
        <f t="shared" si="67"/>
        <v>0.87834170481658369</v>
      </c>
      <c r="AS88" s="37">
        <f t="shared" si="68"/>
        <v>5.4</v>
      </c>
      <c r="AT88" s="40">
        <f t="shared" si="69"/>
        <v>86.009972917805001</v>
      </c>
    </row>
    <row r="89" spans="17:46" x14ac:dyDescent="0.2">
      <c r="Q89">
        <v>82</v>
      </c>
      <c r="R89" s="39">
        <f t="shared" si="45"/>
        <v>5</v>
      </c>
      <c r="S89" s="37">
        <f t="shared" si="46"/>
        <v>1.0933333333333335</v>
      </c>
      <c r="T89" s="37">
        <f t="shared" si="47"/>
        <v>3.8</v>
      </c>
      <c r="U89" s="40">
        <f t="shared" si="48"/>
        <v>1.5984405458089672</v>
      </c>
      <c r="V89" s="39">
        <f t="shared" si="49"/>
        <v>2</v>
      </c>
      <c r="W89" s="37">
        <f t="shared" si="50"/>
        <v>0.24</v>
      </c>
      <c r="X89" s="40">
        <f t="shared" si="51"/>
        <v>0.76</v>
      </c>
      <c r="Y89" s="39">
        <f t="shared" si="52"/>
        <v>1.3818181818181816</v>
      </c>
      <c r="Z89" s="37">
        <f t="shared" si="71"/>
        <v>2.2893496367180579</v>
      </c>
      <c r="AA89" s="37">
        <f t="shared" si="72"/>
        <v>1.6474618768840583</v>
      </c>
      <c r="AB89" s="37">
        <v>0</v>
      </c>
      <c r="AC89" s="37">
        <f t="shared" si="53"/>
        <v>2.4155762658498461E-2</v>
      </c>
      <c r="AD89" s="40">
        <f t="shared" si="62"/>
        <v>2.4155762658498461E-2</v>
      </c>
      <c r="AE89" s="39">
        <f t="shared" si="70"/>
        <v>0.38362573099415209</v>
      </c>
      <c r="AF89" s="37">
        <f t="shared" si="63"/>
        <v>0.80708819381076469</v>
      </c>
      <c r="AG89" s="37">
        <f t="shared" si="54"/>
        <v>2.9964002219081236E-3</v>
      </c>
      <c r="AH89" s="37">
        <f t="shared" si="55"/>
        <v>7.0255409233670948E-2</v>
      </c>
      <c r="AI89" s="40">
        <f t="shared" si="64"/>
        <v>7.3251809455579076E-2</v>
      </c>
      <c r="AJ89" s="39">
        <f t="shared" si="65"/>
        <v>1.214814814814815</v>
      </c>
      <c r="AK89" s="37">
        <f t="shared" si="56"/>
        <v>1.4362239669346915</v>
      </c>
      <c r="AL89" s="37">
        <f t="shared" si="57"/>
        <v>0.63413333333333333</v>
      </c>
      <c r="AM89" s="37">
        <f t="shared" si="58"/>
        <v>2.4552000000000001E-2</v>
      </c>
      <c r="AN89" s="40">
        <f t="shared" si="66"/>
        <v>0.65868533333333334</v>
      </c>
      <c r="AO89" s="39">
        <f t="shared" si="59"/>
        <v>1.302782705177445E-2</v>
      </c>
      <c r="AP89" s="37">
        <f t="shared" si="60"/>
        <v>0.11701800000000001</v>
      </c>
      <c r="AQ89" s="40">
        <f t="shared" si="61"/>
        <v>1.7099999999999999E-3</v>
      </c>
      <c r="AR89" s="39">
        <f t="shared" si="67"/>
        <v>0.88784873249918539</v>
      </c>
      <c r="AS89" s="37">
        <f t="shared" si="68"/>
        <v>5.4666666666666677</v>
      </c>
      <c r="AT89" s="40">
        <f t="shared" si="69"/>
        <v>86.02806545065998</v>
      </c>
    </row>
    <row r="90" spans="17:46" x14ac:dyDescent="0.2">
      <c r="Q90">
        <v>83</v>
      </c>
      <c r="R90" s="39">
        <f t="shared" si="45"/>
        <v>5</v>
      </c>
      <c r="S90" s="37">
        <f t="shared" si="46"/>
        <v>1.1066666666666667</v>
      </c>
      <c r="T90" s="37">
        <f t="shared" si="47"/>
        <v>3.8</v>
      </c>
      <c r="U90" s="40">
        <f t="shared" si="48"/>
        <v>1.6179337231968811</v>
      </c>
      <c r="V90" s="39">
        <f t="shared" si="49"/>
        <v>2</v>
      </c>
      <c r="W90" s="37">
        <f t="shared" si="50"/>
        <v>0.24</v>
      </c>
      <c r="X90" s="40">
        <f t="shared" si="51"/>
        <v>0.76</v>
      </c>
      <c r="Y90" s="39">
        <f t="shared" si="52"/>
        <v>1.3818181818181816</v>
      </c>
      <c r="Z90" s="37">
        <f t="shared" si="71"/>
        <v>2.3088428141059718</v>
      </c>
      <c r="AA90" s="37">
        <f t="shared" si="72"/>
        <v>1.6663817059599513</v>
      </c>
      <c r="AB90" s="37">
        <v>0</v>
      </c>
      <c r="AC90" s="37">
        <f t="shared" si="53"/>
        <v>2.4713769110626178E-2</v>
      </c>
      <c r="AD90" s="40">
        <f t="shared" si="62"/>
        <v>2.4713769110626178E-2</v>
      </c>
      <c r="AE90" s="39">
        <f t="shared" si="70"/>
        <v>0.38830409356725143</v>
      </c>
      <c r="AF90" s="37">
        <f t="shared" si="63"/>
        <v>0.81635697926208683</v>
      </c>
      <c r="AG90" s="37">
        <f t="shared" si="54"/>
        <v>3.0656181009136286E-3</v>
      </c>
      <c r="AH90" s="37">
        <f t="shared" si="55"/>
        <v>7.111218251700839E-2</v>
      </c>
      <c r="AI90" s="40">
        <f t="shared" si="64"/>
        <v>7.4177800617922021E-2</v>
      </c>
      <c r="AJ90" s="39">
        <f t="shared" si="65"/>
        <v>1.2296296296296296</v>
      </c>
      <c r="AK90" s="37">
        <f t="shared" si="56"/>
        <v>1.4527178915288674</v>
      </c>
      <c r="AL90" s="37">
        <f t="shared" si="57"/>
        <v>0.64186666666666659</v>
      </c>
      <c r="AM90" s="37">
        <f t="shared" si="58"/>
        <v>2.4552000000000001E-2</v>
      </c>
      <c r="AN90" s="40">
        <f t="shared" si="66"/>
        <v>0.6664186666666666</v>
      </c>
      <c r="AO90" s="39">
        <f t="shared" si="59"/>
        <v>1.3328774351798385E-2</v>
      </c>
      <c r="AP90" s="37">
        <f t="shared" si="60"/>
        <v>0.11701800000000001</v>
      </c>
      <c r="AQ90" s="40">
        <f t="shared" si="61"/>
        <v>1.7099999999999999E-3</v>
      </c>
      <c r="AR90" s="39">
        <f t="shared" si="67"/>
        <v>0.89736701074701319</v>
      </c>
      <c r="AS90" s="37">
        <f t="shared" si="68"/>
        <v>5.5333333333333332</v>
      </c>
      <c r="AT90" s="40">
        <f t="shared" si="69"/>
        <v>86.045578821394358</v>
      </c>
    </row>
    <row r="91" spans="17:46" x14ac:dyDescent="0.2">
      <c r="Q91">
        <v>84</v>
      </c>
      <c r="R91" s="39">
        <f t="shared" si="45"/>
        <v>5</v>
      </c>
      <c r="S91" s="37">
        <f t="shared" si="46"/>
        <v>1.1200000000000001</v>
      </c>
      <c r="T91" s="37">
        <f t="shared" si="47"/>
        <v>3.8</v>
      </c>
      <c r="U91" s="40">
        <f t="shared" si="48"/>
        <v>1.6374269005847955</v>
      </c>
      <c r="V91" s="39">
        <f t="shared" si="49"/>
        <v>2</v>
      </c>
      <c r="W91" s="37">
        <f t="shared" si="50"/>
        <v>0.24</v>
      </c>
      <c r="X91" s="40">
        <f t="shared" si="51"/>
        <v>0.76</v>
      </c>
      <c r="Y91" s="39">
        <f t="shared" si="52"/>
        <v>1.3818181818181816</v>
      </c>
      <c r="Z91" s="37">
        <f t="shared" si="71"/>
        <v>2.3283359914938861</v>
      </c>
      <c r="AA91" s="37">
        <f t="shared" si="72"/>
        <v>1.6853146032889541</v>
      </c>
      <c r="AB91" s="37">
        <v>0</v>
      </c>
      <c r="AC91" s="37">
        <f t="shared" si="53"/>
        <v>2.5278539277325141E-2</v>
      </c>
      <c r="AD91" s="40">
        <f t="shared" si="62"/>
        <v>2.5278539277325141E-2</v>
      </c>
      <c r="AE91" s="39">
        <f t="shared" si="70"/>
        <v>0.39298245614035088</v>
      </c>
      <c r="AF91" s="37">
        <f t="shared" si="63"/>
        <v>0.82563216682379881</v>
      </c>
      <c r="AG91" s="37">
        <f t="shared" si="54"/>
        <v>3.1356749845131413E-3</v>
      </c>
      <c r="AH91" s="37">
        <f t="shared" si="55"/>
        <v>7.1968955800345832E-2</v>
      </c>
      <c r="AI91" s="40">
        <f t="shared" si="64"/>
        <v>7.5104630784858975E-2</v>
      </c>
      <c r="AJ91" s="39">
        <f t="shared" si="65"/>
        <v>1.2444444444444445</v>
      </c>
      <c r="AK91" s="37">
        <f t="shared" si="56"/>
        <v>1.4692232087619783</v>
      </c>
      <c r="AL91" s="37">
        <f t="shared" si="57"/>
        <v>0.64960000000000007</v>
      </c>
      <c r="AM91" s="37">
        <f t="shared" si="58"/>
        <v>2.4552000000000001E-2</v>
      </c>
      <c r="AN91" s="40">
        <f t="shared" si="66"/>
        <v>0.67415200000000008</v>
      </c>
      <c r="AO91" s="39">
        <f t="shared" si="59"/>
        <v>1.3633369497883224E-2</v>
      </c>
      <c r="AP91" s="37">
        <f t="shared" si="60"/>
        <v>0.11701800000000001</v>
      </c>
      <c r="AQ91" s="40">
        <f t="shared" si="61"/>
        <v>1.7099999999999999E-3</v>
      </c>
      <c r="AR91" s="39">
        <f t="shared" si="67"/>
        <v>0.90689653956006733</v>
      </c>
      <c r="AS91" s="37">
        <f t="shared" si="68"/>
        <v>5.6000000000000005</v>
      </c>
      <c r="AT91" s="40">
        <f t="shared" si="69"/>
        <v>86.062533282242981</v>
      </c>
    </row>
    <row r="92" spans="17:46" x14ac:dyDescent="0.2">
      <c r="Q92">
        <v>85</v>
      </c>
      <c r="R92" s="39">
        <f t="shared" si="45"/>
        <v>5</v>
      </c>
      <c r="S92" s="37">
        <f t="shared" si="46"/>
        <v>1.1333333333333333</v>
      </c>
      <c r="T92" s="37">
        <f t="shared" si="47"/>
        <v>3.8</v>
      </c>
      <c r="U92" s="40">
        <f t="shared" si="48"/>
        <v>1.6569200779727093</v>
      </c>
      <c r="V92" s="39">
        <f t="shared" si="49"/>
        <v>2</v>
      </c>
      <c r="W92" s="37">
        <f t="shared" si="50"/>
        <v>0.24</v>
      </c>
      <c r="X92" s="40">
        <f t="shared" si="51"/>
        <v>0.76</v>
      </c>
      <c r="Y92" s="39">
        <f t="shared" si="52"/>
        <v>1.3818181818181816</v>
      </c>
      <c r="Z92" s="37">
        <f t="shared" si="71"/>
        <v>2.3478291688818</v>
      </c>
      <c r="AA92" s="37">
        <f t="shared" si="72"/>
        <v>1.7042601333392049</v>
      </c>
      <c r="AB92" s="37">
        <v>0</v>
      </c>
      <c r="AC92" s="37">
        <f t="shared" si="53"/>
        <v>2.5850073158595343E-2</v>
      </c>
      <c r="AD92" s="40">
        <f t="shared" si="62"/>
        <v>2.5850073158595343E-2</v>
      </c>
      <c r="AE92" s="39">
        <f t="shared" si="70"/>
        <v>0.39766081871345021</v>
      </c>
      <c r="AF92" s="37">
        <f t="shared" si="63"/>
        <v>0.83491354312973465</v>
      </c>
      <c r="AG92" s="37">
        <f t="shared" si="54"/>
        <v>3.2065708727066571E-3</v>
      </c>
      <c r="AH92" s="37">
        <f t="shared" si="55"/>
        <v>7.2825729083683288E-2</v>
      </c>
      <c r="AI92" s="40">
        <f t="shared" si="64"/>
        <v>7.6032299956389951E-2</v>
      </c>
      <c r="AJ92" s="39">
        <f t="shared" si="65"/>
        <v>1.2592592592592591</v>
      </c>
      <c r="AK92" s="37">
        <f t="shared" si="56"/>
        <v>1.4857395389461494</v>
      </c>
      <c r="AL92" s="37">
        <f t="shared" si="57"/>
        <v>0.65733333333333333</v>
      </c>
      <c r="AM92" s="37">
        <f t="shared" si="58"/>
        <v>2.4552000000000001E-2</v>
      </c>
      <c r="AN92" s="40">
        <f t="shared" si="66"/>
        <v>0.68188533333333334</v>
      </c>
      <c r="AO92" s="39">
        <f t="shared" si="59"/>
        <v>1.3941612490028945E-2</v>
      </c>
      <c r="AP92" s="37">
        <f t="shared" si="60"/>
        <v>0.11701800000000001</v>
      </c>
      <c r="AQ92" s="40">
        <f t="shared" si="61"/>
        <v>1.7099999999999999E-3</v>
      </c>
      <c r="AR92" s="39">
        <f t="shared" si="67"/>
        <v>0.91643731893834757</v>
      </c>
      <c r="AS92" s="37">
        <f t="shared" si="68"/>
        <v>5.6666666666666661</v>
      </c>
      <c r="AT92" s="40">
        <f t="shared" si="69"/>
        <v>86.078948153602298</v>
      </c>
    </row>
    <row r="93" spans="17:46" x14ac:dyDescent="0.2">
      <c r="Q93">
        <v>86</v>
      </c>
      <c r="R93" s="39">
        <f t="shared" si="45"/>
        <v>5</v>
      </c>
      <c r="S93" s="37">
        <f t="shared" si="46"/>
        <v>1.1466666666666667</v>
      </c>
      <c r="T93" s="37">
        <f t="shared" si="47"/>
        <v>3.8</v>
      </c>
      <c r="U93" s="40">
        <f t="shared" si="48"/>
        <v>1.6764132553606239</v>
      </c>
      <c r="V93" s="39">
        <f t="shared" si="49"/>
        <v>2</v>
      </c>
      <c r="W93" s="37">
        <f t="shared" si="50"/>
        <v>0.24</v>
      </c>
      <c r="X93" s="40">
        <f t="shared" si="51"/>
        <v>0.76</v>
      </c>
      <c r="Y93" s="39">
        <f t="shared" si="52"/>
        <v>1.3818181818181816</v>
      </c>
      <c r="Z93" s="37">
        <f t="shared" si="71"/>
        <v>2.3673223462697148</v>
      </c>
      <c r="AA93" s="37">
        <f t="shared" si="72"/>
        <v>1.7232178794479471</v>
      </c>
      <c r="AB93" s="37">
        <v>0</v>
      </c>
      <c r="AC93" s="37">
        <f t="shared" si="53"/>
        <v>2.6428370754436808E-2</v>
      </c>
      <c r="AD93" s="40">
        <f t="shared" si="62"/>
        <v>2.6428370754436808E-2</v>
      </c>
      <c r="AE93" s="39">
        <f t="shared" si="70"/>
        <v>0.40233918128654972</v>
      </c>
      <c r="AF93" s="37">
        <f t="shared" si="63"/>
        <v>0.84420090405766524</v>
      </c>
      <c r="AG93" s="37">
        <f t="shared" si="54"/>
        <v>3.2783057654941846E-3</v>
      </c>
      <c r="AH93" s="37">
        <f t="shared" si="55"/>
        <v>7.3682502367020744E-2</v>
      </c>
      <c r="AI93" s="40">
        <f t="shared" si="64"/>
        <v>7.6960808132514935E-2</v>
      </c>
      <c r="AJ93" s="39">
        <f t="shared" si="65"/>
        <v>1.2740740740740741</v>
      </c>
      <c r="AK93" s="37">
        <f t="shared" si="56"/>
        <v>1.5022665188432116</v>
      </c>
      <c r="AL93" s="37">
        <f t="shared" si="57"/>
        <v>0.66506666666666669</v>
      </c>
      <c r="AM93" s="37">
        <f t="shared" si="58"/>
        <v>2.4552000000000001E-2</v>
      </c>
      <c r="AN93" s="40">
        <f t="shared" si="66"/>
        <v>0.68961866666666671</v>
      </c>
      <c r="AO93" s="39">
        <f t="shared" si="59"/>
        <v>1.4253503328235587E-2</v>
      </c>
      <c r="AP93" s="37">
        <f t="shared" si="60"/>
        <v>0.11701800000000001</v>
      </c>
      <c r="AQ93" s="40">
        <f t="shared" si="61"/>
        <v>1.7099999999999999E-3</v>
      </c>
      <c r="AR93" s="39">
        <f t="shared" si="67"/>
        <v>0.92598934888185414</v>
      </c>
      <c r="AS93" s="37">
        <f t="shared" si="68"/>
        <v>5.7333333333333334</v>
      </c>
      <c r="AT93" s="40">
        <f t="shared" si="69"/>
        <v>86.094841877014588</v>
      </c>
    </row>
    <row r="94" spans="17:46" x14ac:dyDescent="0.2">
      <c r="Q94">
        <v>87</v>
      </c>
      <c r="R94" s="39">
        <f t="shared" si="45"/>
        <v>5</v>
      </c>
      <c r="S94" s="37">
        <f t="shared" si="46"/>
        <v>1.1600000000000001</v>
      </c>
      <c r="T94" s="37">
        <f t="shared" si="47"/>
        <v>3.8</v>
      </c>
      <c r="U94" s="40">
        <f t="shared" si="48"/>
        <v>1.6959064327485383</v>
      </c>
      <c r="V94" s="39">
        <f t="shared" si="49"/>
        <v>2</v>
      </c>
      <c r="W94" s="37">
        <f t="shared" si="50"/>
        <v>0.24</v>
      </c>
      <c r="X94" s="40">
        <f t="shared" si="51"/>
        <v>0.76</v>
      </c>
      <c r="Y94" s="39">
        <f t="shared" si="52"/>
        <v>1.3818181818181816</v>
      </c>
      <c r="Z94" s="37">
        <f t="shared" si="71"/>
        <v>2.3868155236576292</v>
      </c>
      <c r="AA94" s="37">
        <f t="shared" si="72"/>
        <v>1.742187442825297</v>
      </c>
      <c r="AB94" s="37">
        <v>0</v>
      </c>
      <c r="AC94" s="37">
        <f t="shared" si="53"/>
        <v>2.7013432064849512E-2</v>
      </c>
      <c r="AD94" s="40">
        <f t="shared" si="62"/>
        <v>2.7013432064849512E-2</v>
      </c>
      <c r="AE94" s="39">
        <f t="shared" si="70"/>
        <v>0.40701754385964917</v>
      </c>
      <c r="AF94" s="37">
        <f t="shared" si="63"/>
        <v>0.85349405424124403</v>
      </c>
      <c r="AG94" s="37">
        <f t="shared" si="54"/>
        <v>3.3508796628757159E-3</v>
      </c>
      <c r="AH94" s="37">
        <f t="shared" si="55"/>
        <v>7.45392756503582E-2</v>
      </c>
      <c r="AI94" s="40">
        <f t="shared" si="64"/>
        <v>7.7890155313233914E-2</v>
      </c>
      <c r="AJ94" s="39">
        <f t="shared" si="65"/>
        <v>1.2888888888888892</v>
      </c>
      <c r="AK94" s="37">
        <f t="shared" si="56"/>
        <v>1.5188038007962033</v>
      </c>
      <c r="AL94" s="37">
        <f t="shared" si="57"/>
        <v>0.67280000000000006</v>
      </c>
      <c r="AM94" s="37">
        <f t="shared" si="58"/>
        <v>2.4552000000000001E-2</v>
      </c>
      <c r="AN94" s="40">
        <f t="shared" si="66"/>
        <v>0.69735200000000008</v>
      </c>
      <c r="AO94" s="39">
        <f t="shared" si="59"/>
        <v>1.4569042012503114E-2</v>
      </c>
      <c r="AP94" s="37">
        <f t="shared" si="60"/>
        <v>0.11701800000000001</v>
      </c>
      <c r="AQ94" s="40">
        <f t="shared" si="61"/>
        <v>1.7099999999999999E-3</v>
      </c>
      <c r="AR94" s="39">
        <f t="shared" si="67"/>
        <v>0.93555262939058659</v>
      </c>
      <c r="AS94" s="37">
        <f t="shared" si="68"/>
        <v>5.8000000000000007</v>
      </c>
      <c r="AT94" s="40">
        <f t="shared" si="69"/>
        <v>86.110232064577716</v>
      </c>
    </row>
    <row r="95" spans="17:46" x14ac:dyDescent="0.2">
      <c r="Q95">
        <v>88</v>
      </c>
      <c r="R95" s="39">
        <f t="shared" si="45"/>
        <v>5</v>
      </c>
      <c r="S95" s="37">
        <f t="shared" si="46"/>
        <v>1.1733333333333333</v>
      </c>
      <c r="T95" s="37">
        <f t="shared" si="47"/>
        <v>3.8</v>
      </c>
      <c r="U95" s="40">
        <f t="shared" si="48"/>
        <v>1.7153996101364524</v>
      </c>
      <c r="V95" s="39">
        <f t="shared" si="49"/>
        <v>2</v>
      </c>
      <c r="W95" s="37">
        <f t="shared" si="50"/>
        <v>0.24</v>
      </c>
      <c r="X95" s="40">
        <f t="shared" si="51"/>
        <v>0.76</v>
      </c>
      <c r="Y95" s="39">
        <f t="shared" si="52"/>
        <v>1.3818181818181816</v>
      </c>
      <c r="Z95" s="37">
        <f t="shared" si="71"/>
        <v>2.4063087010455431</v>
      </c>
      <c r="AA95" s="37">
        <f t="shared" si="72"/>
        <v>1.7611684416195312</v>
      </c>
      <c r="AB95" s="37">
        <v>0</v>
      </c>
      <c r="AC95" s="37">
        <f t="shared" si="53"/>
        <v>2.7605257089833454E-2</v>
      </c>
      <c r="AD95" s="40">
        <f t="shared" si="62"/>
        <v>2.7605257089833454E-2</v>
      </c>
      <c r="AE95" s="39">
        <f t="shared" si="70"/>
        <v>0.41169590643274856</v>
      </c>
      <c r="AF95" s="37">
        <f t="shared" si="63"/>
        <v>0.86279280661209523</v>
      </c>
      <c r="AG95" s="37">
        <f t="shared" si="54"/>
        <v>3.4242925648512511E-3</v>
      </c>
      <c r="AH95" s="37">
        <f t="shared" si="55"/>
        <v>7.5396048933695642E-2</v>
      </c>
      <c r="AI95" s="40">
        <f t="shared" si="64"/>
        <v>7.8820341498546886E-2</v>
      </c>
      <c r="AJ95" s="39">
        <f t="shared" si="65"/>
        <v>1.3037037037037038</v>
      </c>
      <c r="AK95" s="37">
        <f t="shared" si="56"/>
        <v>1.5353510519145097</v>
      </c>
      <c r="AL95" s="37">
        <f t="shared" si="57"/>
        <v>0.68053333333333332</v>
      </c>
      <c r="AM95" s="37">
        <f t="shared" si="58"/>
        <v>2.4552000000000001E-2</v>
      </c>
      <c r="AN95" s="40">
        <f t="shared" si="66"/>
        <v>0.70508533333333334</v>
      </c>
      <c r="AO95" s="39">
        <f t="shared" si="59"/>
        <v>1.4888228542831528E-2</v>
      </c>
      <c r="AP95" s="37">
        <f t="shared" si="60"/>
        <v>0.11701800000000001</v>
      </c>
      <c r="AQ95" s="40">
        <f t="shared" si="61"/>
        <v>1.7099999999999999E-3</v>
      </c>
      <c r="AR95" s="39">
        <f t="shared" si="67"/>
        <v>0.94512716046454515</v>
      </c>
      <c r="AS95" s="37">
        <f t="shared" si="68"/>
        <v>5.8666666666666671</v>
      </c>
      <c r="AT95" s="40">
        <f t="shared" si="69"/>
        <v>86.125135545058257</v>
      </c>
    </row>
    <row r="96" spans="17:46" x14ac:dyDescent="0.2">
      <c r="Q96">
        <v>89</v>
      </c>
      <c r="R96" s="39">
        <f t="shared" si="45"/>
        <v>5</v>
      </c>
      <c r="S96" s="37">
        <f t="shared" si="46"/>
        <v>1.1866666666666668</v>
      </c>
      <c r="T96" s="37">
        <f t="shared" si="47"/>
        <v>3.8</v>
      </c>
      <c r="U96" s="40">
        <f t="shared" si="48"/>
        <v>1.7348927875243665</v>
      </c>
      <c r="V96" s="39">
        <f t="shared" si="49"/>
        <v>2</v>
      </c>
      <c r="W96" s="37">
        <f t="shared" si="50"/>
        <v>0.24</v>
      </c>
      <c r="X96" s="40">
        <f t="shared" si="51"/>
        <v>0.76</v>
      </c>
      <c r="Y96" s="39">
        <f t="shared" si="52"/>
        <v>1.3818181818181816</v>
      </c>
      <c r="Z96" s="37">
        <f t="shared" si="71"/>
        <v>2.4258018784334574</v>
      </c>
      <c r="AA96" s="37">
        <f t="shared" si="72"/>
        <v>1.7801605100395699</v>
      </c>
      <c r="AB96" s="37">
        <v>0</v>
      </c>
      <c r="AC96" s="37">
        <f t="shared" si="53"/>
        <v>2.8203845829388639E-2</v>
      </c>
      <c r="AD96" s="40">
        <f t="shared" si="62"/>
        <v>2.8203845829388639E-2</v>
      </c>
      <c r="AE96" s="39">
        <f t="shared" si="70"/>
        <v>0.41637426900584795</v>
      </c>
      <c r="AF96" s="37">
        <f t="shared" si="63"/>
        <v>0.87209698196991958</v>
      </c>
      <c r="AG96" s="37">
        <f t="shared" si="54"/>
        <v>3.4985444714207945E-3</v>
      </c>
      <c r="AH96" s="37">
        <f t="shared" si="55"/>
        <v>7.6252822217033098E-2</v>
      </c>
      <c r="AI96" s="40">
        <f t="shared" si="64"/>
        <v>7.9751366688453895E-2</v>
      </c>
      <c r="AJ96" s="39">
        <f t="shared" si="65"/>
        <v>1.3185185185185186</v>
      </c>
      <c r="AK96" s="37">
        <f t="shared" si="56"/>
        <v>1.5519079533088618</v>
      </c>
      <c r="AL96" s="37">
        <f t="shared" si="57"/>
        <v>0.68826666666666669</v>
      </c>
      <c r="AM96" s="37">
        <f t="shared" si="58"/>
        <v>2.4552000000000001E-2</v>
      </c>
      <c r="AN96" s="40">
        <f t="shared" si="66"/>
        <v>0.71281866666666671</v>
      </c>
      <c r="AO96" s="39">
        <f t="shared" si="59"/>
        <v>1.5211062919220846E-2</v>
      </c>
      <c r="AP96" s="37">
        <f t="shared" si="60"/>
        <v>0.11701800000000001</v>
      </c>
      <c r="AQ96" s="40">
        <f t="shared" si="61"/>
        <v>1.7099999999999999E-3</v>
      </c>
      <c r="AR96" s="39">
        <f t="shared" si="67"/>
        <v>0.95471294210373003</v>
      </c>
      <c r="AS96" s="37">
        <f t="shared" si="68"/>
        <v>5.9333333333333336</v>
      </c>
      <c r="AT96" s="40">
        <f t="shared" si="69"/>
        <v>86.139568406962368</v>
      </c>
    </row>
    <row r="97" spans="17:46" x14ac:dyDescent="0.2">
      <c r="Q97">
        <v>90</v>
      </c>
      <c r="R97" s="39">
        <f t="shared" si="45"/>
        <v>5</v>
      </c>
      <c r="S97" s="37">
        <f t="shared" si="46"/>
        <v>1.2000000000000002</v>
      </c>
      <c r="T97" s="37">
        <f t="shared" si="47"/>
        <v>3.8</v>
      </c>
      <c r="U97" s="40">
        <f t="shared" si="48"/>
        <v>1.754385964912281</v>
      </c>
      <c r="V97" s="39">
        <f t="shared" si="49"/>
        <v>2</v>
      </c>
      <c r="W97" s="37">
        <f t="shared" si="50"/>
        <v>0.24</v>
      </c>
      <c r="X97" s="40">
        <f t="shared" si="51"/>
        <v>0.76</v>
      </c>
      <c r="Y97" s="39">
        <f t="shared" si="52"/>
        <v>1.3818181818181816</v>
      </c>
      <c r="Z97" s="37">
        <f t="shared" si="71"/>
        <v>2.4452950558213717</v>
      </c>
      <c r="AA97" s="37">
        <f t="shared" si="72"/>
        <v>1.7991632975306802</v>
      </c>
      <c r="AB97" s="37">
        <v>0</v>
      </c>
      <c r="AC97" s="37">
        <f t="shared" si="53"/>
        <v>2.8809198283515091E-2</v>
      </c>
      <c r="AD97" s="40">
        <f t="shared" si="62"/>
        <v>2.8809198283515091E-2</v>
      </c>
      <c r="AE97" s="39">
        <f t="shared" si="70"/>
        <v>0.42105263157894746</v>
      </c>
      <c r="AF97" s="37">
        <f t="shared" si="63"/>
        <v>0.88140640857867203</v>
      </c>
      <c r="AG97" s="37">
        <f t="shared" si="54"/>
        <v>3.5736353825843435E-3</v>
      </c>
      <c r="AH97" s="37">
        <f t="shared" si="55"/>
        <v>7.7109595500370554E-2</v>
      </c>
      <c r="AI97" s="40">
        <f t="shared" si="64"/>
        <v>8.0683230882954898E-2</v>
      </c>
      <c r="AJ97" s="39">
        <f t="shared" si="65"/>
        <v>1.3333333333333337</v>
      </c>
      <c r="AK97" s="37">
        <f t="shared" si="56"/>
        <v>1.5684741993727274</v>
      </c>
      <c r="AL97" s="37">
        <f t="shared" si="57"/>
        <v>0.69600000000000006</v>
      </c>
      <c r="AM97" s="37">
        <f t="shared" si="58"/>
        <v>2.4552000000000001E-2</v>
      </c>
      <c r="AN97" s="40">
        <f t="shared" si="66"/>
        <v>0.72055200000000008</v>
      </c>
      <c r="AO97" s="39">
        <f t="shared" si="59"/>
        <v>1.5537545141671058E-2</v>
      </c>
      <c r="AP97" s="37">
        <f t="shared" si="60"/>
        <v>0.11701800000000001</v>
      </c>
      <c r="AQ97" s="40">
        <f t="shared" si="61"/>
        <v>1.7099999999999999E-3</v>
      </c>
      <c r="AR97" s="39">
        <f t="shared" si="67"/>
        <v>0.96430997430814125</v>
      </c>
      <c r="AS97" s="37">
        <f t="shared" si="68"/>
        <v>6.0000000000000009</v>
      </c>
      <c r="AT97" s="40">
        <f t="shared" si="69"/>
        <v>86.153546038795625</v>
      </c>
    </row>
    <row r="98" spans="17:46" x14ac:dyDescent="0.2">
      <c r="Q98">
        <v>91</v>
      </c>
      <c r="R98" s="39">
        <f t="shared" si="45"/>
        <v>5</v>
      </c>
      <c r="S98" s="37">
        <f t="shared" si="46"/>
        <v>1.2133333333333334</v>
      </c>
      <c r="T98" s="37">
        <f t="shared" si="47"/>
        <v>3.8</v>
      </c>
      <c r="U98" s="40">
        <f t="shared" si="48"/>
        <v>1.7738791423001949</v>
      </c>
      <c r="V98" s="39">
        <f t="shared" si="49"/>
        <v>2</v>
      </c>
      <c r="W98" s="37">
        <f t="shared" si="50"/>
        <v>0.24</v>
      </c>
      <c r="X98" s="40">
        <f t="shared" si="51"/>
        <v>0.76</v>
      </c>
      <c r="Y98" s="39">
        <f t="shared" si="52"/>
        <v>1.3818181818181816</v>
      </c>
      <c r="Z98" s="37">
        <f t="shared" si="71"/>
        <v>2.4647882332092856</v>
      </c>
      <c r="AA98" s="37">
        <f t="shared" si="72"/>
        <v>1.8181764679997237</v>
      </c>
      <c r="AB98" s="37">
        <v>0</v>
      </c>
      <c r="AC98" s="37">
        <f t="shared" si="53"/>
        <v>2.9421314452212754E-2</v>
      </c>
      <c r="AD98" s="40">
        <f t="shared" si="62"/>
        <v>2.9421314452212754E-2</v>
      </c>
      <c r="AE98" s="39">
        <f t="shared" si="70"/>
        <v>0.42573099415204679</v>
      </c>
      <c r="AF98" s="37">
        <f t="shared" si="63"/>
        <v>0.89072092178701412</v>
      </c>
      <c r="AG98" s="37">
        <f t="shared" si="54"/>
        <v>3.6495652983418972E-3</v>
      </c>
      <c r="AH98" s="37">
        <f t="shared" si="55"/>
        <v>7.7966368783707996E-2</v>
      </c>
      <c r="AI98" s="40">
        <f t="shared" si="64"/>
        <v>8.1615934082049896E-2</v>
      </c>
      <c r="AJ98" s="39">
        <f t="shared" si="65"/>
        <v>1.3481481481481481</v>
      </c>
      <c r="AK98" s="37">
        <f t="shared" si="56"/>
        <v>1.5850494971069018</v>
      </c>
      <c r="AL98" s="37">
        <f t="shared" si="57"/>
        <v>0.70373333333333332</v>
      </c>
      <c r="AM98" s="37">
        <f t="shared" si="58"/>
        <v>2.4552000000000001E-2</v>
      </c>
      <c r="AN98" s="40">
        <f t="shared" si="66"/>
        <v>0.72828533333333334</v>
      </c>
      <c r="AO98" s="39">
        <f t="shared" si="59"/>
        <v>1.5867675210182161E-2</v>
      </c>
      <c r="AP98" s="37">
        <f t="shared" si="60"/>
        <v>0.11701800000000001</v>
      </c>
      <c r="AQ98" s="40">
        <f t="shared" si="61"/>
        <v>1.7099999999999999E-3</v>
      </c>
      <c r="AR98" s="39">
        <f t="shared" si="67"/>
        <v>0.97391825707777813</v>
      </c>
      <c r="AS98" s="37">
        <f t="shared" si="68"/>
        <v>6.0666666666666664</v>
      </c>
      <c r="AT98" s="40">
        <f t="shared" si="69"/>
        <v>86.16708316672343</v>
      </c>
    </row>
    <row r="99" spans="17:46" x14ac:dyDescent="0.2">
      <c r="Q99">
        <v>92</v>
      </c>
      <c r="R99" s="39">
        <f t="shared" si="45"/>
        <v>5</v>
      </c>
      <c r="S99" s="37">
        <f t="shared" si="46"/>
        <v>1.2266666666666668</v>
      </c>
      <c r="T99" s="37">
        <f t="shared" si="47"/>
        <v>3.8</v>
      </c>
      <c r="U99" s="40">
        <f t="shared" si="48"/>
        <v>1.7933723196881093</v>
      </c>
      <c r="V99" s="39">
        <f t="shared" si="49"/>
        <v>2</v>
      </c>
      <c r="W99" s="37">
        <f t="shared" si="50"/>
        <v>0.24</v>
      </c>
      <c r="X99" s="40">
        <f t="shared" si="51"/>
        <v>0.76</v>
      </c>
      <c r="Y99" s="39">
        <f t="shared" si="52"/>
        <v>1.3818181818181816</v>
      </c>
      <c r="Z99" s="37">
        <f t="shared" si="71"/>
        <v>2.4842814105972</v>
      </c>
      <c r="AA99" s="37">
        <f t="shared" si="72"/>
        <v>1.8371996990865704</v>
      </c>
      <c r="AB99" s="37">
        <v>0</v>
      </c>
      <c r="AC99" s="37">
        <f t="shared" si="53"/>
        <v>3.0040194335481687E-2</v>
      </c>
      <c r="AD99" s="40">
        <f t="shared" si="62"/>
        <v>3.0040194335481687E-2</v>
      </c>
      <c r="AE99" s="39">
        <f t="shared" si="70"/>
        <v>0.43040935672514619</v>
      </c>
      <c r="AF99" s="37">
        <f t="shared" si="63"/>
        <v>0.90004036367137918</v>
      </c>
      <c r="AG99" s="37">
        <f t="shared" si="54"/>
        <v>3.7263342186934592E-3</v>
      </c>
      <c r="AH99" s="37">
        <f t="shared" si="55"/>
        <v>7.8823142067045451E-2</v>
      </c>
      <c r="AI99" s="40">
        <f t="shared" si="64"/>
        <v>8.2549476285738915E-2</v>
      </c>
      <c r="AJ99" s="39">
        <f t="shared" si="65"/>
        <v>1.3629629629629632</v>
      </c>
      <c r="AK99" s="37">
        <f t="shared" si="56"/>
        <v>1.6016335654843392</v>
      </c>
      <c r="AL99" s="37">
        <f t="shared" si="57"/>
        <v>0.71146666666666669</v>
      </c>
      <c r="AM99" s="37">
        <f t="shared" si="58"/>
        <v>2.4552000000000001E-2</v>
      </c>
      <c r="AN99" s="40">
        <f t="shared" si="66"/>
        <v>0.73601866666666671</v>
      </c>
      <c r="AO99" s="39">
        <f t="shared" si="59"/>
        <v>1.620145312475417E-2</v>
      </c>
      <c r="AP99" s="37">
        <f t="shared" si="60"/>
        <v>0.11701800000000001</v>
      </c>
      <c r="AQ99" s="40">
        <f t="shared" si="61"/>
        <v>1.7099999999999999E-3</v>
      </c>
      <c r="AR99" s="39">
        <f t="shared" si="67"/>
        <v>0.98353779041264155</v>
      </c>
      <c r="AS99" s="37">
        <f t="shared" si="68"/>
        <v>6.1333333333333337</v>
      </c>
      <c r="AT99" s="40">
        <f t="shared" si="69"/>
        <v>86.180193889826199</v>
      </c>
    </row>
    <row r="100" spans="17:46" x14ac:dyDescent="0.2">
      <c r="Q100">
        <v>93</v>
      </c>
      <c r="R100" s="39">
        <f t="shared" si="45"/>
        <v>5</v>
      </c>
      <c r="S100" s="37">
        <f t="shared" si="46"/>
        <v>1.24</v>
      </c>
      <c r="T100" s="37">
        <f t="shared" si="47"/>
        <v>3.8</v>
      </c>
      <c r="U100" s="40">
        <f t="shared" si="48"/>
        <v>1.8128654970760234</v>
      </c>
      <c r="V100" s="39">
        <f t="shared" si="49"/>
        <v>2</v>
      </c>
      <c r="W100" s="37">
        <f t="shared" si="50"/>
        <v>0.24</v>
      </c>
      <c r="X100" s="40">
        <f t="shared" si="51"/>
        <v>0.76</v>
      </c>
      <c r="Y100" s="39">
        <f t="shared" si="52"/>
        <v>1.3818181818181816</v>
      </c>
      <c r="Z100" s="37">
        <f t="shared" si="71"/>
        <v>2.5037745879851143</v>
      </c>
      <c r="AA100" s="37">
        <f t="shared" si="72"/>
        <v>1.8562326814785297</v>
      </c>
      <c r="AB100" s="37">
        <v>0</v>
      </c>
      <c r="AC100" s="37">
        <f t="shared" si="53"/>
        <v>3.0665837933321859E-2</v>
      </c>
      <c r="AD100" s="40">
        <f t="shared" si="62"/>
        <v>3.0665837933321859E-2</v>
      </c>
      <c r="AE100" s="39">
        <f t="shared" si="70"/>
        <v>0.43508771929824558</v>
      </c>
      <c r="AF100" s="37">
        <f t="shared" si="63"/>
        <v>0.90936458270011467</v>
      </c>
      <c r="AG100" s="37">
        <f t="shared" si="54"/>
        <v>3.8039421436390267E-3</v>
      </c>
      <c r="AH100" s="37">
        <f t="shared" si="55"/>
        <v>7.9679915350382893E-2</v>
      </c>
      <c r="AI100" s="40">
        <f t="shared" si="64"/>
        <v>8.3483857494021915E-2</v>
      </c>
      <c r="AJ100" s="39">
        <f t="shared" si="65"/>
        <v>1.3777777777777778</v>
      </c>
      <c r="AK100" s="37">
        <f t="shared" si="56"/>
        <v>1.6182261348524871</v>
      </c>
      <c r="AL100" s="37">
        <f t="shared" si="57"/>
        <v>0.71919999999999995</v>
      </c>
      <c r="AM100" s="37">
        <f t="shared" si="58"/>
        <v>2.4552000000000001E-2</v>
      </c>
      <c r="AN100" s="40">
        <f t="shared" si="66"/>
        <v>0.74375199999999997</v>
      </c>
      <c r="AO100" s="39">
        <f t="shared" si="59"/>
        <v>1.6538878885387073E-2</v>
      </c>
      <c r="AP100" s="37">
        <f t="shared" si="60"/>
        <v>0.11701800000000001</v>
      </c>
      <c r="AQ100" s="40">
        <f t="shared" si="61"/>
        <v>1.7099999999999999E-3</v>
      </c>
      <c r="AR100" s="39">
        <f t="shared" si="67"/>
        <v>0.99316857431273087</v>
      </c>
      <c r="AS100" s="37">
        <f t="shared" si="68"/>
        <v>6.2</v>
      </c>
      <c r="AT100" s="40">
        <f t="shared" si="69"/>
        <v>86.192891713126258</v>
      </c>
    </row>
    <row r="101" spans="17:46" x14ac:dyDescent="0.2">
      <c r="Q101">
        <v>94</v>
      </c>
      <c r="R101" s="39">
        <f t="shared" si="45"/>
        <v>5</v>
      </c>
      <c r="S101" s="37">
        <f t="shared" si="46"/>
        <v>1.2533333333333334</v>
      </c>
      <c r="T101" s="37">
        <f t="shared" si="47"/>
        <v>3.8</v>
      </c>
      <c r="U101" s="40">
        <f t="shared" si="48"/>
        <v>1.832358674463938</v>
      </c>
      <c r="V101" s="39">
        <f t="shared" si="49"/>
        <v>2</v>
      </c>
      <c r="W101" s="37">
        <f t="shared" si="50"/>
        <v>0.24</v>
      </c>
      <c r="X101" s="40">
        <f t="shared" si="51"/>
        <v>0.76</v>
      </c>
      <c r="Y101" s="39">
        <f t="shared" si="52"/>
        <v>1.3818181818181816</v>
      </c>
      <c r="Z101" s="37">
        <f t="shared" si="71"/>
        <v>2.5232677653730287</v>
      </c>
      <c r="AA101" s="37">
        <f t="shared" si="72"/>
        <v>1.8752751182649214</v>
      </c>
      <c r="AB101" s="37">
        <v>0</v>
      </c>
      <c r="AC101" s="37">
        <f t="shared" si="53"/>
        <v>3.1298245245733283E-2</v>
      </c>
      <c r="AD101" s="40">
        <f t="shared" si="62"/>
        <v>3.1298245245733283E-2</v>
      </c>
      <c r="AE101" s="39">
        <f t="shared" si="70"/>
        <v>0.43976608187134508</v>
      </c>
      <c r="AF101" s="37">
        <f t="shared" si="63"/>
        <v>0.91869343341728726</v>
      </c>
      <c r="AG101" s="37">
        <f t="shared" si="54"/>
        <v>3.8823890731786003E-3</v>
      </c>
      <c r="AH101" s="37">
        <f t="shared" si="55"/>
        <v>8.0536688633720349E-2</v>
      </c>
      <c r="AI101" s="40">
        <f t="shared" si="64"/>
        <v>8.4419077706898951E-2</v>
      </c>
      <c r="AJ101" s="39">
        <f t="shared" si="65"/>
        <v>1.3925925925925928</v>
      </c>
      <c r="AK101" s="37">
        <f t="shared" si="56"/>
        <v>1.6348269463706158</v>
      </c>
      <c r="AL101" s="37">
        <f t="shared" si="57"/>
        <v>0.72693333333333332</v>
      </c>
      <c r="AM101" s="37">
        <f t="shared" si="58"/>
        <v>2.4552000000000001E-2</v>
      </c>
      <c r="AN101" s="40">
        <f t="shared" si="66"/>
        <v>0.75148533333333334</v>
      </c>
      <c r="AO101" s="39">
        <f t="shared" si="59"/>
        <v>1.6879952492080873E-2</v>
      </c>
      <c r="AP101" s="37">
        <f t="shared" si="60"/>
        <v>0.11701800000000001</v>
      </c>
      <c r="AQ101" s="40">
        <f t="shared" si="61"/>
        <v>1.7099999999999999E-3</v>
      </c>
      <c r="AR101" s="39">
        <f t="shared" si="67"/>
        <v>1.0028106087780466</v>
      </c>
      <c r="AS101" s="37">
        <f t="shared" si="68"/>
        <v>6.2666666666666675</v>
      </c>
      <c r="AT101" s="40">
        <f t="shared" si="69"/>
        <v>86.205189578549181</v>
      </c>
    </row>
    <row r="102" spans="17:46" x14ac:dyDescent="0.2">
      <c r="Q102">
        <v>95</v>
      </c>
      <c r="R102" s="39">
        <f t="shared" si="45"/>
        <v>5</v>
      </c>
      <c r="S102" s="37">
        <f t="shared" si="46"/>
        <v>1.2666666666666668</v>
      </c>
      <c r="T102" s="37">
        <f t="shared" si="47"/>
        <v>3.8</v>
      </c>
      <c r="U102" s="40">
        <f t="shared" si="48"/>
        <v>1.8518518518518521</v>
      </c>
      <c r="V102" s="39">
        <f t="shared" si="49"/>
        <v>2</v>
      </c>
      <c r="W102" s="37">
        <f t="shared" si="50"/>
        <v>0.24</v>
      </c>
      <c r="X102" s="40">
        <f t="shared" si="51"/>
        <v>0.76</v>
      </c>
      <c r="Y102" s="39">
        <f t="shared" si="52"/>
        <v>1.3818181818181816</v>
      </c>
      <c r="Z102" s="37">
        <f t="shared" si="71"/>
        <v>2.542760942760943</v>
      </c>
      <c r="AA102" s="37">
        <f t="shared" si="72"/>
        <v>1.8943267243290975</v>
      </c>
      <c r="AB102" s="37">
        <v>0</v>
      </c>
      <c r="AC102" s="37">
        <f t="shared" si="53"/>
        <v>3.1937416272715936E-2</v>
      </c>
      <c r="AD102" s="40">
        <f t="shared" si="62"/>
        <v>3.1937416272715936E-2</v>
      </c>
      <c r="AE102" s="39">
        <f t="shared" si="70"/>
        <v>0.44444444444444448</v>
      </c>
      <c r="AF102" s="37">
        <f t="shared" si="63"/>
        <v>0.92802677614483653</v>
      </c>
      <c r="AG102" s="37">
        <f t="shared" si="54"/>
        <v>3.9616750073121817E-3</v>
      </c>
      <c r="AH102" s="37">
        <f t="shared" si="55"/>
        <v>8.1393461917057791E-2</v>
      </c>
      <c r="AI102" s="40">
        <f t="shared" si="64"/>
        <v>8.5355136924369968E-2</v>
      </c>
      <c r="AJ102" s="39">
        <f t="shared" si="65"/>
        <v>1.4074074074074077</v>
      </c>
      <c r="AK102" s="37">
        <f t="shared" si="56"/>
        <v>1.6514357514797939</v>
      </c>
      <c r="AL102" s="37">
        <f t="shared" si="57"/>
        <v>0.73466666666666669</v>
      </c>
      <c r="AM102" s="37">
        <f t="shared" si="58"/>
        <v>2.4552000000000001E-2</v>
      </c>
      <c r="AN102" s="40">
        <f t="shared" si="66"/>
        <v>0.75921866666666671</v>
      </c>
      <c r="AO102" s="39">
        <f t="shared" si="59"/>
        <v>1.722467394483557E-2</v>
      </c>
      <c r="AP102" s="37">
        <f t="shared" si="60"/>
        <v>0.11701800000000001</v>
      </c>
      <c r="AQ102" s="40">
        <f t="shared" si="61"/>
        <v>1.7099999999999999E-3</v>
      </c>
      <c r="AR102" s="39">
        <f t="shared" si="67"/>
        <v>1.0124638938085884</v>
      </c>
      <c r="AS102" s="37">
        <f t="shared" si="68"/>
        <v>6.3333333333333339</v>
      </c>
      <c r="AT102" s="40">
        <f t="shared" si="69"/>
        <v>86.217099893968694</v>
      </c>
    </row>
    <row r="103" spans="17:46" x14ac:dyDescent="0.2">
      <c r="Q103">
        <v>96</v>
      </c>
      <c r="R103" s="39">
        <f t="shared" si="45"/>
        <v>5</v>
      </c>
      <c r="S103" s="37">
        <f t="shared" ref="S103:S134" si="73">Q103*$O$12</f>
        <v>1.28</v>
      </c>
      <c r="T103" s="37">
        <f t="shared" si="47"/>
        <v>3.8</v>
      </c>
      <c r="U103" s="40">
        <f t="shared" ref="U103:U134" si="74">(R103*S103)/(T103*EFF_est)</f>
        <v>1.8713450292397662</v>
      </c>
      <c r="V103" s="39">
        <f t="shared" ref="V103:V134" si="75">IF((S103*R103/T103)&lt;((T103*(1-(T103/R103)))/(2*Lm*Fsw)),1,2)</f>
        <v>2</v>
      </c>
      <c r="W103" s="37">
        <f t="shared" ref="W103:W134" si="76">CHOOSE(V103,SQRT((2*S103*Lm*Fsw*(R103-T103))/((T103)^2)),1-(T103/R103))</f>
        <v>0.24</v>
      </c>
      <c r="X103" s="40">
        <f t="shared" ref="X103:X134" si="77">CHOOSE(V103,(Lm*W103*Fsw)/(R103-T103),1-W103)</f>
        <v>0.76</v>
      </c>
      <c r="Y103" s="39">
        <f t="shared" ref="Y103:Y134" si="78">(T103*W103)/(Lm*Fsw)</f>
        <v>1.3818181818181816</v>
      </c>
      <c r="Z103" s="37">
        <f t="shared" si="71"/>
        <v>2.5622541201488569</v>
      </c>
      <c r="AA103" s="37">
        <f t="shared" si="72"/>
        <v>1.9133872257754458</v>
      </c>
      <c r="AB103" s="37">
        <v>0</v>
      </c>
      <c r="AC103" s="37">
        <f t="shared" ref="AC103:AC134" si="79">(AA103^2)*Rdcr</f>
        <v>3.2583351014269846E-2</v>
      </c>
      <c r="AD103" s="40">
        <f t="shared" si="62"/>
        <v>3.2583351014269846E-2</v>
      </c>
      <c r="AE103" s="39">
        <f t="shared" si="70"/>
        <v>0.44912280701754387</v>
      </c>
      <c r="AF103" s="37">
        <f t="shared" si="63"/>
        <v>0.93736447670186307</v>
      </c>
      <c r="AG103" s="37">
        <f t="shared" ref="AG103:AG134" si="80">(AF103^2)*RDS_on</f>
        <v>4.0417999460397652E-3</v>
      </c>
      <c r="AH103" s="37">
        <f t="shared" ref="AH103:AH134" si="81">((R103*U103)/2)*Fsw*(tr_sw+tf_sw)</f>
        <v>8.2250235200395247E-2</v>
      </c>
      <c r="AI103" s="40">
        <f t="shared" si="64"/>
        <v>8.6292035146435006E-2</v>
      </c>
      <c r="AJ103" s="39">
        <f t="shared" si="65"/>
        <v>1.4222222222222223</v>
      </c>
      <c r="AK103" s="37">
        <f t="shared" ref="AK103:AK134" si="82">CHOOSE(V103,Z103*SQRT(X103/3),SQRT(X103*((Z103^2)+((Y103^2)/3)-(Y103*Z103))))</f>
        <v>1.6680523114033623</v>
      </c>
      <c r="AL103" s="37">
        <f t="shared" ref="AL103:AL134" si="83">S103*Vd_rect</f>
        <v>0.74239999999999995</v>
      </c>
      <c r="AM103" s="37">
        <f t="shared" ref="AM103:AM134" si="84">CHOOSE(V103,(R103+Vd_rect)*Qrr*Fsw,(R103+Vd_rect)*Qrr*Fsw)</f>
        <v>2.4552000000000001E-2</v>
      </c>
      <c r="AN103" s="40">
        <f t="shared" si="66"/>
        <v>0.76695199999999997</v>
      </c>
      <c r="AO103" s="39">
        <f t="shared" ref="AO103:AO134" si="85">(AF103^2)*R_cs</f>
        <v>1.7573043243651151E-2</v>
      </c>
      <c r="AP103" s="37">
        <f t="shared" ref="AP103:AP134" si="86">Qg_tot*Vcc*Fsw</f>
        <v>0.11701800000000001</v>
      </c>
      <c r="AQ103" s="40">
        <f t="shared" ref="AQ103:AQ134" si="87">IQ*T103</f>
        <v>1.7099999999999999E-3</v>
      </c>
      <c r="AR103" s="39">
        <f t="shared" si="67"/>
        <v>1.0221284294043562</v>
      </c>
      <c r="AS103" s="37">
        <f t="shared" si="68"/>
        <v>6.4</v>
      </c>
      <c r="AT103" s="40">
        <f t="shared" si="69"/>
        <v>86.228634560472244</v>
      </c>
    </row>
    <row r="104" spans="17:46" x14ac:dyDescent="0.2">
      <c r="Q104">
        <v>97</v>
      </c>
      <c r="R104" s="39">
        <f t="shared" si="45"/>
        <v>5</v>
      </c>
      <c r="S104" s="37">
        <f t="shared" si="73"/>
        <v>1.2933333333333334</v>
      </c>
      <c r="T104" s="37">
        <f t="shared" si="47"/>
        <v>3.8</v>
      </c>
      <c r="U104" s="40">
        <f t="shared" si="74"/>
        <v>1.8908382066276803</v>
      </c>
      <c r="V104" s="39">
        <f t="shared" si="75"/>
        <v>2</v>
      </c>
      <c r="W104" s="37">
        <f t="shared" si="76"/>
        <v>0.24</v>
      </c>
      <c r="X104" s="40">
        <f t="shared" si="77"/>
        <v>0.76</v>
      </c>
      <c r="Y104" s="39">
        <f t="shared" si="78"/>
        <v>1.3818181818181816</v>
      </c>
      <c r="Z104" s="37">
        <f t="shared" si="71"/>
        <v>2.5817472975367712</v>
      </c>
      <c r="AA104" s="37">
        <f t="shared" si="72"/>
        <v>1.9324563593890698</v>
      </c>
      <c r="AB104" s="37">
        <v>0</v>
      </c>
      <c r="AC104" s="37">
        <f t="shared" si="79"/>
        <v>3.3236049470394997E-2</v>
      </c>
      <c r="AD104" s="40">
        <f t="shared" si="62"/>
        <v>3.3236049470394997E-2</v>
      </c>
      <c r="AE104" s="39">
        <f t="shared" si="70"/>
        <v>0.45380116959064326</v>
      </c>
      <c r="AF104" s="37">
        <f t="shared" si="63"/>
        <v>0.94670640613992996</v>
      </c>
      <c r="AG104" s="37">
        <f t="shared" si="80"/>
        <v>4.1227638893613569E-3</v>
      </c>
      <c r="AH104" s="37">
        <f t="shared" si="81"/>
        <v>8.3107008483732703E-2</v>
      </c>
      <c r="AI104" s="40">
        <f t="shared" si="64"/>
        <v>8.7229772373094067E-2</v>
      </c>
      <c r="AJ104" s="39">
        <f t="shared" si="65"/>
        <v>1.4370370370370371</v>
      </c>
      <c r="AK104" s="37">
        <f t="shared" si="82"/>
        <v>1.6846763966758949</v>
      </c>
      <c r="AL104" s="37">
        <f t="shared" si="83"/>
        <v>0.75013333333333332</v>
      </c>
      <c r="AM104" s="37">
        <f t="shared" si="84"/>
        <v>2.4552000000000001E-2</v>
      </c>
      <c r="AN104" s="40">
        <f t="shared" si="66"/>
        <v>0.77468533333333334</v>
      </c>
      <c r="AO104" s="39">
        <f t="shared" si="85"/>
        <v>1.792506038852764E-2</v>
      </c>
      <c r="AP104" s="37">
        <f t="shared" si="86"/>
        <v>0.11701800000000001</v>
      </c>
      <c r="AQ104" s="40">
        <f t="shared" si="87"/>
        <v>1.7099999999999999E-3</v>
      </c>
      <c r="AR104" s="39">
        <f t="shared" si="67"/>
        <v>1.0318042155653502</v>
      </c>
      <c r="AS104" s="37">
        <f t="shared" si="68"/>
        <v>6.4666666666666668</v>
      </c>
      <c r="AT104" s="40">
        <f t="shared" si="69"/>
        <v>86.239804997972868</v>
      </c>
    </row>
    <row r="105" spans="17:46" x14ac:dyDescent="0.2">
      <c r="Q105">
        <v>98</v>
      </c>
      <c r="R105" s="39">
        <f t="shared" si="45"/>
        <v>5</v>
      </c>
      <c r="S105" s="37">
        <f t="shared" si="73"/>
        <v>1.3066666666666666</v>
      </c>
      <c r="T105" s="37">
        <f t="shared" si="47"/>
        <v>3.8</v>
      </c>
      <c r="U105" s="40">
        <f t="shared" si="74"/>
        <v>1.9103313840155947</v>
      </c>
      <c r="V105" s="39">
        <f t="shared" si="75"/>
        <v>2</v>
      </c>
      <c r="W105" s="37">
        <f t="shared" si="76"/>
        <v>0.24</v>
      </c>
      <c r="X105" s="40">
        <f t="shared" si="77"/>
        <v>0.76</v>
      </c>
      <c r="Y105" s="39">
        <f t="shared" si="78"/>
        <v>1.3818181818181816</v>
      </c>
      <c r="Z105" s="37">
        <f t="shared" si="71"/>
        <v>2.6012404749246856</v>
      </c>
      <c r="AA105" s="37">
        <f t="shared" si="72"/>
        <v>1.9515338721260291</v>
      </c>
      <c r="AB105" s="37">
        <v>0</v>
      </c>
      <c r="AC105" s="37">
        <f t="shared" si="79"/>
        <v>3.3895511641091391E-2</v>
      </c>
      <c r="AD105" s="40">
        <f t="shared" si="62"/>
        <v>3.3895511641091391E-2</v>
      </c>
      <c r="AE105" s="39">
        <f t="shared" si="70"/>
        <v>0.45847953216374271</v>
      </c>
      <c r="AF105" s="37">
        <f t="shared" si="63"/>
        <v>0.95605244049332938</v>
      </c>
      <c r="AG105" s="37">
        <f t="shared" si="80"/>
        <v>4.2045668372769551E-3</v>
      </c>
      <c r="AH105" s="37">
        <f t="shared" si="81"/>
        <v>8.3963781767070145E-2</v>
      </c>
      <c r="AI105" s="40">
        <f t="shared" si="64"/>
        <v>8.8168348604347094E-2</v>
      </c>
      <c r="AJ105" s="39">
        <f t="shared" si="65"/>
        <v>1.4518518518518519</v>
      </c>
      <c r="AK105" s="37">
        <f t="shared" si="82"/>
        <v>1.7013077866987978</v>
      </c>
      <c r="AL105" s="37">
        <f t="shared" si="83"/>
        <v>0.75786666666666658</v>
      </c>
      <c r="AM105" s="37">
        <f t="shared" si="84"/>
        <v>2.4552000000000001E-2</v>
      </c>
      <c r="AN105" s="40">
        <f t="shared" si="66"/>
        <v>0.7824186666666666</v>
      </c>
      <c r="AO105" s="39">
        <f t="shared" si="85"/>
        <v>1.8280725379465023E-2</v>
      </c>
      <c r="AP105" s="37">
        <f t="shared" si="86"/>
        <v>0.11701800000000001</v>
      </c>
      <c r="AQ105" s="40">
        <f t="shared" si="87"/>
        <v>1.7099999999999999E-3</v>
      </c>
      <c r="AR105" s="39">
        <f t="shared" si="67"/>
        <v>1.0414912522915702</v>
      </c>
      <c r="AS105" s="37">
        <f t="shared" si="68"/>
        <v>6.5333333333333332</v>
      </c>
      <c r="AT105" s="40">
        <f t="shared" si="69"/>
        <v>86.250622169283545</v>
      </c>
    </row>
    <row r="106" spans="17:46" x14ac:dyDescent="0.2">
      <c r="Q106">
        <v>99</v>
      </c>
      <c r="R106" s="39">
        <f t="shared" si="45"/>
        <v>5</v>
      </c>
      <c r="S106" s="37">
        <f t="shared" si="73"/>
        <v>1.32</v>
      </c>
      <c r="T106" s="37">
        <f t="shared" si="47"/>
        <v>3.8</v>
      </c>
      <c r="U106" s="40">
        <f t="shared" si="74"/>
        <v>1.929824561403509</v>
      </c>
      <c r="V106" s="39">
        <f t="shared" si="75"/>
        <v>2</v>
      </c>
      <c r="W106" s="37">
        <f t="shared" si="76"/>
        <v>0.24</v>
      </c>
      <c r="X106" s="40">
        <f t="shared" si="77"/>
        <v>0.76</v>
      </c>
      <c r="Y106" s="39">
        <f t="shared" si="78"/>
        <v>1.3818181818181816</v>
      </c>
      <c r="Z106" s="37">
        <f t="shared" si="71"/>
        <v>2.6207336523125999</v>
      </c>
      <c r="AA106" s="37">
        <f t="shared" si="72"/>
        <v>1.9706195206321593</v>
      </c>
      <c r="AB106" s="37">
        <v>0</v>
      </c>
      <c r="AC106" s="37">
        <f t="shared" si="79"/>
        <v>3.4561737526359035E-2</v>
      </c>
      <c r="AD106" s="40">
        <f t="shared" si="62"/>
        <v>3.4561737526359035E-2</v>
      </c>
      <c r="AE106" s="39">
        <f t="shared" si="70"/>
        <v>0.46315789473684216</v>
      </c>
      <c r="AF106" s="37">
        <f t="shared" si="63"/>
        <v>0.96540246054335566</v>
      </c>
      <c r="AG106" s="37">
        <f t="shared" si="80"/>
        <v>4.2872087897865606E-3</v>
      </c>
      <c r="AH106" s="37">
        <f t="shared" si="81"/>
        <v>8.4820555050407601E-2</v>
      </c>
      <c r="AI106" s="40">
        <f t="shared" si="64"/>
        <v>8.9107763840194157E-2</v>
      </c>
      <c r="AJ106" s="39">
        <f t="shared" si="65"/>
        <v>1.4666666666666668</v>
      </c>
      <c r="AK106" s="37">
        <f t="shared" si="82"/>
        <v>1.7179462693208298</v>
      </c>
      <c r="AL106" s="37">
        <f t="shared" si="83"/>
        <v>0.76559999999999995</v>
      </c>
      <c r="AM106" s="37">
        <f t="shared" si="84"/>
        <v>2.4552000000000001E-2</v>
      </c>
      <c r="AN106" s="40">
        <f t="shared" si="66"/>
        <v>0.79015199999999997</v>
      </c>
      <c r="AO106" s="39">
        <f t="shared" si="85"/>
        <v>1.864003821646331E-2</v>
      </c>
      <c r="AP106" s="37">
        <f t="shared" si="86"/>
        <v>0.11701800000000001</v>
      </c>
      <c r="AQ106" s="40">
        <f t="shared" si="87"/>
        <v>1.7099999999999999E-3</v>
      </c>
      <c r="AR106" s="39">
        <f t="shared" si="67"/>
        <v>1.0511895395830166</v>
      </c>
      <c r="AS106" s="37">
        <f t="shared" si="68"/>
        <v>6.6000000000000005</v>
      </c>
      <c r="AT106" s="40">
        <f t="shared" si="69"/>
        <v>86.261096602760347</v>
      </c>
    </row>
    <row r="107" spans="17:46" x14ac:dyDescent="0.2">
      <c r="Q107">
        <v>100</v>
      </c>
      <c r="R107" s="39">
        <f t="shared" si="45"/>
        <v>5</v>
      </c>
      <c r="S107" s="37">
        <f t="shared" si="73"/>
        <v>1.3333333333333335</v>
      </c>
      <c r="T107" s="37">
        <f t="shared" si="47"/>
        <v>3.8</v>
      </c>
      <c r="U107" s="40">
        <f t="shared" si="74"/>
        <v>1.9493177387914233</v>
      </c>
      <c r="V107" s="39">
        <f t="shared" si="75"/>
        <v>2</v>
      </c>
      <c r="W107" s="37">
        <f t="shared" si="76"/>
        <v>0.24</v>
      </c>
      <c r="X107" s="40">
        <f t="shared" si="77"/>
        <v>0.76</v>
      </c>
      <c r="Y107" s="39">
        <f t="shared" si="78"/>
        <v>1.3818181818181816</v>
      </c>
      <c r="Z107" s="37">
        <f t="shared" si="71"/>
        <v>2.6402268297005143</v>
      </c>
      <c r="AA107" s="37">
        <f t="shared" si="72"/>
        <v>1.9897130707886459</v>
      </c>
      <c r="AB107" s="37">
        <v>0</v>
      </c>
      <c r="AC107" s="37">
        <f t="shared" si="79"/>
        <v>3.5234727126197928E-2</v>
      </c>
      <c r="AD107" s="40">
        <f t="shared" si="62"/>
        <v>3.5234727126197928E-2</v>
      </c>
      <c r="AE107" s="39">
        <f t="shared" si="70"/>
        <v>0.46783625730994161</v>
      </c>
      <c r="AF107" s="37">
        <f t="shared" si="63"/>
        <v>0.97475635159568164</v>
      </c>
      <c r="AG107" s="37">
        <f t="shared" si="80"/>
        <v>4.3706897468901709E-3</v>
      </c>
      <c r="AH107" s="37">
        <f t="shared" si="81"/>
        <v>8.567732833374507E-2</v>
      </c>
      <c r="AI107" s="40">
        <f t="shared" si="64"/>
        <v>9.0048018080635242E-2</v>
      </c>
      <c r="AJ107" s="39">
        <f t="shared" si="65"/>
        <v>1.4814814814814818</v>
      </c>
      <c r="AK107" s="37">
        <f t="shared" si="82"/>
        <v>1.7345916404419399</v>
      </c>
      <c r="AL107" s="37">
        <f t="shared" si="83"/>
        <v>0.77333333333333332</v>
      </c>
      <c r="AM107" s="37">
        <f t="shared" si="84"/>
        <v>2.4552000000000001E-2</v>
      </c>
      <c r="AN107" s="40">
        <f t="shared" si="66"/>
        <v>0.79788533333333334</v>
      </c>
      <c r="AO107" s="39">
        <f t="shared" si="85"/>
        <v>1.9002998899522484E-2</v>
      </c>
      <c r="AP107" s="37">
        <f t="shared" si="86"/>
        <v>0.11701800000000001</v>
      </c>
      <c r="AQ107" s="40">
        <f t="shared" si="87"/>
        <v>1.7099999999999999E-3</v>
      </c>
      <c r="AR107" s="39">
        <f t="shared" si="67"/>
        <v>1.0608990774396891</v>
      </c>
      <c r="AS107" s="37">
        <f t="shared" si="68"/>
        <v>6.6666666666666679</v>
      </c>
      <c r="AT107" s="40">
        <f t="shared" si="69"/>
        <v>86.271238413612807</v>
      </c>
    </row>
    <row r="108" spans="17:46" x14ac:dyDescent="0.2">
      <c r="Q108">
        <v>101</v>
      </c>
      <c r="R108" s="39">
        <f t="shared" si="45"/>
        <v>5</v>
      </c>
      <c r="S108" s="37">
        <f t="shared" si="73"/>
        <v>1.3466666666666667</v>
      </c>
      <c r="T108" s="37">
        <f t="shared" si="47"/>
        <v>3.8</v>
      </c>
      <c r="U108" s="40">
        <f t="shared" si="74"/>
        <v>1.9688109161793372</v>
      </c>
      <c r="V108" s="39">
        <f t="shared" si="75"/>
        <v>2</v>
      </c>
      <c r="W108" s="37">
        <f t="shared" si="76"/>
        <v>0.24</v>
      </c>
      <c r="X108" s="40">
        <f t="shared" si="77"/>
        <v>0.76</v>
      </c>
      <c r="Y108" s="39">
        <f t="shared" si="78"/>
        <v>1.3818181818181816</v>
      </c>
      <c r="Z108" s="37">
        <f t="shared" si="71"/>
        <v>2.6597200070884282</v>
      </c>
      <c r="AA108" s="37">
        <f t="shared" si="72"/>
        <v>2.0088142972826524</v>
      </c>
      <c r="AB108" s="37">
        <v>0</v>
      </c>
      <c r="AC108" s="37">
        <f t="shared" si="79"/>
        <v>3.5914480440608049E-2</v>
      </c>
      <c r="AD108" s="40">
        <f t="shared" si="62"/>
        <v>3.5914480440608049E-2</v>
      </c>
      <c r="AE108" s="39">
        <f t="shared" si="70"/>
        <v>0.47251461988304094</v>
      </c>
      <c r="AF108" s="37">
        <f t="shared" si="63"/>
        <v>0.98411400327001097</v>
      </c>
      <c r="AG108" s="37">
        <f t="shared" si="80"/>
        <v>4.455009708587785E-3</v>
      </c>
      <c r="AH108" s="37">
        <f t="shared" si="81"/>
        <v>8.6534101617082484E-2</v>
      </c>
      <c r="AI108" s="40">
        <f t="shared" si="64"/>
        <v>9.0989111325670266E-2</v>
      </c>
      <c r="AJ108" s="39">
        <f t="shared" si="65"/>
        <v>1.4962962962962962</v>
      </c>
      <c r="AK108" s="37">
        <f t="shared" si="82"/>
        <v>1.7512437036389508</v>
      </c>
      <c r="AL108" s="37">
        <f t="shared" si="83"/>
        <v>0.78106666666666658</v>
      </c>
      <c r="AM108" s="37">
        <f t="shared" si="84"/>
        <v>2.4552000000000001E-2</v>
      </c>
      <c r="AN108" s="40">
        <f t="shared" si="66"/>
        <v>0.80561866666666659</v>
      </c>
      <c r="AO108" s="39">
        <f t="shared" si="85"/>
        <v>1.9369607428642546E-2</v>
      </c>
      <c r="AP108" s="37">
        <f t="shared" si="86"/>
        <v>0.11701800000000001</v>
      </c>
      <c r="AQ108" s="40">
        <f t="shared" si="87"/>
        <v>1.7099999999999999E-3</v>
      </c>
      <c r="AR108" s="39">
        <f t="shared" si="67"/>
        <v>1.0706198658615875</v>
      </c>
      <c r="AS108" s="37">
        <f t="shared" si="68"/>
        <v>6.7333333333333334</v>
      </c>
      <c r="AT108" s="40">
        <f t="shared" si="69"/>
        <v>86.28105732397222</v>
      </c>
    </row>
    <row r="109" spans="17:46" x14ac:dyDescent="0.2">
      <c r="Q109">
        <v>102</v>
      </c>
      <c r="R109" s="39">
        <f t="shared" si="45"/>
        <v>5</v>
      </c>
      <c r="S109" s="37">
        <f t="shared" si="73"/>
        <v>1.36</v>
      </c>
      <c r="T109" s="37">
        <f t="shared" si="47"/>
        <v>3.8</v>
      </c>
      <c r="U109" s="40">
        <f t="shared" si="74"/>
        <v>1.9883040935672518</v>
      </c>
      <c r="V109" s="39">
        <f t="shared" si="75"/>
        <v>2</v>
      </c>
      <c r="W109" s="37">
        <f t="shared" si="76"/>
        <v>0.24</v>
      </c>
      <c r="X109" s="40">
        <f t="shared" si="77"/>
        <v>0.76</v>
      </c>
      <c r="Y109" s="39">
        <f t="shared" si="78"/>
        <v>1.3818181818181816</v>
      </c>
      <c r="Z109" s="37">
        <f t="shared" si="71"/>
        <v>2.6792131844763425</v>
      </c>
      <c r="AA109" s="37">
        <f t="shared" si="72"/>
        <v>2.0279229832014245</v>
      </c>
      <c r="AB109" s="37">
        <v>0</v>
      </c>
      <c r="AC109" s="37">
        <f t="shared" si="79"/>
        <v>3.6600997469589426E-2</v>
      </c>
      <c r="AD109" s="40">
        <f t="shared" si="62"/>
        <v>3.6600997469589426E-2</v>
      </c>
      <c r="AE109" s="39">
        <f t="shared" si="70"/>
        <v>0.47719298245614039</v>
      </c>
      <c r="AF109" s="37">
        <f t="shared" si="63"/>
        <v>0.99347530930123062</v>
      </c>
      <c r="AG109" s="37">
        <f t="shared" si="80"/>
        <v>4.5401686748794091E-3</v>
      </c>
      <c r="AH109" s="37">
        <f t="shared" si="81"/>
        <v>8.7390874900419968E-2</v>
      </c>
      <c r="AI109" s="40">
        <f t="shared" si="64"/>
        <v>9.1931043575299382E-2</v>
      </c>
      <c r="AJ109" s="39">
        <f t="shared" si="65"/>
        <v>1.5111111111111113</v>
      </c>
      <c r="AK109" s="37">
        <f t="shared" si="82"/>
        <v>1.7679022698117082</v>
      </c>
      <c r="AL109" s="37">
        <f t="shared" si="83"/>
        <v>0.78880000000000006</v>
      </c>
      <c r="AM109" s="37">
        <f t="shared" si="84"/>
        <v>2.4552000000000001E-2</v>
      </c>
      <c r="AN109" s="40">
        <f t="shared" si="66"/>
        <v>0.81335200000000007</v>
      </c>
      <c r="AO109" s="39">
        <f t="shared" si="85"/>
        <v>1.9739863803823518E-2</v>
      </c>
      <c r="AP109" s="37">
        <f t="shared" si="86"/>
        <v>0.11701800000000001</v>
      </c>
      <c r="AQ109" s="40">
        <f t="shared" si="87"/>
        <v>1.7099999999999999E-3</v>
      </c>
      <c r="AR109" s="39">
        <f t="shared" si="67"/>
        <v>1.0803519048487125</v>
      </c>
      <c r="AS109" s="37">
        <f t="shared" si="68"/>
        <v>6.8000000000000007</v>
      </c>
      <c r="AT109" s="40">
        <f t="shared" si="69"/>
        <v>86.290562681801291</v>
      </c>
    </row>
    <row r="110" spans="17:46" x14ac:dyDescent="0.2">
      <c r="Q110">
        <v>103</v>
      </c>
      <c r="R110" s="39">
        <f t="shared" si="45"/>
        <v>5</v>
      </c>
      <c r="S110" s="37">
        <f t="shared" si="73"/>
        <v>1.3733333333333335</v>
      </c>
      <c r="T110" s="37">
        <f t="shared" si="47"/>
        <v>3.8</v>
      </c>
      <c r="U110" s="40">
        <f t="shared" si="74"/>
        <v>2.0077972709551659</v>
      </c>
      <c r="V110" s="39">
        <f t="shared" si="75"/>
        <v>2</v>
      </c>
      <c r="W110" s="37">
        <f t="shared" si="76"/>
        <v>0.24</v>
      </c>
      <c r="X110" s="40">
        <f t="shared" si="77"/>
        <v>0.76</v>
      </c>
      <c r="Y110" s="39">
        <f t="shared" si="78"/>
        <v>1.3818181818181816</v>
      </c>
      <c r="Z110" s="37">
        <f t="shared" si="71"/>
        <v>2.6987063618642568</v>
      </c>
      <c r="AA110" s="37">
        <f t="shared" si="72"/>
        <v>2.0470389196483998</v>
      </c>
      <c r="AB110" s="37">
        <v>0</v>
      </c>
      <c r="AC110" s="37">
        <f t="shared" si="79"/>
        <v>3.7294278213142067E-2</v>
      </c>
      <c r="AD110" s="40">
        <f t="shared" si="62"/>
        <v>3.7294278213142067E-2</v>
      </c>
      <c r="AE110" s="39">
        <f t="shared" si="70"/>
        <v>0.48187134502923978</v>
      </c>
      <c r="AF110" s="37">
        <f t="shared" si="63"/>
        <v>1.0028401673513427</v>
      </c>
      <c r="AG110" s="37">
        <f t="shared" si="80"/>
        <v>4.6261666457650379E-3</v>
      </c>
      <c r="AH110" s="37">
        <f t="shared" si="81"/>
        <v>8.824764818375741E-2</v>
      </c>
      <c r="AI110" s="40">
        <f t="shared" si="64"/>
        <v>9.287381482952245E-2</v>
      </c>
      <c r="AJ110" s="39">
        <f t="shared" si="65"/>
        <v>1.5259259259259261</v>
      </c>
      <c r="AK110" s="37">
        <f t="shared" si="82"/>
        <v>1.7845671568484105</v>
      </c>
      <c r="AL110" s="37">
        <f t="shared" si="83"/>
        <v>0.79653333333333343</v>
      </c>
      <c r="AM110" s="37">
        <f t="shared" si="84"/>
        <v>2.4552000000000001E-2</v>
      </c>
      <c r="AN110" s="40">
        <f t="shared" si="66"/>
        <v>0.82108533333333344</v>
      </c>
      <c r="AO110" s="39">
        <f t="shared" si="85"/>
        <v>2.0113768025065384E-2</v>
      </c>
      <c r="AP110" s="37">
        <f t="shared" si="86"/>
        <v>0.11701800000000001</v>
      </c>
      <c r="AQ110" s="40">
        <f t="shared" si="87"/>
        <v>1.7099999999999999E-3</v>
      </c>
      <c r="AR110" s="39">
        <f t="shared" si="67"/>
        <v>1.0900951944010635</v>
      </c>
      <c r="AS110" s="37">
        <f t="shared" si="68"/>
        <v>6.8666666666666671</v>
      </c>
      <c r="AT110" s="40">
        <f t="shared" si="69"/>
        <v>86.29976347872271</v>
      </c>
    </row>
    <row r="111" spans="17:46" x14ac:dyDescent="0.2">
      <c r="Q111">
        <v>104</v>
      </c>
      <c r="R111" s="39">
        <f t="shared" si="45"/>
        <v>5</v>
      </c>
      <c r="S111" s="37">
        <f t="shared" si="73"/>
        <v>1.3866666666666667</v>
      </c>
      <c r="T111" s="37">
        <f t="shared" si="47"/>
        <v>3.8</v>
      </c>
      <c r="U111" s="40">
        <f t="shared" si="74"/>
        <v>2.0272904483430803</v>
      </c>
      <c r="V111" s="39">
        <f t="shared" si="75"/>
        <v>2</v>
      </c>
      <c r="W111" s="37">
        <f t="shared" si="76"/>
        <v>0.24</v>
      </c>
      <c r="X111" s="40">
        <f t="shared" si="77"/>
        <v>0.76</v>
      </c>
      <c r="Y111" s="39">
        <f t="shared" si="78"/>
        <v>1.3818181818181816</v>
      </c>
      <c r="Z111" s="37">
        <f t="shared" si="71"/>
        <v>2.7181995392521712</v>
      </c>
      <c r="AA111" s="37">
        <f t="shared" si="72"/>
        <v>2.066161905379964</v>
      </c>
      <c r="AB111" s="37">
        <v>0</v>
      </c>
      <c r="AC111" s="37">
        <f t="shared" si="79"/>
        <v>3.7994322671265936E-2</v>
      </c>
      <c r="AD111" s="40">
        <f t="shared" si="62"/>
        <v>3.7994322671265936E-2</v>
      </c>
      <c r="AE111" s="39">
        <f t="shared" si="70"/>
        <v>0.48654970760233923</v>
      </c>
      <c r="AF111" s="37">
        <f t="shared" si="63"/>
        <v>1.0122084788315138</v>
      </c>
      <c r="AG111" s="37">
        <f t="shared" si="80"/>
        <v>4.7130036212446724E-3</v>
      </c>
      <c r="AH111" s="37">
        <f t="shared" si="81"/>
        <v>8.9104421467094866E-2</v>
      </c>
      <c r="AI111" s="40">
        <f t="shared" si="64"/>
        <v>9.381742508833954E-2</v>
      </c>
      <c r="AJ111" s="39">
        <f t="shared" si="65"/>
        <v>1.540740740740741</v>
      </c>
      <c r="AK111" s="37">
        <f t="shared" si="82"/>
        <v>1.8012381893089422</v>
      </c>
      <c r="AL111" s="37">
        <f t="shared" si="83"/>
        <v>0.80426666666666669</v>
      </c>
      <c r="AM111" s="37">
        <f t="shared" si="84"/>
        <v>2.4552000000000001E-2</v>
      </c>
      <c r="AN111" s="40">
        <f t="shared" si="66"/>
        <v>0.8288186666666667</v>
      </c>
      <c r="AO111" s="39">
        <f t="shared" si="85"/>
        <v>2.0491320092368141E-2</v>
      </c>
      <c r="AP111" s="37">
        <f t="shared" si="86"/>
        <v>0.11701800000000001</v>
      </c>
      <c r="AQ111" s="40">
        <f t="shared" si="87"/>
        <v>1.7099999999999999E-3</v>
      </c>
      <c r="AR111" s="39">
        <f t="shared" si="67"/>
        <v>1.0998497345186404</v>
      </c>
      <c r="AS111" s="37">
        <f t="shared" si="68"/>
        <v>6.9333333333333336</v>
      </c>
      <c r="AT111" s="40">
        <f t="shared" si="69"/>
        <v>86.308668366837878</v>
      </c>
    </row>
    <row r="112" spans="17:46" x14ac:dyDescent="0.2">
      <c r="Q112">
        <v>105</v>
      </c>
      <c r="R112" s="39">
        <f t="shared" si="45"/>
        <v>5</v>
      </c>
      <c r="S112" s="37">
        <f t="shared" si="73"/>
        <v>1.4000000000000001</v>
      </c>
      <c r="T112" s="37">
        <f t="shared" si="47"/>
        <v>3.8</v>
      </c>
      <c r="U112" s="40">
        <f t="shared" si="74"/>
        <v>2.0467836257309946</v>
      </c>
      <c r="V112" s="39">
        <f t="shared" si="75"/>
        <v>2</v>
      </c>
      <c r="W112" s="37">
        <f t="shared" si="76"/>
        <v>0.24</v>
      </c>
      <c r="X112" s="40">
        <f t="shared" si="77"/>
        <v>0.76</v>
      </c>
      <c r="Y112" s="39">
        <f t="shared" si="78"/>
        <v>1.3818181818181816</v>
      </c>
      <c r="Z112" s="37">
        <f t="shared" si="71"/>
        <v>2.7376927166400855</v>
      </c>
      <c r="AA112" s="37">
        <f t="shared" si="72"/>
        <v>2.0852917464615812</v>
      </c>
      <c r="AB112" s="37">
        <v>0</v>
      </c>
      <c r="AC112" s="37">
        <f t="shared" si="79"/>
        <v>3.8701130843961047E-2</v>
      </c>
      <c r="AD112" s="40">
        <f t="shared" si="62"/>
        <v>3.8701130843961047E-2</v>
      </c>
      <c r="AE112" s="39">
        <f t="shared" si="70"/>
        <v>0.49122807017543868</v>
      </c>
      <c r="AF112" s="37">
        <f t="shared" si="63"/>
        <v>1.0215801487336125</v>
      </c>
      <c r="AG112" s="37">
        <f t="shared" si="80"/>
        <v>4.8006796013183133E-3</v>
      </c>
      <c r="AH112" s="37">
        <f t="shared" si="81"/>
        <v>8.9961194750432336E-2</v>
      </c>
      <c r="AI112" s="40">
        <f t="shared" si="64"/>
        <v>9.4761874351750652E-2</v>
      </c>
      <c r="AJ112" s="39">
        <f t="shared" si="65"/>
        <v>1.5555555555555558</v>
      </c>
      <c r="AK112" s="37">
        <f t="shared" si="82"/>
        <v>1.8179151981250945</v>
      </c>
      <c r="AL112" s="37">
        <f t="shared" si="83"/>
        <v>0.81200000000000006</v>
      </c>
      <c r="AM112" s="37">
        <f t="shared" si="84"/>
        <v>2.4552000000000001E-2</v>
      </c>
      <c r="AN112" s="40">
        <f t="shared" si="66"/>
        <v>0.83655200000000007</v>
      </c>
      <c r="AO112" s="39">
        <f t="shared" si="85"/>
        <v>2.0872520005731796E-2</v>
      </c>
      <c r="AP112" s="37">
        <f t="shared" si="86"/>
        <v>0.11701800000000001</v>
      </c>
      <c r="AQ112" s="40">
        <f t="shared" si="87"/>
        <v>1.7099999999999999E-3</v>
      </c>
      <c r="AR112" s="39">
        <f t="shared" si="67"/>
        <v>1.1096155252014437</v>
      </c>
      <c r="AS112" s="37">
        <f t="shared" si="68"/>
        <v>7.0000000000000009</v>
      </c>
      <c r="AT112" s="40">
        <f t="shared" si="69"/>
        <v>86.317285674601933</v>
      </c>
    </row>
    <row r="113" spans="17:46" x14ac:dyDescent="0.2">
      <c r="Q113">
        <v>106</v>
      </c>
      <c r="R113" s="39">
        <f t="shared" si="45"/>
        <v>5</v>
      </c>
      <c r="S113" s="37">
        <f t="shared" si="73"/>
        <v>1.4133333333333333</v>
      </c>
      <c r="T113" s="37">
        <f t="shared" si="47"/>
        <v>3.8</v>
      </c>
      <c r="U113" s="40">
        <f t="shared" si="74"/>
        <v>2.0662768031189085</v>
      </c>
      <c r="V113" s="39">
        <f t="shared" si="75"/>
        <v>2</v>
      </c>
      <c r="W113" s="37">
        <f t="shared" si="76"/>
        <v>0.24</v>
      </c>
      <c r="X113" s="40">
        <f t="shared" si="77"/>
        <v>0.76</v>
      </c>
      <c r="Y113" s="39">
        <f t="shared" si="78"/>
        <v>1.3818181818181816</v>
      </c>
      <c r="Z113" s="37">
        <f t="shared" si="71"/>
        <v>2.7571858940279994</v>
      </c>
      <c r="AA113" s="37">
        <f t="shared" si="72"/>
        <v>2.104428255942115</v>
      </c>
      <c r="AB113" s="37">
        <v>0</v>
      </c>
      <c r="AC113" s="37">
        <f t="shared" si="79"/>
        <v>3.9414702731227394E-2</v>
      </c>
      <c r="AD113" s="40">
        <f t="shared" si="62"/>
        <v>3.9414702731227394E-2</v>
      </c>
      <c r="AE113" s="39">
        <f t="shared" si="70"/>
        <v>0.49590643274853802</v>
      </c>
      <c r="AF113" s="37">
        <f t="shared" si="63"/>
        <v>1.0309550854706606</v>
      </c>
      <c r="AG113" s="37">
        <f t="shared" si="80"/>
        <v>4.8891945859859589E-3</v>
      </c>
      <c r="AH113" s="37">
        <f t="shared" si="81"/>
        <v>9.0817968033769764E-2</v>
      </c>
      <c r="AI113" s="40">
        <f t="shared" si="64"/>
        <v>9.5707162619755717E-2</v>
      </c>
      <c r="AJ113" s="39">
        <f t="shared" si="65"/>
        <v>1.5703703703703704</v>
      </c>
      <c r="AK113" s="37">
        <f t="shared" si="82"/>
        <v>1.8345980203166454</v>
      </c>
      <c r="AL113" s="37">
        <f t="shared" si="83"/>
        <v>0.81973333333333331</v>
      </c>
      <c r="AM113" s="37">
        <f t="shared" si="84"/>
        <v>2.4552000000000001E-2</v>
      </c>
      <c r="AN113" s="40">
        <f t="shared" si="66"/>
        <v>0.84428533333333333</v>
      </c>
      <c r="AO113" s="39">
        <f t="shared" si="85"/>
        <v>2.1257367765156344E-2</v>
      </c>
      <c r="AP113" s="37">
        <f t="shared" si="86"/>
        <v>0.11701800000000001</v>
      </c>
      <c r="AQ113" s="40">
        <f t="shared" si="87"/>
        <v>1.7099999999999999E-3</v>
      </c>
      <c r="AR113" s="39">
        <f t="shared" si="67"/>
        <v>1.119392566449473</v>
      </c>
      <c r="AS113" s="37">
        <f t="shared" si="68"/>
        <v>7.0666666666666664</v>
      </c>
      <c r="AT113" s="40">
        <f t="shared" si="69"/>
        <v>86.32562342181636</v>
      </c>
    </row>
    <row r="114" spans="17:46" x14ac:dyDescent="0.2">
      <c r="Q114">
        <v>107</v>
      </c>
      <c r="R114" s="39">
        <f t="shared" si="45"/>
        <v>5</v>
      </c>
      <c r="S114" s="37">
        <f t="shared" si="73"/>
        <v>1.4266666666666667</v>
      </c>
      <c r="T114" s="37">
        <f t="shared" si="47"/>
        <v>3.8</v>
      </c>
      <c r="U114" s="40">
        <f t="shared" si="74"/>
        <v>2.0857699805068228</v>
      </c>
      <c r="V114" s="39">
        <f t="shared" si="75"/>
        <v>2</v>
      </c>
      <c r="W114" s="37">
        <f t="shared" si="76"/>
        <v>0.24</v>
      </c>
      <c r="X114" s="40">
        <f t="shared" si="77"/>
        <v>0.76</v>
      </c>
      <c r="Y114" s="39">
        <f t="shared" si="78"/>
        <v>1.3818181818181816</v>
      </c>
      <c r="Z114" s="37">
        <f t="shared" si="71"/>
        <v>2.7766790714159137</v>
      </c>
      <c r="AA114" s="37">
        <f t="shared" si="72"/>
        <v>2.1235712535452413</v>
      </c>
      <c r="AB114" s="37">
        <v>0</v>
      </c>
      <c r="AC114" s="37">
        <f t="shared" si="79"/>
        <v>4.0135038333064997E-2</v>
      </c>
      <c r="AD114" s="40">
        <f t="shared" si="62"/>
        <v>4.0135038333064997E-2</v>
      </c>
      <c r="AE114" s="39">
        <f t="shared" si="70"/>
        <v>0.50058479532163747</v>
      </c>
      <c r="AF114" s="37">
        <f t="shared" si="63"/>
        <v>1.0403332007256569</v>
      </c>
      <c r="AG114" s="37">
        <f t="shared" si="80"/>
        <v>4.9785485752476136E-3</v>
      </c>
      <c r="AH114" s="37">
        <f t="shared" si="81"/>
        <v>9.1674741317107206E-2</v>
      </c>
      <c r="AI114" s="40">
        <f t="shared" si="64"/>
        <v>9.6653289892354818E-2</v>
      </c>
      <c r="AJ114" s="39">
        <f t="shared" si="65"/>
        <v>1.5851851851851855</v>
      </c>
      <c r="AK114" s="37">
        <f t="shared" si="82"/>
        <v>1.8512864987223392</v>
      </c>
      <c r="AL114" s="37">
        <f t="shared" si="83"/>
        <v>0.82746666666666668</v>
      </c>
      <c r="AM114" s="37">
        <f t="shared" si="84"/>
        <v>2.4552000000000001E-2</v>
      </c>
      <c r="AN114" s="40">
        <f t="shared" si="66"/>
        <v>0.8520186666666667</v>
      </c>
      <c r="AO114" s="39">
        <f t="shared" si="85"/>
        <v>2.16458633706418E-2</v>
      </c>
      <c r="AP114" s="37">
        <f t="shared" si="86"/>
        <v>0.11701800000000001</v>
      </c>
      <c r="AQ114" s="40">
        <f t="shared" si="87"/>
        <v>1.7099999999999999E-3</v>
      </c>
      <c r="AR114" s="39">
        <f t="shared" si="67"/>
        <v>1.1291808582627285</v>
      </c>
      <c r="AS114" s="37">
        <f t="shared" si="68"/>
        <v>7.1333333333333337</v>
      </c>
      <c r="AT114" s="40">
        <f t="shared" si="69"/>
        <v>86.333689333795789</v>
      </c>
    </row>
    <row r="115" spans="17:46" x14ac:dyDescent="0.2">
      <c r="Q115">
        <v>108</v>
      </c>
      <c r="R115" s="39">
        <f t="shared" si="45"/>
        <v>5</v>
      </c>
      <c r="S115" s="37">
        <f t="shared" si="73"/>
        <v>1.4400000000000002</v>
      </c>
      <c r="T115" s="37">
        <f t="shared" si="47"/>
        <v>3.8</v>
      </c>
      <c r="U115" s="40">
        <f t="shared" si="74"/>
        <v>2.1052631578947372</v>
      </c>
      <c r="V115" s="39">
        <f t="shared" si="75"/>
        <v>2</v>
      </c>
      <c r="W115" s="37">
        <f t="shared" si="76"/>
        <v>0.24</v>
      </c>
      <c r="X115" s="40">
        <f t="shared" si="77"/>
        <v>0.76</v>
      </c>
      <c r="Y115" s="39">
        <f t="shared" si="78"/>
        <v>1.3818181818181816</v>
      </c>
      <c r="Z115" s="37">
        <f t="shared" si="71"/>
        <v>2.7961722488038281</v>
      </c>
      <c r="AA115" s="37">
        <f t="shared" si="72"/>
        <v>2.1427205653769219</v>
      </c>
      <c r="AB115" s="37">
        <v>0</v>
      </c>
      <c r="AC115" s="37">
        <f t="shared" si="79"/>
        <v>4.0862137649473843E-2</v>
      </c>
      <c r="AD115" s="40">
        <f t="shared" si="62"/>
        <v>4.0862137649473843E-2</v>
      </c>
      <c r="AE115" s="39">
        <f t="shared" si="70"/>
        <v>0.50526315789473686</v>
      </c>
      <c r="AF115" s="37">
        <f t="shared" si="63"/>
        <v>1.0497144093082686</v>
      </c>
      <c r="AG115" s="37">
        <f t="shared" si="80"/>
        <v>5.0687415691032731E-3</v>
      </c>
      <c r="AH115" s="37">
        <f t="shared" si="81"/>
        <v>9.2531514600444661E-2</v>
      </c>
      <c r="AI115" s="40">
        <f t="shared" si="64"/>
        <v>9.7600256169547928E-2</v>
      </c>
      <c r="AJ115" s="39">
        <f t="shared" si="65"/>
        <v>1.6000000000000003</v>
      </c>
      <c r="AK115" s="37">
        <f t="shared" si="82"/>
        <v>1.8679804817448682</v>
      </c>
      <c r="AL115" s="37">
        <f t="shared" si="83"/>
        <v>0.83520000000000005</v>
      </c>
      <c r="AM115" s="37">
        <f t="shared" si="84"/>
        <v>2.4552000000000001E-2</v>
      </c>
      <c r="AN115" s="40">
        <f t="shared" si="66"/>
        <v>0.85975200000000007</v>
      </c>
      <c r="AO115" s="39">
        <f t="shared" si="85"/>
        <v>2.2038006822188146E-2</v>
      </c>
      <c r="AP115" s="37">
        <f t="shared" si="86"/>
        <v>0.11701800000000001</v>
      </c>
      <c r="AQ115" s="40">
        <f t="shared" si="87"/>
        <v>1.7099999999999999E-3</v>
      </c>
      <c r="AR115" s="39">
        <f t="shared" si="67"/>
        <v>1.1389804006412101</v>
      </c>
      <c r="AS115" s="37">
        <f t="shared" si="68"/>
        <v>7.2000000000000011</v>
      </c>
      <c r="AT115" s="40">
        <f t="shared" si="69"/>
        <v>86.341490854761688</v>
      </c>
    </row>
    <row r="116" spans="17:46" x14ac:dyDescent="0.2">
      <c r="Q116">
        <v>109</v>
      </c>
      <c r="R116" s="39">
        <f t="shared" si="45"/>
        <v>5</v>
      </c>
      <c r="S116" s="37">
        <f t="shared" si="73"/>
        <v>1.4533333333333334</v>
      </c>
      <c r="T116" s="37">
        <f t="shared" si="47"/>
        <v>3.8</v>
      </c>
      <c r="U116" s="40">
        <f t="shared" si="74"/>
        <v>2.1247563352826511</v>
      </c>
      <c r="V116" s="39">
        <f t="shared" si="75"/>
        <v>2</v>
      </c>
      <c r="W116" s="37">
        <f t="shared" si="76"/>
        <v>0.24</v>
      </c>
      <c r="X116" s="40">
        <f t="shared" si="77"/>
        <v>0.76</v>
      </c>
      <c r="Y116" s="39">
        <f t="shared" si="78"/>
        <v>1.3818181818181816</v>
      </c>
      <c r="Z116" s="37">
        <f t="shared" si="71"/>
        <v>2.815665426191742</v>
      </c>
      <c r="AA116" s="37">
        <f t="shared" si="72"/>
        <v>2.1618760236479884</v>
      </c>
      <c r="AB116" s="37">
        <v>0</v>
      </c>
      <c r="AC116" s="37">
        <f t="shared" si="79"/>
        <v>4.1596000680453937E-2</v>
      </c>
      <c r="AD116" s="40">
        <f t="shared" si="62"/>
        <v>4.1596000680453937E-2</v>
      </c>
      <c r="AE116" s="39">
        <f t="shared" si="70"/>
        <v>0.50994152046783625</v>
      </c>
      <c r="AF116" s="37">
        <f t="shared" si="63"/>
        <v>1.0590986290189262</v>
      </c>
      <c r="AG116" s="37">
        <f t="shared" si="80"/>
        <v>5.1597735675529372E-3</v>
      </c>
      <c r="AH116" s="37">
        <f t="shared" si="81"/>
        <v>9.338828788378209E-2</v>
      </c>
      <c r="AI116" s="40">
        <f t="shared" si="64"/>
        <v>9.8548061451335031E-2</v>
      </c>
      <c r="AJ116" s="39">
        <f t="shared" si="65"/>
        <v>1.6148148148148149</v>
      </c>
      <c r="AK116" s="37">
        <f t="shared" si="82"/>
        <v>1.8846798231090258</v>
      </c>
      <c r="AL116" s="37">
        <f t="shared" si="83"/>
        <v>0.84293333333333331</v>
      </c>
      <c r="AM116" s="37">
        <f t="shared" si="84"/>
        <v>2.4552000000000001E-2</v>
      </c>
      <c r="AN116" s="40">
        <f t="shared" si="66"/>
        <v>0.86748533333333333</v>
      </c>
      <c r="AO116" s="39">
        <f t="shared" si="85"/>
        <v>2.243379811979538E-2</v>
      </c>
      <c r="AP116" s="37">
        <f t="shared" si="86"/>
        <v>0.11701800000000001</v>
      </c>
      <c r="AQ116" s="40">
        <f t="shared" si="87"/>
        <v>1.7099999999999999E-3</v>
      </c>
      <c r="AR116" s="39">
        <f t="shared" si="67"/>
        <v>1.1487911935849178</v>
      </c>
      <c r="AS116" s="37">
        <f t="shared" si="68"/>
        <v>7.2666666666666666</v>
      </c>
      <c r="AT116" s="40">
        <f t="shared" si="69"/>
        <v>86.349035160511477</v>
      </c>
    </row>
    <row r="117" spans="17:46" x14ac:dyDescent="0.2">
      <c r="Q117">
        <v>110</v>
      </c>
      <c r="R117" s="39">
        <f t="shared" si="45"/>
        <v>5</v>
      </c>
      <c r="S117" s="37">
        <f t="shared" si="73"/>
        <v>1.4666666666666668</v>
      </c>
      <c r="T117" s="37">
        <f t="shared" si="47"/>
        <v>3.8</v>
      </c>
      <c r="U117" s="40">
        <f t="shared" si="74"/>
        <v>2.1442495126705654</v>
      </c>
      <c r="V117" s="39">
        <f t="shared" si="75"/>
        <v>2</v>
      </c>
      <c r="W117" s="37">
        <f t="shared" si="76"/>
        <v>0.24</v>
      </c>
      <c r="X117" s="40">
        <f t="shared" si="77"/>
        <v>0.76</v>
      </c>
      <c r="Y117" s="39">
        <f t="shared" si="78"/>
        <v>1.3818181818181816</v>
      </c>
      <c r="Z117" s="37">
        <f t="shared" si="71"/>
        <v>2.8351586035796563</v>
      </c>
      <c r="AA117" s="37">
        <f t="shared" si="72"/>
        <v>2.1810374664109355</v>
      </c>
      <c r="AB117" s="37">
        <v>0</v>
      </c>
      <c r="AC117" s="37">
        <f t="shared" si="79"/>
        <v>4.2336627426005274E-2</v>
      </c>
      <c r="AD117" s="40">
        <f t="shared" si="62"/>
        <v>4.2336627426005274E-2</v>
      </c>
      <c r="AE117" s="39">
        <f t="shared" si="70"/>
        <v>0.51461988304093564</v>
      </c>
      <c r="AF117" s="37">
        <f t="shared" si="63"/>
        <v>1.0684857805198793</v>
      </c>
      <c r="AG117" s="37">
        <f t="shared" si="80"/>
        <v>5.2516445705966079E-3</v>
      </c>
      <c r="AH117" s="37">
        <f t="shared" si="81"/>
        <v>9.4245061167119559E-2</v>
      </c>
      <c r="AI117" s="40">
        <f t="shared" si="64"/>
        <v>9.9496705737716171E-2</v>
      </c>
      <c r="AJ117" s="39">
        <f t="shared" si="65"/>
        <v>1.6296296296296298</v>
      </c>
      <c r="AK117" s="37">
        <f t="shared" si="82"/>
        <v>1.9013843816322509</v>
      </c>
      <c r="AL117" s="37">
        <f t="shared" si="83"/>
        <v>0.85066666666666668</v>
      </c>
      <c r="AM117" s="37">
        <f t="shared" si="84"/>
        <v>2.4552000000000001E-2</v>
      </c>
      <c r="AN117" s="40">
        <f t="shared" si="66"/>
        <v>0.8752186666666667</v>
      </c>
      <c r="AO117" s="39">
        <f t="shared" si="85"/>
        <v>2.2833237263463514E-2</v>
      </c>
      <c r="AP117" s="37">
        <f t="shared" si="86"/>
        <v>0.11701800000000001</v>
      </c>
      <c r="AQ117" s="40">
        <f t="shared" si="87"/>
        <v>1.7099999999999999E-3</v>
      </c>
      <c r="AR117" s="39">
        <f t="shared" si="67"/>
        <v>1.1586132370938518</v>
      </c>
      <c r="AS117" s="37">
        <f t="shared" si="68"/>
        <v>7.3333333333333339</v>
      </c>
      <c r="AT117" s="40">
        <f t="shared" si="69"/>
        <v>86.356329170408713</v>
      </c>
    </row>
    <row r="118" spans="17:46" x14ac:dyDescent="0.2">
      <c r="Q118">
        <v>111</v>
      </c>
      <c r="R118" s="39">
        <f t="shared" si="45"/>
        <v>5</v>
      </c>
      <c r="S118" s="37">
        <f t="shared" si="73"/>
        <v>1.4800000000000002</v>
      </c>
      <c r="T118" s="37">
        <f t="shared" si="47"/>
        <v>3.8</v>
      </c>
      <c r="U118" s="40">
        <f t="shared" si="74"/>
        <v>2.1637426900584797</v>
      </c>
      <c r="V118" s="39">
        <f t="shared" si="75"/>
        <v>2</v>
      </c>
      <c r="W118" s="37">
        <f t="shared" si="76"/>
        <v>0.24</v>
      </c>
      <c r="X118" s="40">
        <f t="shared" si="77"/>
        <v>0.76</v>
      </c>
      <c r="Y118" s="39">
        <f t="shared" si="78"/>
        <v>1.3818181818181816</v>
      </c>
      <c r="Z118" s="37">
        <f t="shared" si="71"/>
        <v>2.8546517809675707</v>
      </c>
      <c r="AA118" s="37">
        <f t="shared" si="72"/>
        <v>2.2002047373100946</v>
      </c>
      <c r="AB118" s="37">
        <v>0</v>
      </c>
      <c r="AC118" s="37">
        <f t="shared" si="79"/>
        <v>4.3084017886127868E-2</v>
      </c>
      <c r="AD118" s="40">
        <f t="shared" si="62"/>
        <v>4.3084017886127868E-2</v>
      </c>
      <c r="AE118" s="39">
        <f t="shared" si="70"/>
        <v>0.51929824561403515</v>
      </c>
      <c r="AF118" s="37">
        <f t="shared" si="63"/>
        <v>1.0778757872128066</v>
      </c>
      <c r="AG118" s="37">
        <f t="shared" si="80"/>
        <v>5.3443545782342868E-3</v>
      </c>
      <c r="AH118" s="37">
        <f t="shared" si="81"/>
        <v>9.5101834450457029E-2</v>
      </c>
      <c r="AI118" s="40">
        <f t="shared" si="64"/>
        <v>0.10044618902869132</v>
      </c>
      <c r="AJ118" s="39">
        <f t="shared" si="65"/>
        <v>1.6444444444444446</v>
      </c>
      <c r="AK118" s="37">
        <f t="shared" si="82"/>
        <v>1.9180940210068311</v>
      </c>
      <c r="AL118" s="37">
        <f t="shared" si="83"/>
        <v>0.85840000000000005</v>
      </c>
      <c r="AM118" s="37">
        <f t="shared" si="84"/>
        <v>2.4552000000000001E-2</v>
      </c>
      <c r="AN118" s="40">
        <f t="shared" si="66"/>
        <v>0.88295200000000007</v>
      </c>
      <c r="AO118" s="39">
        <f t="shared" si="85"/>
        <v>2.3236324253192553E-2</v>
      </c>
      <c r="AP118" s="37">
        <f t="shared" si="86"/>
        <v>0.11701800000000001</v>
      </c>
      <c r="AQ118" s="40">
        <f t="shared" si="87"/>
        <v>1.7099999999999999E-3</v>
      </c>
      <c r="AR118" s="39">
        <f t="shared" si="67"/>
        <v>1.1684465311680119</v>
      </c>
      <c r="AS118" s="37">
        <f t="shared" si="68"/>
        <v>7.4000000000000012</v>
      </c>
      <c r="AT118" s="40">
        <f t="shared" si="69"/>
        <v>86.363379558736256</v>
      </c>
    </row>
    <row r="119" spans="17:46" x14ac:dyDescent="0.2">
      <c r="Q119">
        <v>112</v>
      </c>
      <c r="R119" s="39">
        <f t="shared" si="45"/>
        <v>5</v>
      </c>
      <c r="S119" s="37">
        <f t="shared" si="73"/>
        <v>1.4933333333333334</v>
      </c>
      <c r="T119" s="37">
        <f t="shared" si="47"/>
        <v>3.8</v>
      </c>
      <c r="U119" s="40">
        <f t="shared" si="74"/>
        <v>2.1832358674463936</v>
      </c>
      <c r="V119" s="39">
        <f t="shared" si="75"/>
        <v>2</v>
      </c>
      <c r="W119" s="37">
        <f t="shared" si="76"/>
        <v>0.24</v>
      </c>
      <c r="X119" s="40">
        <f t="shared" si="77"/>
        <v>0.76</v>
      </c>
      <c r="Y119" s="39">
        <f t="shared" si="78"/>
        <v>1.3818181818181816</v>
      </c>
      <c r="Z119" s="37">
        <f t="shared" si="71"/>
        <v>2.8741449583554846</v>
      </c>
      <c r="AA119" s="37">
        <f t="shared" si="72"/>
        <v>2.2193776853444036</v>
      </c>
      <c r="AB119" s="37">
        <v>0</v>
      </c>
      <c r="AC119" s="37">
        <f t="shared" si="79"/>
        <v>4.3838172060821676E-2</v>
      </c>
      <c r="AD119" s="40">
        <f t="shared" si="62"/>
        <v>4.3838172060821676E-2</v>
      </c>
      <c r="AE119" s="39">
        <f t="shared" si="70"/>
        <v>0.52397660818713443</v>
      </c>
      <c r="AF119" s="37">
        <f t="shared" si="63"/>
        <v>1.0872685751225977</v>
      </c>
      <c r="AG119" s="37">
        <f t="shared" si="80"/>
        <v>5.4379035904659695E-3</v>
      </c>
      <c r="AH119" s="37">
        <f t="shared" si="81"/>
        <v>9.5958607733794443E-2</v>
      </c>
      <c r="AI119" s="40">
        <f t="shared" si="64"/>
        <v>0.10139651132426042</v>
      </c>
      <c r="AJ119" s="39">
        <f t="shared" si="65"/>
        <v>1.6592592592592592</v>
      </c>
      <c r="AK119" s="37">
        <f t="shared" si="82"/>
        <v>1.934808609593093</v>
      </c>
      <c r="AL119" s="37">
        <f t="shared" si="83"/>
        <v>0.86613333333333331</v>
      </c>
      <c r="AM119" s="37">
        <f t="shared" si="84"/>
        <v>2.4552000000000001E-2</v>
      </c>
      <c r="AN119" s="40">
        <f t="shared" si="66"/>
        <v>0.89068533333333333</v>
      </c>
      <c r="AO119" s="39">
        <f t="shared" si="85"/>
        <v>2.3643059088982479E-2</v>
      </c>
      <c r="AP119" s="37">
        <f t="shared" si="86"/>
        <v>0.11701800000000001</v>
      </c>
      <c r="AQ119" s="40">
        <f t="shared" si="87"/>
        <v>1.7099999999999999E-3</v>
      </c>
      <c r="AR119" s="39">
        <f t="shared" si="67"/>
        <v>1.1782910758073981</v>
      </c>
      <c r="AS119" s="37">
        <f t="shared" si="68"/>
        <v>7.4666666666666668</v>
      </c>
      <c r="AT119" s="40">
        <f t="shared" si="69"/>
        <v>86.370192765451421</v>
      </c>
    </row>
    <row r="120" spans="17:46" x14ac:dyDescent="0.2">
      <c r="Q120">
        <v>113</v>
      </c>
      <c r="R120" s="39">
        <f t="shared" si="45"/>
        <v>5</v>
      </c>
      <c r="S120" s="37">
        <f t="shared" si="73"/>
        <v>1.5066666666666668</v>
      </c>
      <c r="T120" s="37">
        <f t="shared" si="47"/>
        <v>3.8</v>
      </c>
      <c r="U120" s="40">
        <f t="shared" si="74"/>
        <v>2.2027290448343084</v>
      </c>
      <c r="V120" s="39">
        <f t="shared" si="75"/>
        <v>2</v>
      </c>
      <c r="W120" s="37">
        <f t="shared" si="76"/>
        <v>0.24</v>
      </c>
      <c r="X120" s="40">
        <f t="shared" si="77"/>
        <v>0.76</v>
      </c>
      <c r="Y120" s="39">
        <f t="shared" si="78"/>
        <v>1.3818181818181816</v>
      </c>
      <c r="Z120" s="37">
        <f t="shared" si="71"/>
        <v>2.8936381357433993</v>
      </c>
      <c r="AA120" s="37">
        <f t="shared" si="72"/>
        <v>2.2385561646420533</v>
      </c>
      <c r="AB120" s="37">
        <v>0</v>
      </c>
      <c r="AC120" s="37">
        <f t="shared" si="79"/>
        <v>4.4599089950086761E-2</v>
      </c>
      <c r="AD120" s="40">
        <f t="shared" si="62"/>
        <v>4.4599089950086761E-2</v>
      </c>
      <c r="AE120" s="39">
        <f t="shared" si="70"/>
        <v>0.52865497076023404</v>
      </c>
      <c r="AF120" s="37">
        <f t="shared" si="63"/>
        <v>1.0966640727869521</v>
      </c>
      <c r="AG120" s="37">
        <f t="shared" si="80"/>
        <v>5.5322916072916605E-3</v>
      </c>
      <c r="AH120" s="37">
        <f t="shared" si="81"/>
        <v>9.6815381017131927E-2</v>
      </c>
      <c r="AI120" s="40">
        <f t="shared" si="64"/>
        <v>0.10234767262442358</v>
      </c>
      <c r="AJ120" s="39">
        <f t="shared" si="65"/>
        <v>1.6740740740740745</v>
      </c>
      <c r="AK120" s="37">
        <f t="shared" si="82"/>
        <v>1.9515280202229417</v>
      </c>
      <c r="AL120" s="37">
        <f t="shared" si="83"/>
        <v>0.87386666666666668</v>
      </c>
      <c r="AM120" s="37">
        <f t="shared" si="84"/>
        <v>2.4552000000000001E-2</v>
      </c>
      <c r="AN120" s="40">
        <f t="shared" si="66"/>
        <v>0.8984186666666667</v>
      </c>
      <c r="AO120" s="39">
        <f t="shared" si="85"/>
        <v>2.4053441770833305E-2</v>
      </c>
      <c r="AP120" s="37">
        <f t="shared" si="86"/>
        <v>0.11701800000000001</v>
      </c>
      <c r="AQ120" s="40">
        <f t="shared" si="87"/>
        <v>1.7099999999999999E-3</v>
      </c>
      <c r="AR120" s="39">
        <f t="shared" si="67"/>
        <v>1.1881468710120107</v>
      </c>
      <c r="AS120" s="37">
        <f t="shared" si="68"/>
        <v>7.5333333333333341</v>
      </c>
      <c r="AT120" s="40">
        <f t="shared" si="69"/>
        <v>86.37677500637983</v>
      </c>
    </row>
    <row r="121" spans="17:46" x14ac:dyDescent="0.2">
      <c r="Q121">
        <v>114</v>
      </c>
      <c r="R121" s="39">
        <f t="shared" si="45"/>
        <v>5</v>
      </c>
      <c r="S121" s="37">
        <f t="shared" si="73"/>
        <v>1.52</v>
      </c>
      <c r="T121" s="37">
        <f t="shared" si="47"/>
        <v>3.8</v>
      </c>
      <c r="U121" s="40">
        <f t="shared" si="74"/>
        <v>2.2222222222222223</v>
      </c>
      <c r="V121" s="39">
        <f t="shared" si="75"/>
        <v>2</v>
      </c>
      <c r="W121" s="37">
        <f t="shared" si="76"/>
        <v>0.24</v>
      </c>
      <c r="X121" s="40">
        <f t="shared" si="77"/>
        <v>0.76</v>
      </c>
      <c r="Y121" s="39">
        <f t="shared" si="78"/>
        <v>1.3818181818181816</v>
      </c>
      <c r="Z121" s="37">
        <f t="shared" si="71"/>
        <v>2.9131313131313132</v>
      </c>
      <c r="AA121" s="37">
        <f t="shared" si="72"/>
        <v>2.2577400342463143</v>
      </c>
      <c r="AB121" s="37">
        <v>0</v>
      </c>
      <c r="AC121" s="37">
        <f t="shared" si="79"/>
        <v>4.5366771553923081E-2</v>
      </c>
      <c r="AD121" s="40">
        <f t="shared" si="62"/>
        <v>4.5366771553923081E-2</v>
      </c>
      <c r="AE121" s="39">
        <f t="shared" si="70"/>
        <v>0.53333333333333333</v>
      </c>
      <c r="AF121" s="37">
        <f t="shared" si="63"/>
        <v>1.1060622111514575</v>
      </c>
      <c r="AG121" s="37">
        <f t="shared" si="80"/>
        <v>5.6275186287113562E-3</v>
      </c>
      <c r="AH121" s="37">
        <f t="shared" si="81"/>
        <v>9.7672154300469355E-2</v>
      </c>
      <c r="AI121" s="40">
        <f t="shared" si="64"/>
        <v>0.10329967292918071</v>
      </c>
      <c r="AJ121" s="39">
        <f t="shared" si="65"/>
        <v>1.6888888888888889</v>
      </c>
      <c r="AK121" s="37">
        <f t="shared" si="82"/>
        <v>1.9682521300131486</v>
      </c>
      <c r="AL121" s="37">
        <f t="shared" si="83"/>
        <v>0.88159999999999994</v>
      </c>
      <c r="AM121" s="37">
        <f t="shared" si="84"/>
        <v>2.4552000000000001E-2</v>
      </c>
      <c r="AN121" s="40">
        <f t="shared" si="66"/>
        <v>0.90615199999999996</v>
      </c>
      <c r="AO121" s="39">
        <f t="shared" si="85"/>
        <v>2.4467472298745029E-2</v>
      </c>
      <c r="AP121" s="37">
        <f t="shared" si="86"/>
        <v>0.11701800000000001</v>
      </c>
      <c r="AQ121" s="40">
        <f t="shared" si="87"/>
        <v>1.7099999999999999E-3</v>
      </c>
      <c r="AR121" s="39">
        <f t="shared" si="67"/>
        <v>1.1980139167818489</v>
      </c>
      <c r="AS121" s="37">
        <f t="shared" si="68"/>
        <v>7.6</v>
      </c>
      <c r="AT121" s="40">
        <f t="shared" si="69"/>
        <v>86.383132282881633</v>
      </c>
    </row>
    <row r="122" spans="17:46" x14ac:dyDescent="0.2">
      <c r="Q122">
        <v>115</v>
      </c>
      <c r="R122" s="39">
        <f t="shared" si="45"/>
        <v>5</v>
      </c>
      <c r="S122" s="37">
        <f t="shared" si="73"/>
        <v>1.5333333333333334</v>
      </c>
      <c r="T122" s="37">
        <f t="shared" si="47"/>
        <v>3.8</v>
      </c>
      <c r="U122" s="40">
        <f t="shared" si="74"/>
        <v>2.2417153996101367</v>
      </c>
      <c r="V122" s="39">
        <f t="shared" si="75"/>
        <v>2</v>
      </c>
      <c r="W122" s="37">
        <f t="shared" si="76"/>
        <v>0.24</v>
      </c>
      <c r="X122" s="40">
        <f t="shared" si="77"/>
        <v>0.76</v>
      </c>
      <c r="Y122" s="39">
        <f t="shared" si="78"/>
        <v>1.3818181818181816</v>
      </c>
      <c r="Z122" s="37">
        <f t="shared" si="71"/>
        <v>2.9326244905192276</v>
      </c>
      <c r="AA122" s="37">
        <f t="shared" si="72"/>
        <v>2.2769291579119253</v>
      </c>
      <c r="AB122" s="37">
        <v>0</v>
      </c>
      <c r="AC122" s="37">
        <f t="shared" si="79"/>
        <v>4.614121687233063E-2</v>
      </c>
      <c r="AD122" s="40">
        <f t="shared" si="62"/>
        <v>4.614121687233063E-2</v>
      </c>
      <c r="AE122" s="39">
        <f t="shared" si="70"/>
        <v>0.53801169590643283</v>
      </c>
      <c r="AF122" s="37">
        <f t="shared" si="63"/>
        <v>1.1154629234698401</v>
      </c>
      <c r="AG122" s="37">
        <f t="shared" si="80"/>
        <v>5.7235846547250583E-3</v>
      </c>
      <c r="AH122" s="37">
        <f t="shared" si="81"/>
        <v>9.8528927583806797E-2</v>
      </c>
      <c r="AI122" s="40">
        <f t="shared" si="64"/>
        <v>0.10425251223853185</v>
      </c>
      <c r="AJ122" s="39">
        <f t="shared" si="65"/>
        <v>1.7037037037037039</v>
      </c>
      <c r="AK122" s="37">
        <f t="shared" si="82"/>
        <v>1.9849808201878496</v>
      </c>
      <c r="AL122" s="37">
        <f t="shared" si="83"/>
        <v>0.88933333333333331</v>
      </c>
      <c r="AM122" s="37">
        <f t="shared" si="84"/>
        <v>2.4552000000000001E-2</v>
      </c>
      <c r="AN122" s="40">
        <f t="shared" si="66"/>
        <v>0.91388533333333333</v>
      </c>
      <c r="AO122" s="39">
        <f t="shared" si="85"/>
        <v>2.4885150672717647E-2</v>
      </c>
      <c r="AP122" s="37">
        <f t="shared" si="86"/>
        <v>0.11701800000000001</v>
      </c>
      <c r="AQ122" s="40">
        <f t="shared" si="87"/>
        <v>1.7099999999999999E-3</v>
      </c>
      <c r="AR122" s="39">
        <f t="shared" si="67"/>
        <v>1.2078922131169136</v>
      </c>
      <c r="AS122" s="37">
        <f t="shared" si="68"/>
        <v>7.666666666666667</v>
      </c>
      <c r="AT122" s="40">
        <f t="shared" si="69"/>
        <v>86.389270391021725</v>
      </c>
    </row>
    <row r="123" spans="17:46" x14ac:dyDescent="0.2">
      <c r="Q123">
        <v>116</v>
      </c>
      <c r="R123" s="39">
        <f t="shared" si="45"/>
        <v>5</v>
      </c>
      <c r="S123" s="37">
        <f t="shared" si="73"/>
        <v>1.5466666666666669</v>
      </c>
      <c r="T123" s="37">
        <f t="shared" si="47"/>
        <v>3.8</v>
      </c>
      <c r="U123" s="40">
        <f t="shared" si="74"/>
        <v>2.261208576998051</v>
      </c>
      <c r="V123" s="39">
        <f t="shared" si="75"/>
        <v>2</v>
      </c>
      <c r="W123" s="37">
        <f t="shared" si="76"/>
        <v>0.24</v>
      </c>
      <c r="X123" s="40">
        <f t="shared" si="77"/>
        <v>0.76</v>
      </c>
      <c r="Y123" s="39">
        <f t="shared" si="78"/>
        <v>1.3818181818181816</v>
      </c>
      <c r="Z123" s="37">
        <f t="shared" si="71"/>
        <v>2.9521176679071419</v>
      </c>
      <c r="AA123" s="37">
        <f t="shared" si="72"/>
        <v>2.2961234039114329</v>
      </c>
      <c r="AB123" s="37">
        <v>0</v>
      </c>
      <c r="AC123" s="37">
        <f t="shared" si="79"/>
        <v>4.6922425905309442E-2</v>
      </c>
      <c r="AD123" s="40">
        <f t="shared" si="62"/>
        <v>4.6922425905309442E-2</v>
      </c>
      <c r="AE123" s="39">
        <f t="shared" si="70"/>
        <v>0.54269005847953222</v>
      </c>
      <c r="AF123" s="37">
        <f t="shared" si="63"/>
        <v>1.1248661452090905</v>
      </c>
      <c r="AG123" s="37">
        <f t="shared" si="80"/>
        <v>5.8204896853327696E-3</v>
      </c>
      <c r="AH123" s="37">
        <f t="shared" si="81"/>
        <v>9.9385700867144267E-2</v>
      </c>
      <c r="AI123" s="40">
        <f t="shared" si="64"/>
        <v>0.10520619055247704</v>
      </c>
      <c r="AJ123" s="39">
        <f t="shared" si="65"/>
        <v>1.7185185185185188</v>
      </c>
      <c r="AK123" s="37">
        <f t="shared" si="82"/>
        <v>2.0017139759097122</v>
      </c>
      <c r="AL123" s="37">
        <f t="shared" si="83"/>
        <v>0.89706666666666668</v>
      </c>
      <c r="AM123" s="37">
        <f t="shared" si="84"/>
        <v>2.4552000000000001E-2</v>
      </c>
      <c r="AN123" s="40">
        <f t="shared" si="66"/>
        <v>0.9216186666666667</v>
      </c>
      <c r="AO123" s="39">
        <f t="shared" si="85"/>
        <v>2.5306476892751173E-2</v>
      </c>
      <c r="AP123" s="37">
        <f t="shared" si="86"/>
        <v>0.11701800000000001</v>
      </c>
      <c r="AQ123" s="40">
        <f t="shared" si="87"/>
        <v>1.7099999999999999E-3</v>
      </c>
      <c r="AR123" s="39">
        <f t="shared" si="67"/>
        <v>1.2177817600172045</v>
      </c>
      <c r="AS123" s="37">
        <f t="shared" si="68"/>
        <v>7.7333333333333343</v>
      </c>
      <c r="AT123" s="40">
        <f t="shared" si="69"/>
        <v>86.395194930273533</v>
      </c>
    </row>
    <row r="124" spans="17:46" x14ac:dyDescent="0.2">
      <c r="Q124">
        <v>117</v>
      </c>
      <c r="R124" s="39">
        <f t="shared" si="45"/>
        <v>5</v>
      </c>
      <c r="S124" s="37">
        <f t="shared" si="73"/>
        <v>1.56</v>
      </c>
      <c r="T124" s="37">
        <f t="shared" si="47"/>
        <v>3.8</v>
      </c>
      <c r="U124" s="40">
        <f t="shared" si="74"/>
        <v>2.2807017543859653</v>
      </c>
      <c r="V124" s="39">
        <f t="shared" si="75"/>
        <v>2</v>
      </c>
      <c r="W124" s="37">
        <f t="shared" si="76"/>
        <v>0.24</v>
      </c>
      <c r="X124" s="40">
        <f t="shared" si="77"/>
        <v>0.76</v>
      </c>
      <c r="Y124" s="39">
        <f t="shared" si="78"/>
        <v>1.3818181818181816</v>
      </c>
      <c r="Z124" s="37">
        <f t="shared" si="71"/>
        <v>2.9716108452950563</v>
      </c>
      <c r="AA124" s="37">
        <f t="shared" si="72"/>
        <v>2.3153226448509279</v>
      </c>
      <c r="AB124" s="37">
        <v>0</v>
      </c>
      <c r="AC124" s="37">
        <f t="shared" si="79"/>
        <v>4.7710398652859518E-2</v>
      </c>
      <c r="AD124" s="40">
        <f t="shared" si="62"/>
        <v>4.7710398652859518E-2</v>
      </c>
      <c r="AE124" s="39">
        <f t="shared" si="70"/>
        <v>0.54736842105263162</v>
      </c>
      <c r="AF124" s="37">
        <f t="shared" si="63"/>
        <v>1.1342718139591934</v>
      </c>
      <c r="AG124" s="37">
        <f t="shared" si="80"/>
        <v>5.9182337205344838E-3</v>
      </c>
      <c r="AH124" s="37">
        <f t="shared" si="81"/>
        <v>0.10024247415048172</v>
      </c>
      <c r="AI124" s="40">
        <f t="shared" si="64"/>
        <v>0.10616070787101621</v>
      </c>
      <c r="AJ124" s="39">
        <f t="shared" si="65"/>
        <v>1.7333333333333336</v>
      </c>
      <c r="AK124" s="37">
        <f t="shared" si="82"/>
        <v>2.0184514861193015</v>
      </c>
      <c r="AL124" s="37">
        <f t="shared" si="83"/>
        <v>0.90479999999999994</v>
      </c>
      <c r="AM124" s="37">
        <f t="shared" si="84"/>
        <v>2.4552000000000001E-2</v>
      </c>
      <c r="AN124" s="40">
        <f t="shared" si="66"/>
        <v>0.92935199999999996</v>
      </c>
      <c r="AO124" s="39">
        <f t="shared" si="85"/>
        <v>2.5731450958845582E-2</v>
      </c>
      <c r="AP124" s="37">
        <f t="shared" si="86"/>
        <v>0.11701800000000001</v>
      </c>
      <c r="AQ124" s="40">
        <f t="shared" si="87"/>
        <v>1.7099999999999999E-3</v>
      </c>
      <c r="AR124" s="39">
        <f t="shared" si="67"/>
        <v>1.2276825574827215</v>
      </c>
      <c r="AS124" s="37">
        <f t="shared" si="68"/>
        <v>7.8000000000000007</v>
      </c>
      <c r="AT124" s="40">
        <f t="shared" si="69"/>
        <v>86.400911311783574</v>
      </c>
    </row>
    <row r="125" spans="17:46" x14ac:dyDescent="0.2">
      <c r="Q125">
        <v>118</v>
      </c>
      <c r="R125" s="39">
        <f t="shared" si="45"/>
        <v>5</v>
      </c>
      <c r="S125" s="37">
        <f t="shared" si="73"/>
        <v>1.5733333333333335</v>
      </c>
      <c r="T125" s="37">
        <f t="shared" si="47"/>
        <v>3.8</v>
      </c>
      <c r="U125" s="40">
        <f t="shared" si="74"/>
        <v>2.3001949317738792</v>
      </c>
      <c r="V125" s="39">
        <f t="shared" si="75"/>
        <v>2</v>
      </c>
      <c r="W125" s="37">
        <f t="shared" si="76"/>
        <v>0.24</v>
      </c>
      <c r="X125" s="40">
        <f t="shared" si="77"/>
        <v>0.76</v>
      </c>
      <c r="Y125" s="39">
        <f t="shared" si="78"/>
        <v>1.3818181818181816</v>
      </c>
      <c r="Z125" s="37">
        <f t="shared" si="71"/>
        <v>2.9911040226829702</v>
      </c>
      <c r="AA125" s="37">
        <f t="shared" si="72"/>
        <v>2.3345267574946567</v>
      </c>
      <c r="AB125" s="37">
        <v>0</v>
      </c>
      <c r="AC125" s="37">
        <f t="shared" si="79"/>
        <v>4.8505135114980787E-2</v>
      </c>
      <c r="AD125" s="40">
        <f t="shared" si="62"/>
        <v>4.8505135114980787E-2</v>
      </c>
      <c r="AE125" s="39">
        <f t="shared" si="70"/>
        <v>0.55204678362573101</v>
      </c>
      <c r="AF125" s="37">
        <f t="shared" si="63"/>
        <v>1.1436798693472068</v>
      </c>
      <c r="AG125" s="37">
        <f t="shared" si="80"/>
        <v>6.0168167603302019E-3</v>
      </c>
      <c r="AH125" s="37">
        <f t="shared" si="81"/>
        <v>0.10109924743381915</v>
      </c>
      <c r="AI125" s="40">
        <f t="shared" si="64"/>
        <v>0.10711606419414935</v>
      </c>
      <c r="AJ125" s="39">
        <f t="shared" si="65"/>
        <v>1.7481481481481482</v>
      </c>
      <c r="AK125" s="37">
        <f t="shared" si="82"/>
        <v>2.0351932433821789</v>
      </c>
      <c r="AL125" s="37">
        <f t="shared" si="83"/>
        <v>0.91253333333333331</v>
      </c>
      <c r="AM125" s="37">
        <f t="shared" si="84"/>
        <v>2.4552000000000001E-2</v>
      </c>
      <c r="AN125" s="40">
        <f t="shared" si="66"/>
        <v>0.93708533333333333</v>
      </c>
      <c r="AO125" s="39">
        <f t="shared" si="85"/>
        <v>2.6160072871000879E-2</v>
      </c>
      <c r="AP125" s="37">
        <f t="shared" si="86"/>
        <v>0.11701800000000001</v>
      </c>
      <c r="AQ125" s="40">
        <f t="shared" si="87"/>
        <v>1.7099999999999999E-3</v>
      </c>
      <c r="AR125" s="39">
        <f t="shared" si="67"/>
        <v>1.2375946055134646</v>
      </c>
      <c r="AS125" s="37">
        <f t="shared" si="68"/>
        <v>7.8666666666666671</v>
      </c>
      <c r="AT125" s="40">
        <f t="shared" si="69"/>
        <v>86.406424766222614</v>
      </c>
    </row>
    <row r="126" spans="17:46" x14ac:dyDescent="0.2">
      <c r="Q126">
        <v>119</v>
      </c>
      <c r="R126" s="39">
        <f t="shared" si="45"/>
        <v>5</v>
      </c>
      <c r="S126" s="37">
        <f t="shared" si="73"/>
        <v>1.5866666666666667</v>
      </c>
      <c r="T126" s="37">
        <f t="shared" si="47"/>
        <v>3.8</v>
      </c>
      <c r="U126" s="40">
        <f t="shared" si="74"/>
        <v>2.3196881091617936</v>
      </c>
      <c r="V126" s="39">
        <f t="shared" si="75"/>
        <v>2</v>
      </c>
      <c r="W126" s="37">
        <f t="shared" si="76"/>
        <v>0.24</v>
      </c>
      <c r="X126" s="40">
        <f t="shared" si="77"/>
        <v>0.76</v>
      </c>
      <c r="Y126" s="39">
        <f t="shared" si="78"/>
        <v>1.3818181818181816</v>
      </c>
      <c r="Z126" s="37">
        <f t="shared" si="71"/>
        <v>3.0105972000708845</v>
      </c>
      <c r="AA126" s="37">
        <f t="shared" si="72"/>
        <v>2.3537356225980206</v>
      </c>
      <c r="AB126" s="37">
        <v>0</v>
      </c>
      <c r="AC126" s="37">
        <f t="shared" si="79"/>
        <v>4.930663529167334E-2</v>
      </c>
      <c r="AD126" s="40">
        <f t="shared" si="62"/>
        <v>4.930663529167334E-2</v>
      </c>
      <c r="AE126" s="39">
        <f t="shared" si="70"/>
        <v>0.5567251461988304</v>
      </c>
      <c r="AF126" s="37">
        <f t="shared" si="63"/>
        <v>1.1530902529554459</v>
      </c>
      <c r="AG126" s="37">
        <f t="shared" si="80"/>
        <v>6.1162388047199291E-3</v>
      </c>
      <c r="AH126" s="37">
        <f t="shared" si="81"/>
        <v>0.10195602071715662</v>
      </c>
      <c r="AI126" s="40">
        <f t="shared" si="64"/>
        <v>0.10807225952187655</v>
      </c>
      <c r="AJ126" s="39">
        <f t="shared" si="65"/>
        <v>1.7629629629629631</v>
      </c>
      <c r="AK126" s="37">
        <f t="shared" si="82"/>
        <v>2.0519391437433123</v>
      </c>
      <c r="AL126" s="37">
        <f t="shared" si="83"/>
        <v>0.92026666666666657</v>
      </c>
      <c r="AM126" s="37">
        <f t="shared" si="84"/>
        <v>2.4552000000000001E-2</v>
      </c>
      <c r="AN126" s="40">
        <f t="shared" si="66"/>
        <v>0.94481866666666658</v>
      </c>
      <c r="AO126" s="39">
        <f t="shared" si="85"/>
        <v>2.6592342629217086E-2</v>
      </c>
      <c r="AP126" s="37">
        <f t="shared" si="86"/>
        <v>0.11701800000000001</v>
      </c>
      <c r="AQ126" s="40">
        <f t="shared" si="87"/>
        <v>1.7099999999999999E-3</v>
      </c>
      <c r="AR126" s="39">
        <f t="shared" si="67"/>
        <v>1.2475179041094338</v>
      </c>
      <c r="AS126" s="37">
        <f t="shared" si="68"/>
        <v>7.9333333333333336</v>
      </c>
      <c r="AT126" s="40">
        <f t="shared" si="69"/>
        <v>86.411740351247474</v>
      </c>
    </row>
    <row r="127" spans="17:46" x14ac:dyDescent="0.2">
      <c r="Q127">
        <v>120</v>
      </c>
      <c r="R127" s="39">
        <f t="shared" si="45"/>
        <v>5</v>
      </c>
      <c r="S127" s="37">
        <f t="shared" si="73"/>
        <v>1.6</v>
      </c>
      <c r="T127" s="37">
        <f t="shared" si="47"/>
        <v>3.8</v>
      </c>
      <c r="U127" s="40">
        <f t="shared" si="74"/>
        <v>2.3391812865497075</v>
      </c>
      <c r="V127" s="39">
        <f t="shared" si="75"/>
        <v>2</v>
      </c>
      <c r="W127" s="37">
        <f t="shared" si="76"/>
        <v>0.24</v>
      </c>
      <c r="X127" s="40">
        <f t="shared" si="77"/>
        <v>0.76</v>
      </c>
      <c r="Y127" s="39">
        <f t="shared" si="78"/>
        <v>1.3818181818181816</v>
      </c>
      <c r="Z127" s="37">
        <f t="shared" si="71"/>
        <v>3.0300903774587984</v>
      </c>
      <c r="AA127" s="37">
        <f t="shared" si="72"/>
        <v>2.3729491247484891</v>
      </c>
      <c r="AB127" s="37">
        <v>0</v>
      </c>
      <c r="AC127" s="37">
        <f t="shared" si="79"/>
        <v>5.0114899182937114E-2</v>
      </c>
      <c r="AD127" s="40">
        <f t="shared" si="62"/>
        <v>5.0114899182937114E-2</v>
      </c>
      <c r="AE127" s="39">
        <f t="shared" si="70"/>
        <v>0.56140350877192979</v>
      </c>
      <c r="AF127" s="37">
        <f t="shared" si="63"/>
        <v>1.1625029082435487</v>
      </c>
      <c r="AG127" s="37">
        <f t="shared" si="80"/>
        <v>6.2164998537036602E-3</v>
      </c>
      <c r="AH127" s="37">
        <f t="shared" si="81"/>
        <v>0.10281279400049405</v>
      </c>
      <c r="AI127" s="40">
        <f t="shared" si="64"/>
        <v>0.10902929385419771</v>
      </c>
      <c r="AJ127" s="39">
        <f t="shared" si="65"/>
        <v>1.7777777777777777</v>
      </c>
      <c r="AK127" s="37">
        <f t="shared" si="82"/>
        <v>2.0686890865883907</v>
      </c>
      <c r="AL127" s="37">
        <f t="shared" si="83"/>
        <v>0.92799999999999994</v>
      </c>
      <c r="AM127" s="37">
        <f t="shared" si="84"/>
        <v>2.4552000000000001E-2</v>
      </c>
      <c r="AN127" s="40">
        <f t="shared" si="66"/>
        <v>0.95255199999999995</v>
      </c>
      <c r="AO127" s="39">
        <f t="shared" si="85"/>
        <v>2.7028260233494174E-2</v>
      </c>
      <c r="AP127" s="37">
        <f t="shared" si="86"/>
        <v>0.11701800000000001</v>
      </c>
      <c r="AQ127" s="40">
        <f t="shared" si="87"/>
        <v>1.7099999999999999E-3</v>
      </c>
      <c r="AR127" s="39">
        <f t="shared" si="67"/>
        <v>1.2574524532706293</v>
      </c>
      <c r="AS127" s="37">
        <f t="shared" si="68"/>
        <v>8</v>
      </c>
      <c r="AT127" s="40">
        <f t="shared" si="69"/>
        <v>86.416862958595317</v>
      </c>
    </row>
    <row r="128" spans="17:46" x14ac:dyDescent="0.2">
      <c r="Q128">
        <v>121</v>
      </c>
      <c r="R128" s="39">
        <f t="shared" si="45"/>
        <v>5</v>
      </c>
      <c r="S128" s="37">
        <f t="shared" si="73"/>
        <v>1.6133333333333335</v>
      </c>
      <c r="T128" s="37">
        <f t="shared" si="47"/>
        <v>3.8</v>
      </c>
      <c r="U128" s="40">
        <f t="shared" si="74"/>
        <v>2.3586744639376223</v>
      </c>
      <c r="V128" s="39">
        <f t="shared" si="75"/>
        <v>2</v>
      </c>
      <c r="W128" s="37">
        <f t="shared" si="76"/>
        <v>0.24</v>
      </c>
      <c r="X128" s="40">
        <f t="shared" si="77"/>
        <v>0.76</v>
      </c>
      <c r="Y128" s="39">
        <f t="shared" si="78"/>
        <v>1.3818181818181816</v>
      </c>
      <c r="Z128" s="37">
        <f t="shared" si="71"/>
        <v>3.0495835548467132</v>
      </c>
      <c r="AA128" s="37">
        <f t="shared" si="72"/>
        <v>2.392167152214014</v>
      </c>
      <c r="AB128" s="37">
        <v>0</v>
      </c>
      <c r="AC128" s="37">
        <f t="shared" si="79"/>
        <v>5.092992678877218E-2</v>
      </c>
      <c r="AD128" s="40">
        <f t="shared" si="62"/>
        <v>5.092992678877218E-2</v>
      </c>
      <c r="AE128" s="39">
        <f t="shared" si="70"/>
        <v>0.5660818713450293</v>
      </c>
      <c r="AF128" s="37">
        <f t="shared" si="63"/>
        <v>1.1719177804742145</v>
      </c>
      <c r="AG128" s="37">
        <f t="shared" si="80"/>
        <v>6.317599907281402E-3</v>
      </c>
      <c r="AH128" s="37">
        <f t="shared" si="81"/>
        <v>0.10366956728383152</v>
      </c>
      <c r="AI128" s="40">
        <f t="shared" si="64"/>
        <v>0.10998716719111291</v>
      </c>
      <c r="AJ128" s="39">
        <f t="shared" si="65"/>
        <v>1.792592592592593</v>
      </c>
      <c r="AK128" s="37">
        <f t="shared" si="82"/>
        <v>2.0854429745116732</v>
      </c>
      <c r="AL128" s="37">
        <f t="shared" si="83"/>
        <v>0.93573333333333342</v>
      </c>
      <c r="AM128" s="37">
        <f t="shared" si="84"/>
        <v>2.4552000000000001E-2</v>
      </c>
      <c r="AN128" s="40">
        <f t="shared" si="66"/>
        <v>0.96028533333333344</v>
      </c>
      <c r="AO128" s="39">
        <f t="shared" si="85"/>
        <v>2.7467825683832183E-2</v>
      </c>
      <c r="AP128" s="37">
        <f t="shared" si="86"/>
        <v>0.11701800000000001</v>
      </c>
      <c r="AQ128" s="40">
        <f t="shared" si="87"/>
        <v>1.7099999999999999E-3</v>
      </c>
      <c r="AR128" s="39">
        <f t="shared" si="67"/>
        <v>1.2673982529970509</v>
      </c>
      <c r="AS128" s="37">
        <f t="shared" si="68"/>
        <v>8.0666666666666682</v>
      </c>
      <c r="AT128" s="40">
        <f t="shared" si="69"/>
        <v>86.421797320832098</v>
      </c>
    </row>
    <row r="129" spans="17:46" x14ac:dyDescent="0.2">
      <c r="Q129">
        <v>122</v>
      </c>
      <c r="R129" s="39">
        <f t="shared" si="45"/>
        <v>5</v>
      </c>
      <c r="S129" s="37">
        <f t="shared" si="73"/>
        <v>1.6266666666666667</v>
      </c>
      <c r="T129" s="37">
        <f t="shared" si="47"/>
        <v>3.8</v>
      </c>
      <c r="U129" s="40">
        <f t="shared" si="74"/>
        <v>2.3781676413255362</v>
      </c>
      <c r="V129" s="39">
        <f t="shared" si="75"/>
        <v>2</v>
      </c>
      <c r="W129" s="37">
        <f t="shared" si="76"/>
        <v>0.24</v>
      </c>
      <c r="X129" s="40">
        <f t="shared" si="77"/>
        <v>0.76</v>
      </c>
      <c r="Y129" s="39">
        <f t="shared" si="78"/>
        <v>1.3818181818181816</v>
      </c>
      <c r="Z129" s="37">
        <f t="shared" si="71"/>
        <v>3.0690767322346271</v>
      </c>
      <c r="AA129" s="37">
        <f t="shared" si="72"/>
        <v>2.4113895967985224</v>
      </c>
      <c r="AB129" s="37">
        <v>0</v>
      </c>
      <c r="AC129" s="37">
        <f t="shared" si="79"/>
        <v>5.1751718109178446E-2</v>
      </c>
      <c r="AD129" s="40">
        <f t="shared" si="62"/>
        <v>5.1751718109178446E-2</v>
      </c>
      <c r="AE129" s="39">
        <f t="shared" si="70"/>
        <v>0.57076023391812869</v>
      </c>
      <c r="AF129" s="37">
        <f t="shared" si="63"/>
        <v>1.1813348166424087</v>
      </c>
      <c r="AG129" s="37">
        <f t="shared" si="80"/>
        <v>6.4195389654531452E-3</v>
      </c>
      <c r="AH129" s="37">
        <f t="shared" si="81"/>
        <v>0.10452634056716896</v>
      </c>
      <c r="AI129" s="40">
        <f t="shared" si="64"/>
        <v>0.11094587953262211</v>
      </c>
      <c r="AJ129" s="39">
        <f t="shared" si="65"/>
        <v>1.8074074074074076</v>
      </c>
      <c r="AK129" s="37">
        <f t="shared" si="82"/>
        <v>2.10220071319001</v>
      </c>
      <c r="AL129" s="37">
        <f t="shared" si="83"/>
        <v>0.94346666666666668</v>
      </c>
      <c r="AM129" s="37">
        <f t="shared" si="84"/>
        <v>2.4552000000000001E-2</v>
      </c>
      <c r="AN129" s="40">
        <f t="shared" si="66"/>
        <v>0.96801866666666669</v>
      </c>
      <c r="AO129" s="39">
        <f t="shared" si="85"/>
        <v>2.7911038980231066E-2</v>
      </c>
      <c r="AP129" s="37">
        <f t="shared" si="86"/>
        <v>0.11701800000000001</v>
      </c>
      <c r="AQ129" s="40">
        <f t="shared" si="87"/>
        <v>1.7099999999999999E-3</v>
      </c>
      <c r="AR129" s="39">
        <f t="shared" si="67"/>
        <v>1.2773553032886984</v>
      </c>
      <c r="AS129" s="37">
        <f t="shared" si="68"/>
        <v>8.1333333333333329</v>
      </c>
      <c r="AT129" s="40">
        <f t="shared" si="69"/>
        <v>86.426548017773911</v>
      </c>
    </row>
    <row r="130" spans="17:46" x14ac:dyDescent="0.2">
      <c r="Q130">
        <v>123</v>
      </c>
      <c r="R130" s="39">
        <f t="shared" si="45"/>
        <v>5</v>
      </c>
      <c r="S130" s="37">
        <f t="shared" si="73"/>
        <v>1.6400000000000001</v>
      </c>
      <c r="T130" s="37">
        <f t="shared" si="47"/>
        <v>3.8</v>
      </c>
      <c r="U130" s="40">
        <f t="shared" si="74"/>
        <v>2.3976608187134505</v>
      </c>
      <c r="V130" s="39">
        <f t="shared" si="75"/>
        <v>2</v>
      </c>
      <c r="W130" s="37">
        <f t="shared" si="76"/>
        <v>0.24</v>
      </c>
      <c r="X130" s="40">
        <f t="shared" si="77"/>
        <v>0.76</v>
      </c>
      <c r="Y130" s="39">
        <f t="shared" si="78"/>
        <v>1.3818181818181816</v>
      </c>
      <c r="Z130" s="37">
        <f t="shared" si="71"/>
        <v>3.0885699096225414</v>
      </c>
      <c r="AA130" s="37">
        <f t="shared" si="72"/>
        <v>2.4306163537041234</v>
      </c>
      <c r="AB130" s="37">
        <v>0</v>
      </c>
      <c r="AC130" s="37">
        <f t="shared" si="79"/>
        <v>5.2580273144155962E-2</v>
      </c>
      <c r="AD130" s="40">
        <f t="shared" si="62"/>
        <v>5.2580273144155962E-2</v>
      </c>
      <c r="AE130" s="39">
        <f t="shared" si="70"/>
        <v>0.57543859649122808</v>
      </c>
      <c r="AF130" s="37">
        <f t="shared" si="63"/>
        <v>1.19075396540786</v>
      </c>
      <c r="AG130" s="37">
        <f t="shared" si="80"/>
        <v>6.5223170282188991E-3</v>
      </c>
      <c r="AH130" s="37">
        <f t="shared" si="81"/>
        <v>0.10538311385050642</v>
      </c>
      <c r="AI130" s="40">
        <f t="shared" si="64"/>
        <v>0.11190543087872531</v>
      </c>
      <c r="AJ130" s="39">
        <f t="shared" si="65"/>
        <v>1.8222222222222224</v>
      </c>
      <c r="AK130" s="37">
        <f t="shared" si="82"/>
        <v>2.1189622112627178</v>
      </c>
      <c r="AL130" s="37">
        <f t="shared" si="83"/>
        <v>0.95120000000000005</v>
      </c>
      <c r="AM130" s="37">
        <f t="shared" si="84"/>
        <v>2.4552000000000001E-2</v>
      </c>
      <c r="AN130" s="40">
        <f t="shared" si="66"/>
        <v>0.97575200000000006</v>
      </c>
      <c r="AO130" s="39">
        <f t="shared" si="85"/>
        <v>2.8357900122690866E-2</v>
      </c>
      <c r="AP130" s="37">
        <f t="shared" si="86"/>
        <v>0.11701800000000001</v>
      </c>
      <c r="AQ130" s="40">
        <f t="shared" si="87"/>
        <v>1.7099999999999999E-3</v>
      </c>
      <c r="AR130" s="39">
        <f t="shared" si="67"/>
        <v>1.2873236041455725</v>
      </c>
      <c r="AS130" s="37">
        <f t="shared" si="68"/>
        <v>8.2000000000000011</v>
      </c>
      <c r="AT130" s="40">
        <f t="shared" si="69"/>
        <v>86.431119482600309</v>
      </c>
    </row>
    <row r="131" spans="17:46" x14ac:dyDescent="0.2">
      <c r="Q131">
        <v>124</v>
      </c>
      <c r="R131" s="39">
        <f t="shared" si="45"/>
        <v>5</v>
      </c>
      <c r="S131" s="37">
        <f t="shared" si="73"/>
        <v>1.6533333333333335</v>
      </c>
      <c r="T131" s="37">
        <f t="shared" si="47"/>
        <v>3.8</v>
      </c>
      <c r="U131" s="40">
        <f t="shared" si="74"/>
        <v>2.4171539961013648</v>
      </c>
      <c r="V131" s="39">
        <f t="shared" si="75"/>
        <v>2</v>
      </c>
      <c r="W131" s="37">
        <f t="shared" si="76"/>
        <v>0.24</v>
      </c>
      <c r="X131" s="40">
        <f t="shared" si="77"/>
        <v>0.76</v>
      </c>
      <c r="Y131" s="39">
        <f t="shared" si="78"/>
        <v>1.3818181818181816</v>
      </c>
      <c r="Z131" s="37">
        <f t="shared" si="71"/>
        <v>3.1080630870104557</v>
      </c>
      <c r="AA131" s="37">
        <f t="shared" si="72"/>
        <v>2.4498473213996563</v>
      </c>
      <c r="AB131" s="37">
        <v>0</v>
      </c>
      <c r="AC131" s="37">
        <f t="shared" si="79"/>
        <v>5.3415591893704734E-2</v>
      </c>
      <c r="AD131" s="40">
        <f t="shared" si="62"/>
        <v>5.3415591893704734E-2</v>
      </c>
      <c r="AE131" s="39">
        <f t="shared" si="70"/>
        <v>0.58011695906432759</v>
      </c>
      <c r="AF131" s="37">
        <f t="shared" si="63"/>
        <v>1.2001751770306606</v>
      </c>
      <c r="AG131" s="37">
        <f t="shared" si="80"/>
        <v>6.6259340955786561E-3</v>
      </c>
      <c r="AH131" s="37">
        <f t="shared" si="81"/>
        <v>0.10623988713384389</v>
      </c>
      <c r="AI131" s="40">
        <f t="shared" si="64"/>
        <v>0.11286582122942254</v>
      </c>
      <c r="AJ131" s="39">
        <f t="shared" si="65"/>
        <v>1.8370370370370372</v>
      </c>
      <c r="AK131" s="37">
        <f t="shared" si="82"/>
        <v>2.1357273802169825</v>
      </c>
      <c r="AL131" s="37">
        <f t="shared" si="83"/>
        <v>0.95893333333333342</v>
      </c>
      <c r="AM131" s="37">
        <f t="shared" si="84"/>
        <v>2.4552000000000001E-2</v>
      </c>
      <c r="AN131" s="40">
        <f t="shared" si="66"/>
        <v>0.98348533333333343</v>
      </c>
      <c r="AO131" s="39">
        <f t="shared" si="85"/>
        <v>2.880840911121155E-2</v>
      </c>
      <c r="AP131" s="37">
        <f t="shared" si="86"/>
        <v>0.11701800000000001</v>
      </c>
      <c r="AQ131" s="40">
        <f t="shared" si="87"/>
        <v>1.7099999999999999E-3</v>
      </c>
      <c r="AR131" s="39">
        <f t="shared" si="67"/>
        <v>1.2973031555676724</v>
      </c>
      <c r="AS131" s="37">
        <f t="shared" si="68"/>
        <v>8.2666666666666675</v>
      </c>
      <c r="AT131" s="40">
        <f t="shared" si="69"/>
        <v>86.435516007676028</v>
      </c>
    </row>
    <row r="132" spans="17:46" x14ac:dyDescent="0.2">
      <c r="Q132">
        <v>125</v>
      </c>
      <c r="R132" s="39">
        <f t="shared" si="45"/>
        <v>5</v>
      </c>
      <c r="S132" s="37">
        <f t="shared" si="73"/>
        <v>1.6666666666666667</v>
      </c>
      <c r="T132" s="37">
        <f t="shared" si="47"/>
        <v>3.8</v>
      </c>
      <c r="U132" s="40">
        <f t="shared" si="74"/>
        <v>2.4366471734892792</v>
      </c>
      <c r="V132" s="39">
        <f t="shared" si="75"/>
        <v>2</v>
      </c>
      <c r="W132" s="37">
        <f t="shared" si="76"/>
        <v>0.24</v>
      </c>
      <c r="X132" s="40">
        <f t="shared" si="77"/>
        <v>0.76</v>
      </c>
      <c r="Y132" s="39">
        <f t="shared" si="78"/>
        <v>1.3818181818181816</v>
      </c>
      <c r="Z132" s="37">
        <f t="shared" si="71"/>
        <v>3.1275562643983701</v>
      </c>
      <c r="AA132" s="37">
        <f t="shared" si="72"/>
        <v>2.4690824014952537</v>
      </c>
      <c r="AB132" s="37">
        <v>0</v>
      </c>
      <c r="AC132" s="37">
        <f t="shared" si="79"/>
        <v>5.4257674357824762E-2</v>
      </c>
      <c r="AD132" s="40">
        <f t="shared" si="62"/>
        <v>5.4257674357824762E-2</v>
      </c>
      <c r="AE132" s="39">
        <f t="shared" si="70"/>
        <v>0.58479532163742698</v>
      </c>
      <c r="AF132" s="37">
        <f t="shared" si="63"/>
        <v>1.2095984033098162</v>
      </c>
      <c r="AG132" s="37">
        <f t="shared" si="80"/>
        <v>6.7303901675324204E-3</v>
      </c>
      <c r="AH132" s="37">
        <f t="shared" si="81"/>
        <v>0.10709666041718133</v>
      </c>
      <c r="AI132" s="40">
        <f t="shared" si="64"/>
        <v>0.11382705058471375</v>
      </c>
      <c r="AJ132" s="39">
        <f t="shared" si="65"/>
        <v>1.8518518518518521</v>
      </c>
      <c r="AK132" s="37">
        <f t="shared" si="82"/>
        <v>2.1524961342785063</v>
      </c>
      <c r="AL132" s="37">
        <f t="shared" si="83"/>
        <v>0.96666666666666667</v>
      </c>
      <c r="AM132" s="37">
        <f t="shared" si="84"/>
        <v>2.4552000000000001E-2</v>
      </c>
      <c r="AN132" s="40">
        <f t="shared" si="66"/>
        <v>0.99121866666666669</v>
      </c>
      <c r="AO132" s="39">
        <f t="shared" si="85"/>
        <v>2.9262565945793132E-2</v>
      </c>
      <c r="AP132" s="37">
        <f t="shared" si="86"/>
        <v>0.11701800000000001</v>
      </c>
      <c r="AQ132" s="40">
        <f t="shared" si="87"/>
        <v>1.7099999999999999E-3</v>
      </c>
      <c r="AR132" s="39">
        <f t="shared" si="67"/>
        <v>1.3072939575549984</v>
      </c>
      <c r="AS132" s="37">
        <f t="shared" si="68"/>
        <v>8.3333333333333339</v>
      </c>
      <c r="AT132" s="40">
        <f t="shared" si="69"/>
        <v>86.439741750097895</v>
      </c>
    </row>
    <row r="133" spans="17:46" x14ac:dyDescent="0.2">
      <c r="Q133">
        <v>126</v>
      </c>
      <c r="R133" s="39">
        <f t="shared" si="45"/>
        <v>5</v>
      </c>
      <c r="S133" s="37">
        <f t="shared" si="73"/>
        <v>1.6800000000000002</v>
      </c>
      <c r="T133" s="37">
        <f t="shared" si="47"/>
        <v>3.8</v>
      </c>
      <c r="U133" s="40">
        <f t="shared" si="74"/>
        <v>2.4561403508771931</v>
      </c>
      <c r="V133" s="39">
        <f t="shared" si="75"/>
        <v>2</v>
      </c>
      <c r="W133" s="37">
        <f t="shared" si="76"/>
        <v>0.24</v>
      </c>
      <c r="X133" s="40">
        <f t="shared" si="77"/>
        <v>0.76</v>
      </c>
      <c r="Y133" s="39">
        <f t="shared" si="78"/>
        <v>1.3818181818181816</v>
      </c>
      <c r="Z133" s="37">
        <f t="shared" si="71"/>
        <v>3.147049441786284</v>
      </c>
      <c r="AA133" s="37">
        <f t="shared" si="72"/>
        <v>2.4883214986225988</v>
      </c>
      <c r="AB133" s="37">
        <v>0</v>
      </c>
      <c r="AC133" s="37">
        <f t="shared" si="79"/>
        <v>5.5106520536516004E-2</v>
      </c>
      <c r="AD133" s="40">
        <f t="shared" si="62"/>
        <v>5.5106520536516004E-2</v>
      </c>
      <c r="AE133" s="39">
        <f t="shared" si="70"/>
        <v>0.58947368421052626</v>
      </c>
      <c r="AF133" s="37">
        <f t="shared" si="63"/>
        <v>1.2190235975245844</v>
      </c>
      <c r="AG133" s="37">
        <f t="shared" si="80"/>
        <v>6.8356852440801877E-3</v>
      </c>
      <c r="AH133" s="37">
        <f t="shared" si="81"/>
        <v>0.10795343370051876</v>
      </c>
      <c r="AI133" s="40">
        <f t="shared" si="64"/>
        <v>0.11478911894459895</v>
      </c>
      <c r="AJ133" s="39">
        <f t="shared" si="65"/>
        <v>1.8666666666666667</v>
      </c>
      <c r="AK133" s="37">
        <f t="shared" si="82"/>
        <v>2.1692683903071184</v>
      </c>
      <c r="AL133" s="37">
        <f t="shared" si="83"/>
        <v>0.97440000000000004</v>
      </c>
      <c r="AM133" s="37">
        <f t="shared" si="84"/>
        <v>2.4552000000000001E-2</v>
      </c>
      <c r="AN133" s="40">
        <f t="shared" si="66"/>
        <v>0.99895200000000006</v>
      </c>
      <c r="AO133" s="39">
        <f t="shared" si="85"/>
        <v>2.9720370626435601E-2</v>
      </c>
      <c r="AP133" s="37">
        <f t="shared" si="86"/>
        <v>0.11701800000000001</v>
      </c>
      <c r="AQ133" s="40">
        <f t="shared" si="87"/>
        <v>1.7099999999999999E-3</v>
      </c>
      <c r="AR133" s="39">
        <f t="shared" si="67"/>
        <v>1.3172960101075506</v>
      </c>
      <c r="AS133" s="37">
        <f t="shared" si="68"/>
        <v>8.4</v>
      </c>
      <c r="AT133" s="40">
        <f t="shared" si="69"/>
        <v>86.443800736981245</v>
      </c>
    </row>
    <row r="134" spans="17:46" x14ac:dyDescent="0.2">
      <c r="Q134">
        <v>127</v>
      </c>
      <c r="R134" s="39">
        <f t="shared" si="45"/>
        <v>5</v>
      </c>
      <c r="S134" s="37">
        <f t="shared" si="73"/>
        <v>1.6933333333333334</v>
      </c>
      <c r="T134" s="37">
        <f t="shared" si="47"/>
        <v>3.8</v>
      </c>
      <c r="U134" s="40">
        <f t="shared" si="74"/>
        <v>2.4756335282651074</v>
      </c>
      <c r="V134" s="39">
        <f t="shared" si="75"/>
        <v>2</v>
      </c>
      <c r="W134" s="37">
        <f t="shared" si="76"/>
        <v>0.24</v>
      </c>
      <c r="X134" s="40">
        <f t="shared" si="77"/>
        <v>0.76</v>
      </c>
      <c r="Y134" s="39">
        <f t="shared" si="78"/>
        <v>1.3818181818181816</v>
      </c>
      <c r="Z134" s="37">
        <f t="shared" si="71"/>
        <v>3.1665426191741983</v>
      </c>
      <c r="AA134" s="37">
        <f t="shared" si="72"/>
        <v>2.5075645203205879</v>
      </c>
      <c r="AB134" s="37">
        <v>0</v>
      </c>
      <c r="AC134" s="37">
        <f t="shared" si="79"/>
        <v>5.5962130429778517E-2</v>
      </c>
      <c r="AD134" s="40">
        <f t="shared" si="62"/>
        <v>5.5962130429778517E-2</v>
      </c>
      <c r="AE134" s="39">
        <f t="shared" si="70"/>
        <v>0.59415204678362576</v>
      </c>
      <c r="AF134" s="37">
        <f t="shared" si="63"/>
        <v>1.2284507143784602</v>
      </c>
      <c r="AG134" s="37">
        <f t="shared" si="80"/>
        <v>6.9418193252219667E-3</v>
      </c>
      <c r="AH134" s="37">
        <f t="shared" si="81"/>
        <v>0.10881020698385621</v>
      </c>
      <c r="AI134" s="40">
        <f t="shared" si="64"/>
        <v>0.11575202630907817</v>
      </c>
      <c r="AJ134" s="39">
        <f t="shared" si="65"/>
        <v>1.8814814814814818</v>
      </c>
      <c r="AK134" s="37">
        <f t="shared" si="82"/>
        <v>2.1860440676970976</v>
      </c>
      <c r="AL134" s="37">
        <f t="shared" si="83"/>
        <v>0.9821333333333333</v>
      </c>
      <c r="AM134" s="37">
        <f t="shared" si="84"/>
        <v>2.4552000000000001E-2</v>
      </c>
      <c r="AN134" s="40">
        <f t="shared" si="66"/>
        <v>1.0066853333333332</v>
      </c>
      <c r="AO134" s="39">
        <f t="shared" si="85"/>
        <v>3.0181823153138984E-2</v>
      </c>
      <c r="AP134" s="37">
        <f t="shared" si="86"/>
        <v>0.11701800000000001</v>
      </c>
      <c r="AQ134" s="40">
        <f t="shared" si="87"/>
        <v>1.7099999999999999E-3</v>
      </c>
      <c r="AR134" s="39">
        <f t="shared" si="67"/>
        <v>1.3273093132253291</v>
      </c>
      <c r="AS134" s="37">
        <f t="shared" si="68"/>
        <v>8.4666666666666668</v>
      </c>
      <c r="AT134" s="40">
        <f t="shared" si="69"/>
        <v>86.447696870500522</v>
      </c>
    </row>
    <row r="135" spans="17:46" x14ac:dyDescent="0.2">
      <c r="Q135">
        <v>128</v>
      </c>
      <c r="R135" s="39">
        <f t="shared" ref="R135:R157" si="88">VOUT</f>
        <v>5</v>
      </c>
      <c r="S135" s="37">
        <f t="shared" ref="S135:S157" si="89">Q135*$O$12</f>
        <v>1.7066666666666668</v>
      </c>
      <c r="T135" s="37">
        <f t="shared" ref="T135:T157" si="90">VIN_var</f>
        <v>3.8</v>
      </c>
      <c r="U135" s="40">
        <f t="shared" ref="U135:U157" si="91">(R135*S135)/(T135*EFF_est)</f>
        <v>2.4951267056530213</v>
      </c>
      <c r="V135" s="39">
        <f t="shared" ref="V135:V157" si="92">IF((S135*R135/T135)&lt;((T135*(1-(T135/R135)))/(2*Lm*Fsw)),1,2)</f>
        <v>2</v>
      </c>
      <c r="W135" s="37">
        <f t="shared" ref="W135:W157" si="93">CHOOSE(V135,SQRT((2*S135*Lm*Fsw*(R135-T135))/((T135)^2)),1-(T135/R135))</f>
        <v>0.24</v>
      </c>
      <c r="X135" s="40">
        <f t="shared" ref="X135:X157" si="94">CHOOSE(V135,(Lm*W135*Fsw)/(R135-T135),1-W135)</f>
        <v>0.76</v>
      </c>
      <c r="Y135" s="39">
        <f t="shared" ref="Y135:Y157" si="95">(T135*W135)/(Lm*Fsw)</f>
        <v>1.3818181818181816</v>
      </c>
      <c r="Z135" s="37">
        <f t="shared" si="71"/>
        <v>3.1860357965621122</v>
      </c>
      <c r="AA135" s="37">
        <f t="shared" si="72"/>
        <v>2.5268113769261</v>
      </c>
      <c r="AB135" s="37">
        <v>0</v>
      </c>
      <c r="AC135" s="37">
        <f t="shared" ref="AC135:AC157" si="96">(AA135^2)*Rdcr</f>
        <v>5.6824504037612245E-2</v>
      </c>
      <c r="AD135" s="40">
        <f t="shared" si="62"/>
        <v>5.6824504037612245E-2</v>
      </c>
      <c r="AE135" s="39">
        <f t="shared" si="70"/>
        <v>0.59883040935672505</v>
      </c>
      <c r="AF135" s="37">
        <f t="shared" si="63"/>
        <v>1.2378797099456642</v>
      </c>
      <c r="AG135" s="37">
        <f t="shared" ref="AG135:AG157" si="97">(AF135^2)*RDS_on</f>
        <v>7.0487924109577443E-3</v>
      </c>
      <c r="AH135" s="37">
        <f t="shared" ref="AH135:AH157" si="98">((R135*U135)/2)*Fsw*(tr_sw+tf_sw)</f>
        <v>0.10966698026719365</v>
      </c>
      <c r="AI135" s="40">
        <f t="shared" si="64"/>
        <v>0.11671577267815139</v>
      </c>
      <c r="AJ135" s="39">
        <f t="shared" si="65"/>
        <v>1.8962962962962961</v>
      </c>
      <c r="AK135" s="37">
        <f t="shared" ref="AK135:AK157" si="99">CHOOSE(V135,Z135*SQRT(X135/3),SQRT(X135*((Z135^2)+((Y135^2)/3)-(Y135*Z135))))</f>
        <v>2.2028230882819466</v>
      </c>
      <c r="AL135" s="37">
        <f t="shared" ref="AL135:AL157" si="100">S135*Vd_rect</f>
        <v>0.98986666666666667</v>
      </c>
      <c r="AM135" s="37">
        <f t="shared" ref="AM135:AM157" si="101">CHOOSE(V135,(R135+Vd_rect)*Qrr*Fsw,(R135+Vd_rect)*Qrr*Fsw)</f>
        <v>2.4552000000000001E-2</v>
      </c>
      <c r="AN135" s="40">
        <f t="shared" si="66"/>
        <v>1.0144186666666666</v>
      </c>
      <c r="AO135" s="39">
        <f t="shared" ref="AO135:AO157" si="102">(AF135^2)*R_cs</f>
        <v>3.0646923525903237E-2</v>
      </c>
      <c r="AP135" s="37">
        <f t="shared" ref="AP135:AP157" si="103">Qg_tot*Vcc*Fsw</f>
        <v>0.11701800000000001</v>
      </c>
      <c r="AQ135" s="40">
        <f t="shared" ref="AQ135:AQ157" si="104">IQ*T135</f>
        <v>1.7099999999999999E-3</v>
      </c>
      <c r="AR135" s="39">
        <f t="shared" si="67"/>
        <v>1.3373338669083337</v>
      </c>
      <c r="AS135" s="37">
        <f t="shared" si="68"/>
        <v>8.5333333333333332</v>
      </c>
      <c r="AT135" s="40">
        <f t="shared" si="69"/>
        <v>86.451433932697171</v>
      </c>
    </row>
    <row r="136" spans="17:46" x14ac:dyDescent="0.2">
      <c r="Q136">
        <v>129</v>
      </c>
      <c r="R136" s="39">
        <f t="shared" si="88"/>
        <v>5</v>
      </c>
      <c r="S136" s="37">
        <f t="shared" si="89"/>
        <v>1.7200000000000002</v>
      </c>
      <c r="T136" s="37">
        <f t="shared" si="90"/>
        <v>3.8</v>
      </c>
      <c r="U136" s="40">
        <f t="shared" si="91"/>
        <v>2.5146198830409361</v>
      </c>
      <c r="V136" s="39">
        <f t="shared" si="92"/>
        <v>2</v>
      </c>
      <c r="W136" s="37">
        <f t="shared" si="93"/>
        <v>0.24</v>
      </c>
      <c r="X136" s="40">
        <f t="shared" si="94"/>
        <v>0.76</v>
      </c>
      <c r="Y136" s="39">
        <f t="shared" si="95"/>
        <v>1.3818181818181816</v>
      </c>
      <c r="Z136" s="37">
        <f t="shared" si="71"/>
        <v>3.205528973950027</v>
      </c>
      <c r="AA136" s="37">
        <f t="shared" si="72"/>
        <v>2.5460619814696357</v>
      </c>
      <c r="AB136" s="37">
        <v>0</v>
      </c>
      <c r="AC136" s="37">
        <f t="shared" si="96"/>
        <v>5.7693641360017277E-2</v>
      </c>
      <c r="AD136" s="40">
        <f t="shared" ref="AD136:AD157" si="105">AB136+AC136</f>
        <v>5.7693641360017277E-2</v>
      </c>
      <c r="AE136" s="39">
        <f t="shared" si="70"/>
        <v>0.60350877192982466</v>
      </c>
      <c r="AF136" s="37">
        <f t="shared" ref="AF136:AF157" si="106">CHOOSE(V136,Z136*SQRT(W136/3),SQRT(W136*((Z136^2)+((Y136^2)/3)-(Z136*Y136))))</f>
        <v>1.2473105416200172</v>
      </c>
      <c r="AG136" s="37">
        <f t="shared" si="97"/>
        <v>7.1566045012875354E-3</v>
      </c>
      <c r="AH136" s="37">
        <f t="shared" si="98"/>
        <v>0.11052375355053112</v>
      </c>
      <c r="AI136" s="40">
        <f t="shared" ref="AI136:AI157" si="107">AG136+AH136</f>
        <v>0.11768035805181866</v>
      </c>
      <c r="AJ136" s="39">
        <f t="shared" ref="AJ136:AJ156" si="108">X136*U136</f>
        <v>1.9111111111111114</v>
      </c>
      <c r="AK136" s="37">
        <f t="shared" si="99"/>
        <v>2.2196053762434138</v>
      </c>
      <c r="AL136" s="37">
        <f t="shared" si="100"/>
        <v>0.99760000000000004</v>
      </c>
      <c r="AM136" s="37">
        <f t="shared" si="101"/>
        <v>2.4552000000000001E-2</v>
      </c>
      <c r="AN136" s="40">
        <f t="shared" ref="AN136:AN157" si="109">AL136+AM136</f>
        <v>1.0221519999999999</v>
      </c>
      <c r="AO136" s="39">
        <f t="shared" si="102"/>
        <v>3.1115671744728415E-2</v>
      </c>
      <c r="AP136" s="37">
        <f t="shared" si="103"/>
        <v>0.11701800000000001</v>
      </c>
      <c r="AQ136" s="40">
        <f t="shared" si="104"/>
        <v>1.7099999999999999E-3</v>
      </c>
      <c r="AR136" s="39">
        <f t="shared" ref="AR136:AR157" si="110">AO136+AN136+AI136+AD136+AP136+AQ136</f>
        <v>1.3473696711565646</v>
      </c>
      <c r="AS136" s="37">
        <f t="shared" ref="AS136:AS157" si="111">R136*S136</f>
        <v>8.6000000000000014</v>
      </c>
      <c r="AT136" s="40">
        <f t="shared" ref="AT136:AT156" si="112">(AS136/(AS136+AR136))*100</f>
        <v>86.455015590066964</v>
      </c>
    </row>
    <row r="137" spans="17:46" x14ac:dyDescent="0.2">
      <c r="Q137">
        <v>130</v>
      </c>
      <c r="R137" s="39">
        <f t="shared" si="88"/>
        <v>5</v>
      </c>
      <c r="S137" s="37">
        <f t="shared" si="89"/>
        <v>1.7333333333333334</v>
      </c>
      <c r="T137" s="37">
        <f t="shared" si="90"/>
        <v>3.8</v>
      </c>
      <c r="U137" s="40">
        <f t="shared" si="91"/>
        <v>2.5341130604288504</v>
      </c>
      <c r="V137" s="39">
        <f t="shared" si="92"/>
        <v>2</v>
      </c>
      <c r="W137" s="37">
        <f t="shared" si="93"/>
        <v>0.24</v>
      </c>
      <c r="X137" s="40">
        <f t="shared" si="94"/>
        <v>0.76</v>
      </c>
      <c r="Y137" s="39">
        <f t="shared" si="95"/>
        <v>1.3818181818181816</v>
      </c>
      <c r="Z137" s="37">
        <f t="shared" si="71"/>
        <v>3.2250221513379413</v>
      </c>
      <c r="AA137" s="37">
        <f t="shared" si="72"/>
        <v>2.565316249575547</v>
      </c>
      <c r="AB137" s="37">
        <v>0</v>
      </c>
      <c r="AC137" s="37">
        <f t="shared" si="96"/>
        <v>5.8569542396993524E-2</v>
      </c>
      <c r="AD137" s="40">
        <f t="shared" si="105"/>
        <v>5.8569542396993524E-2</v>
      </c>
      <c r="AE137" s="39">
        <f t="shared" ref="AE137:AE157" si="113">U137*W137</f>
        <v>0.60818713450292405</v>
      </c>
      <c r="AF137" s="37">
        <f t="shared" si="106"/>
        <v>1.2567431680660628</v>
      </c>
      <c r="AG137" s="37">
        <f t="shared" si="97"/>
        <v>7.2652555962113303E-3</v>
      </c>
      <c r="AH137" s="37">
        <f t="shared" si="98"/>
        <v>0.11138052683386859</v>
      </c>
      <c r="AI137" s="40">
        <f t="shared" si="107"/>
        <v>0.11864578243007992</v>
      </c>
      <c r="AJ137" s="39">
        <f t="shared" si="108"/>
        <v>1.9259259259259263</v>
      </c>
      <c r="AK137" s="37">
        <f t="shared" si="99"/>
        <v>2.2363908580245146</v>
      </c>
      <c r="AL137" s="37">
        <f t="shared" si="100"/>
        <v>1.0053333333333332</v>
      </c>
      <c r="AM137" s="37">
        <f t="shared" si="101"/>
        <v>2.4552000000000001E-2</v>
      </c>
      <c r="AN137" s="40">
        <f t="shared" si="109"/>
        <v>1.0298853333333331</v>
      </c>
      <c r="AO137" s="39">
        <f t="shared" si="102"/>
        <v>3.1588067809614484E-2</v>
      </c>
      <c r="AP137" s="37">
        <f t="shared" si="103"/>
        <v>0.11701800000000001</v>
      </c>
      <c r="AQ137" s="40">
        <f t="shared" si="104"/>
        <v>1.7099999999999999E-3</v>
      </c>
      <c r="AR137" s="39">
        <f t="shared" si="110"/>
        <v>1.3574167259700214</v>
      </c>
      <c r="AS137" s="37">
        <f t="shared" si="111"/>
        <v>8.6666666666666679</v>
      </c>
      <c r="AT137" s="40">
        <f t="shared" si="112"/>
        <v>86.458445397939059</v>
      </c>
    </row>
    <row r="138" spans="17:46" x14ac:dyDescent="0.2">
      <c r="Q138">
        <v>131</v>
      </c>
      <c r="R138" s="39">
        <f t="shared" si="88"/>
        <v>5</v>
      </c>
      <c r="S138" s="37">
        <f t="shared" si="89"/>
        <v>1.7466666666666668</v>
      </c>
      <c r="T138" s="37">
        <f t="shared" si="90"/>
        <v>3.8</v>
      </c>
      <c r="U138" s="40">
        <f t="shared" si="91"/>
        <v>2.5536062378167643</v>
      </c>
      <c r="V138" s="39">
        <f t="shared" si="92"/>
        <v>2</v>
      </c>
      <c r="W138" s="37">
        <f t="shared" si="93"/>
        <v>0.24</v>
      </c>
      <c r="X138" s="40">
        <f t="shared" si="94"/>
        <v>0.76</v>
      </c>
      <c r="Y138" s="39">
        <f t="shared" si="95"/>
        <v>1.3818181818181816</v>
      </c>
      <c r="Z138" s="37">
        <f t="shared" si="71"/>
        <v>3.2445153287258552</v>
      </c>
      <c r="AA138" s="37">
        <f t="shared" si="72"/>
        <v>2.5845740993666566</v>
      </c>
      <c r="AB138" s="37">
        <v>0</v>
      </c>
      <c r="AC138" s="37">
        <f t="shared" si="96"/>
        <v>5.9452207148540978E-2</v>
      </c>
      <c r="AD138" s="40">
        <f t="shared" si="105"/>
        <v>5.9452207148540978E-2</v>
      </c>
      <c r="AE138" s="39">
        <f t="shared" si="113"/>
        <v>0.61286549707602345</v>
      </c>
      <c r="AF138" s="37">
        <f t="shared" si="106"/>
        <v>1.2661775491723393</v>
      </c>
      <c r="AG138" s="37">
        <f t="shared" si="97"/>
        <v>7.3747456957291291E-3</v>
      </c>
      <c r="AH138" s="37">
        <f t="shared" si="98"/>
        <v>0.11223730011720601</v>
      </c>
      <c r="AI138" s="40">
        <f t="shared" si="107"/>
        <v>0.11961204581293514</v>
      </c>
      <c r="AJ138" s="39">
        <f t="shared" si="108"/>
        <v>1.9407407407407409</v>
      </c>
      <c r="AK138" s="37">
        <f t="shared" si="99"/>
        <v>2.2531794622463814</v>
      </c>
      <c r="AL138" s="37">
        <f t="shared" si="100"/>
        <v>1.0130666666666668</v>
      </c>
      <c r="AM138" s="37">
        <f t="shared" si="101"/>
        <v>2.4552000000000001E-2</v>
      </c>
      <c r="AN138" s="40">
        <f t="shared" si="109"/>
        <v>1.0376186666666667</v>
      </c>
      <c r="AO138" s="39">
        <f t="shared" si="102"/>
        <v>3.2064111720561436E-2</v>
      </c>
      <c r="AP138" s="37">
        <f t="shared" si="103"/>
        <v>0.11701800000000001</v>
      </c>
      <c r="AQ138" s="40">
        <f t="shared" si="104"/>
        <v>1.7099999999999999E-3</v>
      </c>
      <c r="AR138" s="39">
        <f t="shared" si="110"/>
        <v>1.3674750313487043</v>
      </c>
      <c r="AS138" s="37">
        <f t="shared" si="111"/>
        <v>8.7333333333333343</v>
      </c>
      <c r="AT138" s="40">
        <f t="shared" si="112"/>
        <v>86.461726804657076</v>
      </c>
    </row>
    <row r="139" spans="17:46" x14ac:dyDescent="0.2">
      <c r="Q139">
        <v>132</v>
      </c>
      <c r="R139" s="39">
        <f t="shared" si="88"/>
        <v>5</v>
      </c>
      <c r="S139" s="37">
        <f t="shared" si="89"/>
        <v>1.76</v>
      </c>
      <c r="T139" s="37">
        <f t="shared" si="90"/>
        <v>3.8</v>
      </c>
      <c r="U139" s="40">
        <f t="shared" si="91"/>
        <v>2.5730994152046787</v>
      </c>
      <c r="V139" s="39">
        <f t="shared" si="92"/>
        <v>2</v>
      </c>
      <c r="W139" s="37">
        <f t="shared" si="93"/>
        <v>0.24</v>
      </c>
      <c r="X139" s="40">
        <f t="shared" si="94"/>
        <v>0.76</v>
      </c>
      <c r="Y139" s="39">
        <f t="shared" si="95"/>
        <v>1.3818181818181816</v>
      </c>
      <c r="Z139" s="37">
        <f t="shared" si="71"/>
        <v>3.2640085061137696</v>
      </c>
      <c r="AA139" s="37">
        <f t="shared" si="72"/>
        <v>2.6038354513730191</v>
      </c>
      <c r="AB139" s="37">
        <v>0</v>
      </c>
      <c r="AC139" s="37">
        <f t="shared" si="96"/>
        <v>6.0341635614659717E-2</v>
      </c>
      <c r="AD139" s="40">
        <f t="shared" si="105"/>
        <v>6.0341635614659717E-2</v>
      </c>
      <c r="AE139" s="39">
        <f t="shared" si="113"/>
        <v>0.61754385964912284</v>
      </c>
      <c r="AF139" s="37">
        <f t="shared" si="106"/>
        <v>1.2756136460066836</v>
      </c>
      <c r="AG139" s="37">
        <f t="shared" si="97"/>
        <v>7.485074799840937E-3</v>
      </c>
      <c r="AH139" s="37">
        <f t="shared" si="98"/>
        <v>0.11309407340054348</v>
      </c>
      <c r="AI139" s="40">
        <f t="shared" si="107"/>
        <v>0.12057914820038441</v>
      </c>
      <c r="AJ139" s="39">
        <f t="shared" si="108"/>
        <v>1.9555555555555557</v>
      </c>
      <c r="AK139" s="37">
        <f t="shared" si="99"/>
        <v>2.2699711196287216</v>
      </c>
      <c r="AL139" s="37">
        <f t="shared" si="100"/>
        <v>1.0207999999999999</v>
      </c>
      <c r="AM139" s="37">
        <f t="shared" si="101"/>
        <v>2.4552000000000001E-2</v>
      </c>
      <c r="AN139" s="40">
        <f t="shared" si="109"/>
        <v>1.0453519999999998</v>
      </c>
      <c r="AO139" s="39">
        <f t="shared" si="102"/>
        <v>3.2543803477569293E-2</v>
      </c>
      <c r="AP139" s="37">
        <f t="shared" si="103"/>
        <v>0.11701800000000001</v>
      </c>
      <c r="AQ139" s="40">
        <f t="shared" si="104"/>
        <v>1.7099999999999999E-3</v>
      </c>
      <c r="AR139" s="39">
        <f t="shared" si="110"/>
        <v>1.3775445872926135</v>
      </c>
      <c r="AS139" s="37">
        <f t="shared" si="111"/>
        <v>8.8000000000000007</v>
      </c>
      <c r="AT139" s="40">
        <f t="shared" si="112"/>
        <v>86.464863155573141</v>
      </c>
    </row>
    <row r="140" spans="17:46" x14ac:dyDescent="0.2">
      <c r="Q140">
        <v>133</v>
      </c>
      <c r="R140" s="39">
        <f t="shared" si="88"/>
        <v>5</v>
      </c>
      <c r="S140" s="37">
        <f t="shared" si="89"/>
        <v>1.7733333333333334</v>
      </c>
      <c r="T140" s="37">
        <f t="shared" si="90"/>
        <v>3.8</v>
      </c>
      <c r="U140" s="40">
        <f t="shared" si="91"/>
        <v>2.592592592592593</v>
      </c>
      <c r="V140" s="39">
        <f t="shared" si="92"/>
        <v>2</v>
      </c>
      <c r="W140" s="37">
        <f t="shared" si="93"/>
        <v>0.24</v>
      </c>
      <c r="X140" s="40">
        <f t="shared" si="94"/>
        <v>0.76</v>
      </c>
      <c r="Y140" s="39">
        <f t="shared" si="95"/>
        <v>1.3818181818181816</v>
      </c>
      <c r="Z140" s="37">
        <f t="shared" si="71"/>
        <v>3.2835016835016839</v>
      </c>
      <c r="AA140" s="37">
        <f t="shared" si="72"/>
        <v>2.6231002284446276</v>
      </c>
      <c r="AB140" s="37">
        <v>0</v>
      </c>
      <c r="AC140" s="37">
        <f t="shared" si="96"/>
        <v>6.1237827795349691E-2</v>
      </c>
      <c r="AD140" s="40">
        <f t="shared" si="105"/>
        <v>6.1237827795349691E-2</v>
      </c>
      <c r="AE140" s="39">
        <f t="shared" si="113"/>
        <v>0.62222222222222234</v>
      </c>
      <c r="AF140" s="37">
        <f t="shared" si="106"/>
        <v>1.2850514207734653</v>
      </c>
      <c r="AG140" s="37">
        <f t="shared" si="97"/>
        <v>7.5962429085467487E-3</v>
      </c>
      <c r="AH140" s="37">
        <f t="shared" si="98"/>
        <v>0.11395084668388095</v>
      </c>
      <c r="AI140" s="40">
        <f t="shared" si="107"/>
        <v>0.1215470895924277</v>
      </c>
      <c r="AJ140" s="39">
        <f t="shared" si="108"/>
        <v>1.9703703703703708</v>
      </c>
      <c r="AK140" s="37">
        <f t="shared" si="99"/>
        <v>2.2867657629137175</v>
      </c>
      <c r="AL140" s="37">
        <f t="shared" si="100"/>
        <v>1.0285333333333333</v>
      </c>
      <c r="AM140" s="37">
        <f t="shared" si="101"/>
        <v>2.4552000000000001E-2</v>
      </c>
      <c r="AN140" s="40">
        <f t="shared" si="109"/>
        <v>1.0530853333333332</v>
      </c>
      <c r="AO140" s="39">
        <f t="shared" si="102"/>
        <v>3.302714308063804E-2</v>
      </c>
      <c r="AP140" s="37">
        <f t="shared" si="103"/>
        <v>0.11701800000000001</v>
      </c>
      <c r="AQ140" s="40">
        <f t="shared" si="104"/>
        <v>1.7099999999999999E-3</v>
      </c>
      <c r="AR140" s="39">
        <f t="shared" si="110"/>
        <v>1.3876253938017489</v>
      </c>
      <c r="AS140" s="37">
        <f t="shared" si="111"/>
        <v>8.8666666666666671</v>
      </c>
      <c r="AT140" s="40">
        <f t="shared" si="112"/>
        <v>86.467857696864144</v>
      </c>
    </row>
    <row r="141" spans="17:46" x14ac:dyDescent="0.2">
      <c r="Q141">
        <v>134</v>
      </c>
      <c r="R141" s="39">
        <f t="shared" si="88"/>
        <v>5</v>
      </c>
      <c r="S141" s="37">
        <f t="shared" si="89"/>
        <v>1.7866666666666668</v>
      </c>
      <c r="T141" s="37">
        <f t="shared" si="90"/>
        <v>3.8</v>
      </c>
      <c r="U141" s="40">
        <f t="shared" si="91"/>
        <v>2.6120857699805069</v>
      </c>
      <c r="V141" s="39">
        <f t="shared" si="92"/>
        <v>2</v>
      </c>
      <c r="W141" s="37">
        <f t="shared" si="93"/>
        <v>0.24</v>
      </c>
      <c r="X141" s="40">
        <f t="shared" si="94"/>
        <v>0.76</v>
      </c>
      <c r="Y141" s="39">
        <f t="shared" si="95"/>
        <v>1.3818181818181816</v>
      </c>
      <c r="Z141" s="37">
        <f t="shared" si="71"/>
        <v>3.3029948608895978</v>
      </c>
      <c r="AA141" s="37">
        <f t="shared" si="72"/>
        <v>2.6423683556678719</v>
      </c>
      <c r="AB141" s="37">
        <v>0</v>
      </c>
      <c r="AC141" s="37">
        <f t="shared" si="96"/>
        <v>6.21407836906109E-2</v>
      </c>
      <c r="AD141" s="40">
        <f t="shared" si="105"/>
        <v>6.21407836906109E-2</v>
      </c>
      <c r="AE141" s="39">
        <f t="shared" si="113"/>
        <v>0.62690058479532162</v>
      </c>
      <c r="AF141" s="37">
        <f t="shared" si="106"/>
        <v>1.2944908367726609</v>
      </c>
      <c r="AG141" s="37">
        <f t="shared" si="97"/>
        <v>7.7082500218465652E-3</v>
      </c>
      <c r="AH141" s="37">
        <f t="shared" si="98"/>
        <v>0.11480761996721835</v>
      </c>
      <c r="AI141" s="40">
        <f t="shared" si="107"/>
        <v>0.12251586998906491</v>
      </c>
      <c r="AJ141" s="39">
        <f t="shared" si="108"/>
        <v>1.9851851851851852</v>
      </c>
      <c r="AK141" s="37">
        <f t="shared" si="99"/>
        <v>2.3035633267931988</v>
      </c>
      <c r="AL141" s="37">
        <f t="shared" si="100"/>
        <v>1.0362666666666667</v>
      </c>
      <c r="AM141" s="37">
        <f t="shared" si="101"/>
        <v>2.4552000000000001E-2</v>
      </c>
      <c r="AN141" s="40">
        <f t="shared" si="109"/>
        <v>1.0608186666666666</v>
      </c>
      <c r="AO141" s="39">
        <f t="shared" si="102"/>
        <v>3.3514130529767677E-2</v>
      </c>
      <c r="AP141" s="37">
        <f t="shared" si="103"/>
        <v>0.11701800000000001</v>
      </c>
      <c r="AQ141" s="40">
        <f t="shared" si="104"/>
        <v>1.7099999999999999E-3</v>
      </c>
      <c r="AR141" s="39">
        <f t="shared" si="110"/>
        <v>1.3977174508761103</v>
      </c>
      <c r="AS141" s="37">
        <f t="shared" si="111"/>
        <v>8.9333333333333336</v>
      </c>
      <c r="AT141" s="40">
        <f t="shared" si="112"/>
        <v>86.470713579179588</v>
      </c>
    </row>
    <row r="142" spans="17:46" x14ac:dyDescent="0.2">
      <c r="Q142">
        <v>135</v>
      </c>
      <c r="R142" s="39">
        <f t="shared" si="88"/>
        <v>5</v>
      </c>
      <c r="S142" s="37">
        <f t="shared" si="89"/>
        <v>1.8</v>
      </c>
      <c r="T142" s="37">
        <f t="shared" si="90"/>
        <v>3.8</v>
      </c>
      <c r="U142" s="40">
        <f t="shared" si="91"/>
        <v>2.6315789473684212</v>
      </c>
      <c r="V142" s="39">
        <f t="shared" si="92"/>
        <v>2</v>
      </c>
      <c r="W142" s="37">
        <f t="shared" si="93"/>
        <v>0.24</v>
      </c>
      <c r="X142" s="40">
        <f t="shared" si="94"/>
        <v>0.76</v>
      </c>
      <c r="Y142" s="39">
        <f t="shared" si="95"/>
        <v>1.3818181818181816</v>
      </c>
      <c r="Z142" s="37">
        <f t="shared" si="71"/>
        <v>3.3224880382775122</v>
      </c>
      <c r="AA142" s="37">
        <f t="shared" si="72"/>
        <v>2.6616397602855582</v>
      </c>
      <c r="AB142" s="37">
        <v>0</v>
      </c>
      <c r="AC142" s="37">
        <f t="shared" si="96"/>
        <v>6.3050503300443372E-2</v>
      </c>
      <c r="AD142" s="40">
        <f t="shared" si="105"/>
        <v>6.3050503300443372E-2</v>
      </c>
      <c r="AE142" s="39">
        <f t="shared" si="113"/>
        <v>0.63157894736842113</v>
      </c>
      <c r="AF142" s="37">
        <f t="shared" si="106"/>
        <v>1.3039318583606705</v>
      </c>
      <c r="AG142" s="37">
        <f t="shared" si="97"/>
        <v>7.8210961397403942E-3</v>
      </c>
      <c r="AH142" s="37">
        <f t="shared" si="98"/>
        <v>0.11566439325055582</v>
      </c>
      <c r="AI142" s="40">
        <f t="shared" si="107"/>
        <v>0.12348548939029622</v>
      </c>
      <c r="AJ142" s="39">
        <f t="shared" si="108"/>
        <v>2</v>
      </c>
      <c r="AK142" s="37">
        <f t="shared" si="99"/>
        <v>2.3203637478389143</v>
      </c>
      <c r="AL142" s="37">
        <f t="shared" si="100"/>
        <v>1.044</v>
      </c>
      <c r="AM142" s="37">
        <f t="shared" si="101"/>
        <v>2.4552000000000001E-2</v>
      </c>
      <c r="AN142" s="40">
        <f t="shared" si="109"/>
        <v>1.0685519999999999</v>
      </c>
      <c r="AO142" s="39">
        <f t="shared" si="102"/>
        <v>3.4004765824958233E-2</v>
      </c>
      <c r="AP142" s="37">
        <f t="shared" si="103"/>
        <v>0.11701800000000001</v>
      </c>
      <c r="AQ142" s="40">
        <f t="shared" si="104"/>
        <v>1.7099999999999999E-3</v>
      </c>
      <c r="AR142" s="39">
        <f t="shared" si="110"/>
        <v>1.4078207585156979</v>
      </c>
      <c r="AS142" s="37">
        <f t="shared" si="111"/>
        <v>9</v>
      </c>
      <c r="AT142" s="40">
        <f t="shared" si="112"/>
        <v>86.473433861129706</v>
      </c>
    </row>
    <row r="143" spans="17:46" x14ac:dyDescent="0.2">
      <c r="Q143">
        <v>136</v>
      </c>
      <c r="R143" s="39">
        <f t="shared" si="88"/>
        <v>5</v>
      </c>
      <c r="S143" s="37">
        <f t="shared" si="89"/>
        <v>1.8133333333333335</v>
      </c>
      <c r="T143" s="37">
        <f t="shared" si="90"/>
        <v>3.8</v>
      </c>
      <c r="U143" s="40">
        <f t="shared" si="91"/>
        <v>2.6510721247563351</v>
      </c>
      <c r="V143" s="39">
        <f t="shared" si="92"/>
        <v>2</v>
      </c>
      <c r="W143" s="37">
        <f t="shared" si="93"/>
        <v>0.24</v>
      </c>
      <c r="X143" s="40">
        <f t="shared" si="94"/>
        <v>0.76</v>
      </c>
      <c r="Y143" s="39">
        <f t="shared" si="95"/>
        <v>1.3818181818181816</v>
      </c>
      <c r="Z143" s="37">
        <f t="shared" si="71"/>
        <v>3.3419812156654261</v>
      </c>
      <c r="AA143" s="37">
        <f t="shared" si="72"/>
        <v>2.6809143716203145</v>
      </c>
      <c r="AB143" s="37">
        <v>0</v>
      </c>
      <c r="AC143" s="37">
        <f t="shared" si="96"/>
        <v>6.396698662484708E-2</v>
      </c>
      <c r="AD143" s="40">
        <f t="shared" si="105"/>
        <v>6.396698662484708E-2</v>
      </c>
      <c r="AE143" s="39">
        <f t="shared" si="113"/>
        <v>0.63625730994152041</v>
      </c>
      <c r="AF143" s="37">
        <f t="shared" si="106"/>
        <v>1.3133744509127938</v>
      </c>
      <c r="AG143" s="37">
        <f t="shared" si="97"/>
        <v>7.9347812622282202E-3</v>
      </c>
      <c r="AH143" s="37">
        <f t="shared" si="98"/>
        <v>0.11652116653389327</v>
      </c>
      <c r="AI143" s="40">
        <f t="shared" si="107"/>
        <v>0.12445594779612149</v>
      </c>
      <c r="AJ143" s="39">
        <f t="shared" si="108"/>
        <v>2.0148148148148146</v>
      </c>
      <c r="AK143" s="37">
        <f t="shared" si="99"/>
        <v>2.3371669644357596</v>
      </c>
      <c r="AL143" s="37">
        <f t="shared" si="100"/>
        <v>1.0517333333333334</v>
      </c>
      <c r="AM143" s="37">
        <f t="shared" si="101"/>
        <v>2.4552000000000001E-2</v>
      </c>
      <c r="AN143" s="40">
        <f t="shared" si="109"/>
        <v>1.0762853333333333</v>
      </c>
      <c r="AO143" s="39">
        <f t="shared" si="102"/>
        <v>3.4499048966209651E-2</v>
      </c>
      <c r="AP143" s="37">
        <f t="shared" si="103"/>
        <v>0.11701800000000001</v>
      </c>
      <c r="AQ143" s="40">
        <f t="shared" si="104"/>
        <v>1.7099999999999999E-3</v>
      </c>
      <c r="AR143" s="39">
        <f t="shared" si="110"/>
        <v>1.4179353167205118</v>
      </c>
      <c r="AS143" s="37">
        <f t="shared" si="111"/>
        <v>9.0666666666666664</v>
      </c>
      <c r="AT143" s="40">
        <f t="shared" si="112"/>
        <v>86.476021512621799</v>
      </c>
    </row>
    <row r="144" spans="17:46" x14ac:dyDescent="0.2">
      <c r="Q144">
        <v>137</v>
      </c>
      <c r="R144" s="39">
        <f t="shared" si="88"/>
        <v>5</v>
      </c>
      <c r="S144" s="37">
        <f t="shared" si="89"/>
        <v>1.8266666666666669</v>
      </c>
      <c r="T144" s="37">
        <f t="shared" si="90"/>
        <v>3.8</v>
      </c>
      <c r="U144" s="40">
        <f t="shared" si="91"/>
        <v>2.6705653021442499</v>
      </c>
      <c r="V144" s="39">
        <f t="shared" si="92"/>
        <v>2</v>
      </c>
      <c r="W144" s="37">
        <f t="shared" si="93"/>
        <v>0.24</v>
      </c>
      <c r="X144" s="40">
        <f t="shared" si="94"/>
        <v>0.76</v>
      </c>
      <c r="Y144" s="39">
        <f t="shared" si="95"/>
        <v>1.3818181818181816</v>
      </c>
      <c r="Z144" s="37">
        <f t="shared" ref="Z144:Z157" si="114">CHOOSE(V144,Y144,U144+(0.5*Y144))</f>
        <v>3.3614743930533408</v>
      </c>
      <c r="AA144" s="37">
        <f t="shared" ref="AA144:AA157" si="115">CHOOSE(V144,Z144*SQRT((W144+X144)/3),SQRT((U144^2)+((Y144^2)/12)))</f>
        <v>2.7001921210012232</v>
      </c>
      <c r="AB144" s="37">
        <v>0</v>
      </c>
      <c r="AC144" s="37">
        <f t="shared" si="96"/>
        <v>6.4890233663822044E-2</v>
      </c>
      <c r="AD144" s="40">
        <f t="shared" si="105"/>
        <v>6.4890233663822044E-2</v>
      </c>
      <c r="AE144" s="39">
        <f t="shared" si="113"/>
        <v>0.64093567251461991</v>
      </c>
      <c r="AF144" s="37">
        <f t="shared" si="106"/>
        <v>1.3228185807872901</v>
      </c>
      <c r="AG144" s="37">
        <f t="shared" si="97"/>
        <v>8.0493053893100613E-3</v>
      </c>
      <c r="AH144" s="37">
        <f t="shared" si="98"/>
        <v>0.11737793981723074</v>
      </c>
      <c r="AI144" s="40">
        <f t="shared" si="107"/>
        <v>0.12542724520654081</v>
      </c>
      <c r="AJ144" s="39">
        <f t="shared" si="108"/>
        <v>2.0296296296296301</v>
      </c>
      <c r="AK144" s="37">
        <f t="shared" si="99"/>
        <v>2.3539729167178165</v>
      </c>
      <c r="AL144" s="37">
        <f t="shared" si="100"/>
        <v>1.0594666666666668</v>
      </c>
      <c r="AM144" s="37">
        <f t="shared" si="101"/>
        <v>2.4552000000000001E-2</v>
      </c>
      <c r="AN144" s="40">
        <f t="shared" si="109"/>
        <v>1.0840186666666667</v>
      </c>
      <c r="AO144" s="39">
        <f t="shared" si="102"/>
        <v>3.4996979953522009E-2</v>
      </c>
      <c r="AP144" s="37">
        <f t="shared" si="103"/>
        <v>0.11701800000000001</v>
      </c>
      <c r="AQ144" s="40">
        <f t="shared" si="104"/>
        <v>1.7099999999999999E-3</v>
      </c>
      <c r="AR144" s="39">
        <f t="shared" si="110"/>
        <v>1.4280611254905515</v>
      </c>
      <c r="AS144" s="37">
        <f t="shared" si="111"/>
        <v>9.1333333333333346</v>
      </c>
      <c r="AT144" s="40">
        <f t="shared" si="112"/>
        <v>86.478479418052345</v>
      </c>
    </row>
    <row r="145" spans="17:46" x14ac:dyDescent="0.2">
      <c r="Q145">
        <v>138</v>
      </c>
      <c r="R145" s="39">
        <f t="shared" si="88"/>
        <v>5</v>
      </c>
      <c r="S145" s="37">
        <f t="shared" si="89"/>
        <v>1.84</v>
      </c>
      <c r="T145" s="37">
        <f t="shared" si="90"/>
        <v>3.8</v>
      </c>
      <c r="U145" s="40">
        <f t="shared" si="91"/>
        <v>2.6900584795321643</v>
      </c>
      <c r="V145" s="39">
        <f t="shared" si="92"/>
        <v>2</v>
      </c>
      <c r="W145" s="37">
        <f t="shared" si="93"/>
        <v>0.24</v>
      </c>
      <c r="X145" s="40">
        <f t="shared" si="94"/>
        <v>0.76</v>
      </c>
      <c r="Y145" s="39">
        <f t="shared" si="95"/>
        <v>1.3818181818181816</v>
      </c>
      <c r="Z145" s="37">
        <f t="shared" si="114"/>
        <v>3.3809675704412552</v>
      </c>
      <c r="AA145" s="37">
        <f t="shared" si="115"/>
        <v>2.7194729416935139</v>
      </c>
      <c r="AB145" s="37">
        <v>0</v>
      </c>
      <c r="AC145" s="37">
        <f t="shared" si="96"/>
        <v>6.5820244417368251E-2</v>
      </c>
      <c r="AD145" s="40">
        <f t="shared" si="105"/>
        <v>6.5820244417368251E-2</v>
      </c>
      <c r="AE145" s="39">
        <f t="shared" si="113"/>
        <v>0.64561403508771942</v>
      </c>
      <c r="AF145" s="37">
        <f t="shared" si="106"/>
        <v>1.3322642152909316</v>
      </c>
      <c r="AG145" s="37">
        <f t="shared" si="97"/>
        <v>8.1646685209859054E-3</v>
      </c>
      <c r="AH145" s="37">
        <f t="shared" si="98"/>
        <v>0.11823471310056818</v>
      </c>
      <c r="AI145" s="40">
        <f t="shared" si="107"/>
        <v>0.12639938162155409</v>
      </c>
      <c r="AJ145" s="39">
        <f t="shared" si="108"/>
        <v>2.0444444444444447</v>
      </c>
      <c r="AK145" s="37">
        <f t="shared" si="99"/>
        <v>2.3707815465070614</v>
      </c>
      <c r="AL145" s="37">
        <f t="shared" si="100"/>
        <v>1.0671999999999999</v>
      </c>
      <c r="AM145" s="37">
        <f t="shared" si="101"/>
        <v>2.4552000000000001E-2</v>
      </c>
      <c r="AN145" s="40">
        <f t="shared" si="109"/>
        <v>1.0917519999999998</v>
      </c>
      <c r="AO145" s="39">
        <f t="shared" si="102"/>
        <v>3.5498558786895236E-2</v>
      </c>
      <c r="AP145" s="37">
        <f t="shared" si="103"/>
        <v>0.11701800000000001</v>
      </c>
      <c r="AQ145" s="40">
        <f t="shared" si="104"/>
        <v>1.7099999999999999E-3</v>
      </c>
      <c r="AR145" s="39">
        <f t="shared" si="110"/>
        <v>1.4381981848258176</v>
      </c>
      <c r="AS145" s="37">
        <f t="shared" si="111"/>
        <v>9.2000000000000011</v>
      </c>
      <c r="AT145" s="40">
        <f t="shared" si="112"/>
        <v>86.480810379362509</v>
      </c>
    </row>
    <row r="146" spans="17:46" x14ac:dyDescent="0.2">
      <c r="Q146">
        <v>139</v>
      </c>
      <c r="R146" s="39">
        <f t="shared" si="88"/>
        <v>5</v>
      </c>
      <c r="S146" s="37">
        <f t="shared" si="89"/>
        <v>1.8533333333333335</v>
      </c>
      <c r="T146" s="37">
        <f t="shared" si="90"/>
        <v>3.8</v>
      </c>
      <c r="U146" s="40">
        <f t="shared" si="91"/>
        <v>2.7095516569200782</v>
      </c>
      <c r="V146" s="39">
        <f t="shared" si="92"/>
        <v>2</v>
      </c>
      <c r="W146" s="37">
        <f t="shared" si="93"/>
        <v>0.24</v>
      </c>
      <c r="X146" s="40">
        <f t="shared" si="94"/>
        <v>0.76</v>
      </c>
      <c r="Y146" s="39">
        <f t="shared" si="95"/>
        <v>1.3818181818181816</v>
      </c>
      <c r="Z146" s="37">
        <f t="shared" si="114"/>
        <v>3.4004607478291691</v>
      </c>
      <c r="AA146" s="37">
        <f t="shared" si="115"/>
        <v>2.7387567688311818</v>
      </c>
      <c r="AB146" s="37">
        <v>0</v>
      </c>
      <c r="AC146" s="37">
        <f t="shared" si="96"/>
        <v>6.6757018885485686E-2</v>
      </c>
      <c r="AD146" s="40">
        <f t="shared" si="105"/>
        <v>6.6757018885485686E-2</v>
      </c>
      <c r="AE146" s="39">
        <f t="shared" si="113"/>
        <v>0.6502923976608187</v>
      </c>
      <c r="AF146" s="37">
        <f t="shared" si="106"/>
        <v>1.341711322645996</v>
      </c>
      <c r="AG146" s="37">
        <f t="shared" si="97"/>
        <v>8.2808706572557525E-3</v>
      </c>
      <c r="AH146" s="37">
        <f t="shared" si="98"/>
        <v>0.11909148638390561</v>
      </c>
      <c r="AI146" s="40">
        <f t="shared" si="107"/>
        <v>0.12737235704116137</v>
      </c>
      <c r="AJ146" s="39">
        <f t="shared" si="108"/>
        <v>2.0592592592592593</v>
      </c>
      <c r="AK146" s="37">
        <f t="shared" si="99"/>
        <v>2.3875927972546216</v>
      </c>
      <c r="AL146" s="37">
        <f t="shared" si="100"/>
        <v>1.0749333333333333</v>
      </c>
      <c r="AM146" s="37">
        <f t="shared" si="101"/>
        <v>2.4552000000000001E-2</v>
      </c>
      <c r="AN146" s="40">
        <f t="shared" si="109"/>
        <v>1.0994853333333332</v>
      </c>
      <c r="AO146" s="39">
        <f t="shared" si="102"/>
        <v>3.600378546632936E-2</v>
      </c>
      <c r="AP146" s="37">
        <f t="shared" si="103"/>
        <v>0.11701800000000001</v>
      </c>
      <c r="AQ146" s="40">
        <f t="shared" si="104"/>
        <v>1.7099999999999999E-3</v>
      </c>
      <c r="AR146" s="39">
        <f t="shared" si="110"/>
        <v>1.4483464947263098</v>
      </c>
      <c r="AS146" s="37">
        <f t="shared" si="111"/>
        <v>9.2666666666666675</v>
      </c>
      <c r="AT146" s="40">
        <f t="shared" si="112"/>
        <v>86.483017118963375</v>
      </c>
    </row>
    <row r="147" spans="17:46" x14ac:dyDescent="0.2">
      <c r="Q147">
        <v>140</v>
      </c>
      <c r="R147" s="39">
        <f t="shared" si="88"/>
        <v>5</v>
      </c>
      <c r="S147" s="37">
        <f t="shared" si="89"/>
        <v>1.8666666666666667</v>
      </c>
      <c r="T147" s="37">
        <f t="shared" si="90"/>
        <v>3.8</v>
      </c>
      <c r="U147" s="40">
        <f t="shared" si="91"/>
        <v>2.7290448343079925</v>
      </c>
      <c r="V147" s="39">
        <f t="shared" si="92"/>
        <v>2</v>
      </c>
      <c r="W147" s="37">
        <f t="shared" si="93"/>
        <v>0.24</v>
      </c>
      <c r="X147" s="40">
        <f t="shared" si="94"/>
        <v>0.76</v>
      </c>
      <c r="Y147" s="39">
        <f t="shared" si="95"/>
        <v>1.3818181818181816</v>
      </c>
      <c r="Z147" s="37">
        <f t="shared" si="114"/>
        <v>3.4199539252170834</v>
      </c>
      <c r="AA147" s="37">
        <f t="shared" si="115"/>
        <v>2.7580435393523821</v>
      </c>
      <c r="AB147" s="37">
        <v>0</v>
      </c>
      <c r="AC147" s="37">
        <f t="shared" si="96"/>
        <v>6.7700557068174391E-2</v>
      </c>
      <c r="AD147" s="40">
        <f t="shared" si="105"/>
        <v>6.7700557068174391E-2</v>
      </c>
      <c r="AE147" s="39">
        <f t="shared" si="113"/>
        <v>0.6549707602339182</v>
      </c>
      <c r="AF147" s="37">
        <f t="shared" si="106"/>
        <v>1.3511598719586144</v>
      </c>
      <c r="AG147" s="37">
        <f t="shared" si="97"/>
        <v>8.3979117981196078E-3</v>
      </c>
      <c r="AH147" s="37">
        <f t="shared" si="98"/>
        <v>0.11994825966724307</v>
      </c>
      <c r="AI147" s="40">
        <f t="shared" si="107"/>
        <v>0.12834617146536267</v>
      </c>
      <c r="AJ147" s="39">
        <f t="shared" si="108"/>
        <v>2.0740740740740744</v>
      </c>
      <c r="AK147" s="37">
        <f t="shared" si="99"/>
        <v>2.4044066139844555</v>
      </c>
      <c r="AL147" s="37">
        <f t="shared" si="100"/>
        <v>1.0826666666666667</v>
      </c>
      <c r="AM147" s="37">
        <f t="shared" si="101"/>
        <v>2.4552000000000001E-2</v>
      </c>
      <c r="AN147" s="40">
        <f t="shared" si="109"/>
        <v>1.1072186666666666</v>
      </c>
      <c r="AO147" s="39">
        <f t="shared" si="102"/>
        <v>3.6512659991824389E-2</v>
      </c>
      <c r="AP147" s="37">
        <f t="shared" si="103"/>
        <v>0.11701800000000001</v>
      </c>
      <c r="AQ147" s="40">
        <f t="shared" si="104"/>
        <v>1.7099999999999999E-3</v>
      </c>
      <c r="AR147" s="39">
        <f t="shared" si="110"/>
        <v>1.4585060551920281</v>
      </c>
      <c r="AS147" s="37">
        <f t="shared" si="111"/>
        <v>9.3333333333333339</v>
      </c>
      <c r="AT147" s="40">
        <f t="shared" si="112"/>
        <v>86.48510228253754</v>
      </c>
    </row>
    <row r="148" spans="17:46" x14ac:dyDescent="0.2">
      <c r="Q148">
        <v>141</v>
      </c>
      <c r="R148" s="39">
        <f t="shared" si="88"/>
        <v>5</v>
      </c>
      <c r="S148" s="37">
        <f t="shared" si="89"/>
        <v>1.8800000000000001</v>
      </c>
      <c r="T148" s="37">
        <f t="shared" si="90"/>
        <v>3.8</v>
      </c>
      <c r="U148" s="40">
        <f t="shared" si="91"/>
        <v>2.7485380116959064</v>
      </c>
      <c r="V148" s="39">
        <f t="shared" si="92"/>
        <v>2</v>
      </c>
      <c r="W148" s="37">
        <f t="shared" si="93"/>
        <v>0.24</v>
      </c>
      <c r="X148" s="40">
        <f t="shared" si="94"/>
        <v>0.76</v>
      </c>
      <c r="Y148" s="39">
        <f t="shared" si="95"/>
        <v>1.3818181818181816</v>
      </c>
      <c r="Z148" s="37">
        <f t="shared" si="114"/>
        <v>3.4394471026049973</v>
      </c>
      <c r="AA148" s="37">
        <f t="shared" si="115"/>
        <v>2.7773331919374673</v>
      </c>
      <c r="AB148" s="37">
        <v>0</v>
      </c>
      <c r="AC148" s="37">
        <f t="shared" si="96"/>
        <v>6.8650858965434283E-2</v>
      </c>
      <c r="AD148" s="40">
        <f t="shared" si="105"/>
        <v>6.8650858965434283E-2</v>
      </c>
      <c r="AE148" s="39">
        <f t="shared" si="113"/>
        <v>0.65964912280701749</v>
      </c>
      <c r="AF148" s="37">
        <f t="shared" si="106"/>
        <v>1.3606098331884182</v>
      </c>
      <c r="AG148" s="37">
        <f t="shared" si="97"/>
        <v>8.5157919435774696E-3</v>
      </c>
      <c r="AH148" s="37">
        <f t="shared" si="98"/>
        <v>0.12080503295058051</v>
      </c>
      <c r="AI148" s="40">
        <f t="shared" si="107"/>
        <v>0.12932082489415797</v>
      </c>
      <c r="AJ148" s="39">
        <f t="shared" si="108"/>
        <v>2.088888888888889</v>
      </c>
      <c r="AK148" s="37">
        <f t="shared" si="99"/>
        <v>2.4212229432393348</v>
      </c>
      <c r="AL148" s="37">
        <f t="shared" si="100"/>
        <v>1.0904</v>
      </c>
      <c r="AM148" s="37">
        <f t="shared" si="101"/>
        <v>2.4552000000000001E-2</v>
      </c>
      <c r="AN148" s="40">
        <f t="shared" si="109"/>
        <v>1.1149519999999999</v>
      </c>
      <c r="AO148" s="39">
        <f t="shared" si="102"/>
        <v>3.7025182363380309E-2</v>
      </c>
      <c r="AP148" s="37">
        <f t="shared" si="103"/>
        <v>0.11701800000000001</v>
      </c>
      <c r="AQ148" s="40">
        <f t="shared" si="104"/>
        <v>1.7099999999999999E-3</v>
      </c>
      <c r="AR148" s="39">
        <f t="shared" si="110"/>
        <v>1.4686768662229726</v>
      </c>
      <c r="AS148" s="37">
        <f t="shared" si="111"/>
        <v>9.4</v>
      </c>
      <c r="AT148" s="40">
        <f t="shared" si="112"/>
        <v>86.48706844172321</v>
      </c>
    </row>
    <row r="149" spans="17:46" x14ac:dyDescent="0.2">
      <c r="Q149">
        <v>142</v>
      </c>
      <c r="R149" s="39">
        <f t="shared" si="88"/>
        <v>5</v>
      </c>
      <c r="S149" s="37">
        <f t="shared" si="89"/>
        <v>1.8933333333333335</v>
      </c>
      <c r="T149" s="37">
        <f t="shared" si="90"/>
        <v>3.8</v>
      </c>
      <c r="U149" s="40">
        <f t="shared" si="91"/>
        <v>2.7680311890838212</v>
      </c>
      <c r="V149" s="39">
        <f t="shared" si="92"/>
        <v>2</v>
      </c>
      <c r="W149" s="37">
        <f t="shared" si="93"/>
        <v>0.24</v>
      </c>
      <c r="X149" s="40">
        <f t="shared" si="94"/>
        <v>0.76</v>
      </c>
      <c r="Y149" s="39">
        <f t="shared" si="95"/>
        <v>1.3818181818181816</v>
      </c>
      <c r="Z149" s="37">
        <f t="shared" si="114"/>
        <v>3.4589402799929121</v>
      </c>
      <c r="AA149" s="37">
        <f t="shared" si="115"/>
        <v>2.7966256669495597</v>
      </c>
      <c r="AB149" s="37">
        <v>0</v>
      </c>
      <c r="AC149" s="37">
        <f t="shared" si="96"/>
        <v>6.9607924577265515E-2</v>
      </c>
      <c r="AD149" s="40">
        <f t="shared" si="105"/>
        <v>6.9607924577265515E-2</v>
      </c>
      <c r="AE149" s="39">
        <f t="shared" si="113"/>
        <v>0.6643274853801171</v>
      </c>
      <c r="AF149" s="37">
        <f t="shared" si="106"/>
        <v>1.370061177119422</v>
      </c>
      <c r="AG149" s="37">
        <f t="shared" si="97"/>
        <v>8.6345110936293379E-3</v>
      </c>
      <c r="AH149" s="37">
        <f t="shared" si="98"/>
        <v>0.12166180623391798</v>
      </c>
      <c r="AI149" s="40">
        <f t="shared" si="107"/>
        <v>0.13029631732754732</v>
      </c>
      <c r="AJ149" s="39">
        <f t="shared" si="108"/>
        <v>2.1037037037037041</v>
      </c>
      <c r="AK149" s="37">
        <f t="shared" si="99"/>
        <v>2.4380417330290336</v>
      </c>
      <c r="AL149" s="37">
        <f t="shared" si="100"/>
        <v>1.0981333333333334</v>
      </c>
      <c r="AM149" s="37">
        <f t="shared" si="101"/>
        <v>2.4552000000000001E-2</v>
      </c>
      <c r="AN149" s="40">
        <f t="shared" si="109"/>
        <v>1.1226853333333333</v>
      </c>
      <c r="AO149" s="39">
        <f t="shared" si="102"/>
        <v>3.7541352580997125E-2</v>
      </c>
      <c r="AP149" s="37">
        <f t="shared" si="103"/>
        <v>0.11701800000000001</v>
      </c>
      <c r="AQ149" s="40">
        <f t="shared" si="104"/>
        <v>1.7099999999999999E-3</v>
      </c>
      <c r="AR149" s="39">
        <f t="shared" si="110"/>
        <v>1.4788589278191435</v>
      </c>
      <c r="AS149" s="37">
        <f t="shared" si="111"/>
        <v>9.4666666666666686</v>
      </c>
      <c r="AT149" s="40">
        <f t="shared" si="112"/>
        <v>86.488918096686291</v>
      </c>
    </row>
    <row r="150" spans="17:46" x14ac:dyDescent="0.2">
      <c r="Q150">
        <v>143</v>
      </c>
      <c r="R150" s="39">
        <f t="shared" si="88"/>
        <v>5</v>
      </c>
      <c r="S150" s="37">
        <f t="shared" si="89"/>
        <v>1.9066666666666667</v>
      </c>
      <c r="T150" s="37">
        <f t="shared" si="90"/>
        <v>3.8</v>
      </c>
      <c r="U150" s="40">
        <f t="shared" si="91"/>
        <v>2.7875243664717351</v>
      </c>
      <c r="V150" s="39">
        <f t="shared" si="92"/>
        <v>2</v>
      </c>
      <c r="W150" s="37">
        <f t="shared" si="93"/>
        <v>0.24</v>
      </c>
      <c r="X150" s="40">
        <f t="shared" si="94"/>
        <v>0.76</v>
      </c>
      <c r="Y150" s="39">
        <f t="shared" si="95"/>
        <v>1.3818181818181816</v>
      </c>
      <c r="Z150" s="37">
        <f t="shared" si="114"/>
        <v>3.478433457380826</v>
      </c>
      <c r="AA150" s="37">
        <f t="shared" si="115"/>
        <v>2.8159209063775075</v>
      </c>
      <c r="AB150" s="37">
        <v>0</v>
      </c>
      <c r="AC150" s="37">
        <f t="shared" si="96"/>
        <v>7.0571753903667919E-2</v>
      </c>
      <c r="AD150" s="40">
        <f t="shared" si="105"/>
        <v>7.0571753903667919E-2</v>
      </c>
      <c r="AE150" s="39">
        <f t="shared" si="113"/>
        <v>0.66900584795321638</v>
      </c>
      <c r="AF150" s="37">
        <f t="shared" si="106"/>
        <v>1.379513875332083</v>
      </c>
      <c r="AG150" s="37">
        <f t="shared" si="97"/>
        <v>8.7540692482752126E-3</v>
      </c>
      <c r="AH150" s="37">
        <f t="shared" si="98"/>
        <v>0.12251857951725544</v>
      </c>
      <c r="AI150" s="40">
        <f t="shared" si="107"/>
        <v>0.13127264876553066</v>
      </c>
      <c r="AJ150" s="39">
        <f t="shared" si="108"/>
        <v>2.1185185185185187</v>
      </c>
      <c r="AK150" s="37">
        <f t="shared" si="99"/>
        <v>2.4548629327806029</v>
      </c>
      <c r="AL150" s="37">
        <f t="shared" si="100"/>
        <v>1.1058666666666666</v>
      </c>
      <c r="AM150" s="37">
        <f t="shared" si="101"/>
        <v>2.4552000000000001E-2</v>
      </c>
      <c r="AN150" s="40">
        <f t="shared" si="109"/>
        <v>1.1304186666666665</v>
      </c>
      <c r="AO150" s="39">
        <f t="shared" si="102"/>
        <v>3.806117064467484E-2</v>
      </c>
      <c r="AP150" s="37">
        <f t="shared" si="103"/>
        <v>0.11701800000000001</v>
      </c>
      <c r="AQ150" s="40">
        <f t="shared" si="104"/>
        <v>1.7099999999999999E-3</v>
      </c>
      <c r="AR150" s="39">
        <f t="shared" si="110"/>
        <v>1.4890522399805399</v>
      </c>
      <c r="AS150" s="37">
        <f t="shared" si="111"/>
        <v>9.5333333333333332</v>
      </c>
      <c r="AT150" s="40">
        <f t="shared" si="112"/>
        <v>86.490653678586042</v>
      </c>
    </row>
    <row r="151" spans="17:46" x14ac:dyDescent="0.2">
      <c r="Q151">
        <v>144</v>
      </c>
      <c r="R151" s="39">
        <f t="shared" si="88"/>
        <v>5</v>
      </c>
      <c r="S151" s="37">
        <f t="shared" si="89"/>
        <v>1.9200000000000002</v>
      </c>
      <c r="T151" s="37">
        <f t="shared" si="90"/>
        <v>3.8</v>
      </c>
      <c r="U151" s="40">
        <f t="shared" si="91"/>
        <v>2.8070175438596494</v>
      </c>
      <c r="V151" s="39">
        <f t="shared" si="92"/>
        <v>2</v>
      </c>
      <c r="W151" s="37">
        <f t="shared" si="93"/>
        <v>0.24</v>
      </c>
      <c r="X151" s="40">
        <f t="shared" si="94"/>
        <v>0.76</v>
      </c>
      <c r="Y151" s="39">
        <f t="shared" si="95"/>
        <v>1.3818181818181816</v>
      </c>
      <c r="Z151" s="37">
        <f t="shared" si="114"/>
        <v>3.4979266347687403</v>
      </c>
      <c r="AA151" s="37">
        <f t="shared" si="115"/>
        <v>2.8352188537811567</v>
      </c>
      <c r="AB151" s="37">
        <v>0</v>
      </c>
      <c r="AC151" s="37">
        <f t="shared" si="96"/>
        <v>7.1542346944641608E-2</v>
      </c>
      <c r="AD151" s="40">
        <f t="shared" si="105"/>
        <v>7.1542346944641608E-2</v>
      </c>
      <c r="AE151" s="39">
        <f t="shared" si="113"/>
        <v>0.67368421052631589</v>
      </c>
      <c r="AF151" s="37">
        <f t="shared" si="106"/>
        <v>1.3889679001764843</v>
      </c>
      <c r="AG151" s="37">
        <f t="shared" si="97"/>
        <v>8.8744664075150921E-3</v>
      </c>
      <c r="AH151" s="37">
        <f t="shared" si="98"/>
        <v>0.12337535280059288</v>
      </c>
      <c r="AI151" s="40">
        <f t="shared" si="107"/>
        <v>0.13224981920810797</v>
      </c>
      <c r="AJ151" s="39">
        <f t="shared" si="108"/>
        <v>2.1333333333333337</v>
      </c>
      <c r="AK151" s="37">
        <f t="shared" si="99"/>
        <v>2.4716864932906564</v>
      </c>
      <c r="AL151" s="37">
        <f t="shared" si="100"/>
        <v>1.1135999999999999</v>
      </c>
      <c r="AM151" s="37">
        <f t="shared" si="101"/>
        <v>2.4552000000000001E-2</v>
      </c>
      <c r="AN151" s="40">
        <f t="shared" si="109"/>
        <v>1.1381519999999998</v>
      </c>
      <c r="AO151" s="39">
        <f t="shared" si="102"/>
        <v>3.8584636554413444E-2</v>
      </c>
      <c r="AP151" s="37">
        <f t="shared" si="103"/>
        <v>0.11701800000000001</v>
      </c>
      <c r="AQ151" s="40">
        <f t="shared" si="104"/>
        <v>1.7099999999999999E-3</v>
      </c>
      <c r="AR151" s="39">
        <f t="shared" si="110"/>
        <v>1.4992568027071629</v>
      </c>
      <c r="AS151" s="37">
        <f t="shared" si="111"/>
        <v>9.6000000000000014</v>
      </c>
      <c r="AT151" s="40">
        <f t="shared" si="112"/>
        <v>86.492277551939452</v>
      </c>
    </row>
    <row r="152" spans="17:46" x14ac:dyDescent="0.2">
      <c r="Q152">
        <v>145</v>
      </c>
      <c r="R152" s="39">
        <f t="shared" si="88"/>
        <v>5</v>
      </c>
      <c r="S152" s="37">
        <f t="shared" si="89"/>
        <v>1.9333333333333333</v>
      </c>
      <c r="T152" s="37">
        <f t="shared" si="90"/>
        <v>3.8</v>
      </c>
      <c r="U152" s="40">
        <f t="shared" si="91"/>
        <v>2.8265107212475633</v>
      </c>
      <c r="V152" s="39">
        <f t="shared" si="92"/>
        <v>2</v>
      </c>
      <c r="W152" s="37">
        <f t="shared" si="93"/>
        <v>0.24</v>
      </c>
      <c r="X152" s="40">
        <f t="shared" si="94"/>
        <v>0.76</v>
      </c>
      <c r="Y152" s="39">
        <f t="shared" si="95"/>
        <v>1.3818181818181816</v>
      </c>
      <c r="Z152" s="37">
        <f t="shared" si="114"/>
        <v>3.5174198121566542</v>
      </c>
      <c r="AA152" s="37">
        <f t="shared" si="115"/>
        <v>2.8545194542387859</v>
      </c>
      <c r="AB152" s="37">
        <v>0</v>
      </c>
      <c r="AC152" s="37">
        <f t="shared" si="96"/>
        <v>7.2519703700186497E-2</v>
      </c>
      <c r="AD152" s="40">
        <f t="shared" si="105"/>
        <v>7.2519703700186497E-2</v>
      </c>
      <c r="AE152" s="39">
        <f t="shared" si="113"/>
        <v>0.67836257309941517</v>
      </c>
      <c r="AF152" s="37">
        <f t="shared" si="106"/>
        <v>1.3984232247465882</v>
      </c>
      <c r="AG152" s="37">
        <f t="shared" si="97"/>
        <v>8.9957025713489746E-3</v>
      </c>
      <c r="AH152" s="37">
        <f t="shared" si="98"/>
        <v>0.12423212608393031</v>
      </c>
      <c r="AI152" s="40">
        <f t="shared" si="107"/>
        <v>0.13322782865527927</v>
      </c>
      <c r="AJ152" s="39">
        <f t="shared" si="108"/>
        <v>2.1481481481481479</v>
      </c>
      <c r="AK152" s="37">
        <f t="shared" si="99"/>
        <v>2.4885123666795486</v>
      </c>
      <c r="AL152" s="37">
        <f t="shared" si="100"/>
        <v>1.1213333333333333</v>
      </c>
      <c r="AM152" s="37">
        <f t="shared" si="101"/>
        <v>2.4552000000000001E-2</v>
      </c>
      <c r="AN152" s="40">
        <f t="shared" si="109"/>
        <v>1.1458853333333332</v>
      </c>
      <c r="AO152" s="39">
        <f t="shared" si="102"/>
        <v>3.9111750310212939E-2</v>
      </c>
      <c r="AP152" s="37">
        <f t="shared" si="103"/>
        <v>0.11701800000000001</v>
      </c>
      <c r="AQ152" s="40">
        <f t="shared" si="104"/>
        <v>1.7099999999999999E-3</v>
      </c>
      <c r="AR152" s="39">
        <f t="shared" si="110"/>
        <v>1.5094726159990122</v>
      </c>
      <c r="AS152" s="37">
        <f t="shared" si="111"/>
        <v>9.6666666666666661</v>
      </c>
      <c r="AT152" s="40">
        <f t="shared" si="112"/>
        <v>86.493792016888861</v>
      </c>
    </row>
    <row r="153" spans="17:46" x14ac:dyDescent="0.2">
      <c r="Q153">
        <v>146</v>
      </c>
      <c r="R153" s="39">
        <f t="shared" si="88"/>
        <v>5</v>
      </c>
      <c r="S153" s="37">
        <f t="shared" si="89"/>
        <v>1.9466666666666668</v>
      </c>
      <c r="T153" s="37">
        <f t="shared" si="90"/>
        <v>3.8</v>
      </c>
      <c r="U153" s="40">
        <f t="shared" si="91"/>
        <v>2.8460038986354781</v>
      </c>
      <c r="V153" s="39">
        <f t="shared" si="92"/>
        <v>2</v>
      </c>
      <c r="W153" s="37">
        <f t="shared" si="93"/>
        <v>0.24</v>
      </c>
      <c r="X153" s="40">
        <f t="shared" si="94"/>
        <v>0.76</v>
      </c>
      <c r="Y153" s="39">
        <f t="shared" si="95"/>
        <v>1.3818181818181816</v>
      </c>
      <c r="Z153" s="37">
        <f t="shared" si="114"/>
        <v>3.536912989544569</v>
      </c>
      <c r="AA153" s="37">
        <f t="shared" si="115"/>
        <v>2.8738226542966454</v>
      </c>
      <c r="AB153" s="37">
        <v>0</v>
      </c>
      <c r="AC153" s="37">
        <f t="shared" si="96"/>
        <v>7.350382417030267E-2</v>
      </c>
      <c r="AD153" s="40">
        <f t="shared" si="105"/>
        <v>7.350382417030267E-2</v>
      </c>
      <c r="AE153" s="39">
        <f t="shared" si="113"/>
        <v>0.68304093567251467</v>
      </c>
      <c r="AF153" s="37">
        <f t="shared" si="106"/>
        <v>1.4078798228555118</v>
      </c>
      <c r="AG153" s="37">
        <f t="shared" si="97"/>
        <v>9.1177777397768705E-3</v>
      </c>
      <c r="AH153" s="37">
        <f t="shared" si="98"/>
        <v>0.1250888993672678</v>
      </c>
      <c r="AI153" s="40">
        <f t="shared" si="107"/>
        <v>0.13420667710704468</v>
      </c>
      <c r="AJ153" s="39">
        <f t="shared" si="108"/>
        <v>2.1629629629629634</v>
      </c>
      <c r="AK153" s="37">
        <f t="shared" si="99"/>
        <v>2.5053405063473804</v>
      </c>
      <c r="AL153" s="37">
        <f t="shared" si="100"/>
        <v>1.1290666666666667</v>
      </c>
      <c r="AM153" s="37">
        <f t="shared" si="101"/>
        <v>2.4552000000000001E-2</v>
      </c>
      <c r="AN153" s="40">
        <f t="shared" si="109"/>
        <v>1.1536186666666666</v>
      </c>
      <c r="AO153" s="39">
        <f t="shared" si="102"/>
        <v>3.9642511912073346E-2</v>
      </c>
      <c r="AP153" s="37">
        <f t="shared" si="103"/>
        <v>0.11701800000000001</v>
      </c>
      <c r="AQ153" s="40">
        <f t="shared" si="104"/>
        <v>1.7099999999999999E-3</v>
      </c>
      <c r="AR153" s="39">
        <f t="shared" si="110"/>
        <v>1.5196996798560876</v>
      </c>
      <c r="AS153" s="37">
        <f t="shared" si="111"/>
        <v>9.7333333333333343</v>
      </c>
      <c r="AT153" s="40">
        <f t="shared" si="112"/>
        <v>86.495199311377817</v>
      </c>
    </row>
    <row r="154" spans="17:46" x14ac:dyDescent="0.2">
      <c r="Q154">
        <v>147</v>
      </c>
      <c r="R154" s="39">
        <f t="shared" si="88"/>
        <v>5</v>
      </c>
      <c r="S154" s="37">
        <f t="shared" si="89"/>
        <v>1.9600000000000002</v>
      </c>
      <c r="T154" s="37">
        <f t="shared" si="90"/>
        <v>3.8</v>
      </c>
      <c r="U154" s="40">
        <f t="shared" si="91"/>
        <v>2.865497076023392</v>
      </c>
      <c r="V154" s="39">
        <f t="shared" si="92"/>
        <v>2</v>
      </c>
      <c r="W154" s="37">
        <f t="shared" si="93"/>
        <v>0.24</v>
      </c>
      <c r="X154" s="40">
        <f t="shared" si="94"/>
        <v>0.76</v>
      </c>
      <c r="Y154" s="39">
        <f t="shared" si="95"/>
        <v>1.3818181818181816</v>
      </c>
      <c r="Z154" s="37">
        <f t="shared" si="114"/>
        <v>3.5564061669324829</v>
      </c>
      <c r="AA154" s="37">
        <f t="shared" si="115"/>
        <v>2.8931284019204688</v>
      </c>
      <c r="AB154" s="37">
        <v>0</v>
      </c>
      <c r="AC154" s="37">
        <f t="shared" si="96"/>
        <v>7.4494708354990072E-2</v>
      </c>
      <c r="AD154" s="40">
        <f t="shared" si="105"/>
        <v>7.4494708354990072E-2</v>
      </c>
      <c r="AE154" s="39">
        <f t="shared" si="113"/>
        <v>0.68771929824561406</v>
      </c>
      <c r="AF154" s="37">
        <f t="shared" si="106"/>
        <v>1.4173376690117752</v>
      </c>
      <c r="AG154" s="37">
        <f t="shared" si="97"/>
        <v>9.2406919127987677E-3</v>
      </c>
      <c r="AH154" s="37">
        <f t="shared" si="98"/>
        <v>0.12594567265060522</v>
      </c>
      <c r="AI154" s="40">
        <f t="shared" si="107"/>
        <v>0.13518636456340399</v>
      </c>
      <c r="AJ154" s="39">
        <f t="shared" si="108"/>
        <v>2.177777777777778</v>
      </c>
      <c r="AK154" s="37">
        <f t="shared" si="99"/>
        <v>2.5221708669317295</v>
      </c>
      <c r="AL154" s="37">
        <f t="shared" si="100"/>
        <v>1.1368</v>
      </c>
      <c r="AM154" s="37">
        <f t="shared" si="101"/>
        <v>2.4552000000000001E-2</v>
      </c>
      <c r="AN154" s="40">
        <f t="shared" si="109"/>
        <v>1.1613519999999999</v>
      </c>
      <c r="AO154" s="39">
        <f t="shared" si="102"/>
        <v>4.0176921359994643E-2</v>
      </c>
      <c r="AP154" s="37">
        <f t="shared" si="103"/>
        <v>0.11701800000000001</v>
      </c>
      <c r="AQ154" s="40">
        <f t="shared" si="104"/>
        <v>1.7099999999999999E-3</v>
      </c>
      <c r="AR154" s="39">
        <f t="shared" si="110"/>
        <v>1.5299379942783888</v>
      </c>
      <c r="AS154" s="37">
        <f t="shared" si="111"/>
        <v>9.8000000000000007</v>
      </c>
      <c r="AT154" s="40">
        <f t="shared" si="112"/>
        <v>86.496501613239147</v>
      </c>
    </row>
    <row r="155" spans="17:46" x14ac:dyDescent="0.2">
      <c r="Q155">
        <v>148</v>
      </c>
      <c r="R155" s="39">
        <f t="shared" si="88"/>
        <v>5</v>
      </c>
      <c r="S155" s="37">
        <f t="shared" si="89"/>
        <v>1.9733333333333334</v>
      </c>
      <c r="T155" s="37">
        <f t="shared" si="90"/>
        <v>3.8</v>
      </c>
      <c r="U155" s="40">
        <f t="shared" si="91"/>
        <v>2.8849902534113063</v>
      </c>
      <c r="V155" s="39">
        <f t="shared" si="92"/>
        <v>2</v>
      </c>
      <c r="W155" s="37">
        <f t="shared" si="93"/>
        <v>0.24</v>
      </c>
      <c r="X155" s="40">
        <f t="shared" si="94"/>
        <v>0.76</v>
      </c>
      <c r="Y155" s="39">
        <f t="shared" si="95"/>
        <v>1.3818181818181816</v>
      </c>
      <c r="Z155" s="37">
        <f t="shared" si="114"/>
        <v>3.5758993443203972</v>
      </c>
      <c r="AA155" s="37">
        <f t="shared" si="115"/>
        <v>2.9124366464488989</v>
      </c>
      <c r="AB155" s="37">
        <v>0</v>
      </c>
      <c r="AC155" s="37">
        <f t="shared" si="96"/>
        <v>7.5492356254248716E-2</v>
      </c>
      <c r="AD155" s="40">
        <f t="shared" si="105"/>
        <v>7.5492356254248716E-2</v>
      </c>
      <c r="AE155" s="39">
        <f t="shared" si="113"/>
        <v>0.69239766081871346</v>
      </c>
      <c r="AF155" s="37">
        <f t="shared" si="106"/>
        <v>1.426796738396483</v>
      </c>
      <c r="AG155" s="37">
        <f t="shared" si="97"/>
        <v>9.364445090414673E-3</v>
      </c>
      <c r="AH155" s="37">
        <f t="shared" si="98"/>
        <v>0.12680244593394269</v>
      </c>
      <c r="AI155" s="40">
        <f t="shared" si="107"/>
        <v>0.13616689102435736</v>
      </c>
      <c r="AJ155" s="39">
        <f t="shared" si="108"/>
        <v>2.1925925925925926</v>
      </c>
      <c r="AK155" s="37">
        <f t="shared" si="99"/>
        <v>2.5390034042670497</v>
      </c>
      <c r="AL155" s="37">
        <f t="shared" si="100"/>
        <v>1.1445333333333332</v>
      </c>
      <c r="AM155" s="37">
        <f t="shared" si="101"/>
        <v>2.4552000000000001E-2</v>
      </c>
      <c r="AN155" s="40">
        <f t="shared" si="109"/>
        <v>1.1690853333333331</v>
      </c>
      <c r="AO155" s="39">
        <f t="shared" si="102"/>
        <v>4.0714978653976844E-2</v>
      </c>
      <c r="AP155" s="37">
        <f t="shared" si="103"/>
        <v>0.11701800000000001</v>
      </c>
      <c r="AQ155" s="40">
        <f t="shared" si="104"/>
        <v>1.7099999999999999E-3</v>
      </c>
      <c r="AR155" s="39">
        <f t="shared" si="110"/>
        <v>1.5401875592659162</v>
      </c>
      <c r="AS155" s="37">
        <f t="shared" si="111"/>
        <v>9.8666666666666671</v>
      </c>
      <c r="AT155" s="40">
        <f t="shared" si="112"/>
        <v>86.497701042199509</v>
      </c>
    </row>
    <row r="156" spans="17:46" x14ac:dyDescent="0.2">
      <c r="Q156">
        <v>149</v>
      </c>
      <c r="R156" s="39">
        <f t="shared" si="88"/>
        <v>5</v>
      </c>
      <c r="S156" s="37">
        <f t="shared" si="89"/>
        <v>1.9866666666666668</v>
      </c>
      <c r="T156" s="37">
        <f t="shared" si="90"/>
        <v>3.8</v>
      </c>
      <c r="U156" s="40">
        <f t="shared" si="91"/>
        <v>2.9044834307992202</v>
      </c>
      <c r="V156" s="39">
        <f t="shared" si="92"/>
        <v>2</v>
      </c>
      <c r="W156" s="37">
        <f t="shared" si="93"/>
        <v>0.24</v>
      </c>
      <c r="X156" s="40">
        <f t="shared" si="94"/>
        <v>0.76</v>
      </c>
      <c r="Y156" s="39">
        <f t="shared" si="95"/>
        <v>1.3818181818181816</v>
      </c>
      <c r="Z156" s="37">
        <f t="shared" si="114"/>
        <v>3.5953925217083111</v>
      </c>
      <c r="AA156" s="37">
        <f t="shared" si="115"/>
        <v>2.9317473385487167</v>
      </c>
      <c r="AB156" s="37">
        <v>0</v>
      </c>
      <c r="AC156" s="37">
        <f t="shared" si="96"/>
        <v>7.6496767868078602E-2</v>
      </c>
      <c r="AD156" s="40">
        <f t="shared" si="105"/>
        <v>7.6496767868078602E-2</v>
      </c>
      <c r="AE156" s="39">
        <f t="shared" si="113"/>
        <v>0.69707602339181285</v>
      </c>
      <c r="AF156" s="37">
        <f t="shared" si="106"/>
        <v>1.4362570068413925</v>
      </c>
      <c r="AG156" s="37">
        <f t="shared" si="97"/>
        <v>9.4890372726245814E-3</v>
      </c>
      <c r="AH156" s="37">
        <f t="shared" si="98"/>
        <v>0.12765921921728013</v>
      </c>
      <c r="AI156" s="40">
        <f t="shared" si="107"/>
        <v>0.1371482564899047</v>
      </c>
      <c r="AJ156" s="39">
        <f t="shared" si="108"/>
        <v>2.2074074074074073</v>
      </c>
      <c r="AK156" s="37">
        <f t="shared" si="99"/>
        <v>2.5558380753456365</v>
      </c>
      <c r="AL156" s="37">
        <f t="shared" si="100"/>
        <v>1.1522666666666668</v>
      </c>
      <c r="AM156" s="37">
        <f t="shared" si="101"/>
        <v>2.4552000000000001E-2</v>
      </c>
      <c r="AN156" s="40">
        <f t="shared" si="109"/>
        <v>1.1768186666666667</v>
      </c>
      <c r="AO156" s="39">
        <f t="shared" si="102"/>
        <v>4.1256683794019915E-2</v>
      </c>
      <c r="AP156" s="37">
        <f t="shared" si="103"/>
        <v>0.11701800000000001</v>
      </c>
      <c r="AQ156" s="40">
        <f t="shared" si="104"/>
        <v>1.7099999999999999E-3</v>
      </c>
      <c r="AR156" s="39">
        <f t="shared" si="110"/>
        <v>1.5504483748186699</v>
      </c>
      <c r="AS156" s="37">
        <f t="shared" si="111"/>
        <v>9.9333333333333336</v>
      </c>
      <c r="AT156" s="40">
        <f t="shared" si="112"/>
        <v>86.498799661804341</v>
      </c>
    </row>
    <row r="157" spans="17:46" ht="16" thickBot="1" x14ac:dyDescent="0.25">
      <c r="Q157">
        <v>150</v>
      </c>
      <c r="R157" s="41">
        <f t="shared" si="88"/>
        <v>5</v>
      </c>
      <c r="S157" s="42">
        <f t="shared" si="89"/>
        <v>2</v>
      </c>
      <c r="T157" s="42">
        <f t="shared" si="90"/>
        <v>3.8</v>
      </c>
      <c r="U157" s="43">
        <f t="shared" si="91"/>
        <v>2.9239766081871346</v>
      </c>
      <c r="V157" s="41">
        <f t="shared" si="92"/>
        <v>2</v>
      </c>
      <c r="W157" s="42">
        <f t="shared" si="93"/>
        <v>0.24</v>
      </c>
      <c r="X157" s="43">
        <f t="shared" si="94"/>
        <v>0.76</v>
      </c>
      <c r="Y157" s="41">
        <f t="shared" si="95"/>
        <v>1.3818181818181816</v>
      </c>
      <c r="Z157" s="42">
        <f t="shared" si="114"/>
        <v>3.6148856990962255</v>
      </c>
      <c r="AA157" s="42">
        <f t="shared" si="115"/>
        <v>2.951060430171808</v>
      </c>
      <c r="AB157" s="42">
        <v>0</v>
      </c>
      <c r="AC157" s="42">
        <f t="shared" si="96"/>
        <v>7.7507943196479759E-2</v>
      </c>
      <c r="AD157" s="43">
        <f t="shared" si="105"/>
        <v>7.7507943196479759E-2</v>
      </c>
      <c r="AE157" s="41">
        <f t="shared" si="113"/>
        <v>0.70175438596491224</v>
      </c>
      <c r="AF157" s="37">
        <f t="shared" si="106"/>
        <v>1.4457184508078313</v>
      </c>
      <c r="AG157" s="42">
        <f t="shared" si="97"/>
        <v>9.6144684594285015E-3</v>
      </c>
      <c r="AH157" s="42">
        <f t="shared" si="98"/>
        <v>0.12851599250061757</v>
      </c>
      <c r="AI157" s="43">
        <f t="shared" si="107"/>
        <v>0.13813046096004608</v>
      </c>
      <c r="AJ157" s="41">
        <f>X157*U157</f>
        <v>2.2222222222222223</v>
      </c>
      <c r="AK157" s="42">
        <f t="shared" si="99"/>
        <v>2.5726748382801157</v>
      </c>
      <c r="AL157" s="42">
        <f t="shared" si="100"/>
        <v>1.1599999999999999</v>
      </c>
      <c r="AM157" s="42">
        <f t="shared" si="101"/>
        <v>2.4552000000000001E-2</v>
      </c>
      <c r="AN157" s="43">
        <f t="shared" si="109"/>
        <v>1.1845519999999998</v>
      </c>
      <c r="AO157" s="41">
        <f t="shared" si="102"/>
        <v>4.1802036780123918E-2</v>
      </c>
      <c r="AP157" s="42">
        <f t="shared" si="103"/>
        <v>0.11701800000000001</v>
      </c>
      <c r="AQ157" s="43">
        <f t="shared" si="104"/>
        <v>1.7099999999999999E-3</v>
      </c>
      <c r="AR157" s="41">
        <f t="shared" si="110"/>
        <v>1.5607204409366497</v>
      </c>
      <c r="AS157" s="42">
        <f t="shared" si="111"/>
        <v>10</v>
      </c>
      <c r="AT157" s="43">
        <f>(AS157/(AS157+AR157))*100</f>
        <v>86.499799481266592</v>
      </c>
    </row>
  </sheetData>
  <mergeCells count="7">
    <mergeCell ref="AO5:AQ5"/>
    <mergeCell ref="A1:M1"/>
    <mergeCell ref="R5:U5"/>
    <mergeCell ref="V5:X5"/>
    <mergeCell ref="Y5:AD5"/>
    <mergeCell ref="AE5:AI5"/>
    <mergeCell ref="AJ5:AN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Y708"/>
  <sheetViews>
    <sheetView topLeftCell="R1" zoomScale="80" zoomScaleNormal="80" workbookViewId="0">
      <selection activeCell="AY19" sqref="AY19:AY559"/>
    </sheetView>
  </sheetViews>
  <sheetFormatPr baseColWidth="10" defaultColWidth="9.1640625" defaultRowHeight="15" x14ac:dyDescent="0.2"/>
  <cols>
    <col min="1" max="1" width="13.1640625" style="98" customWidth="1"/>
    <col min="2" max="2" width="25" style="98" customWidth="1"/>
    <col min="3" max="7" width="9.1640625" style="98"/>
    <col min="8" max="10" width="8.83203125" style="98"/>
    <col min="11" max="11" width="12" style="98" bestFit="1" customWidth="1"/>
    <col min="12" max="14" width="9.1640625" style="98"/>
    <col min="15" max="15" width="16.6640625" style="199" bestFit="1" customWidth="1"/>
    <col min="16" max="16" width="16.6640625" style="98" customWidth="1"/>
    <col min="17" max="25" width="9.1640625" style="98"/>
    <col min="26" max="26" width="8.5" style="98" customWidth="1"/>
    <col min="27" max="28" width="9.1640625" style="98"/>
    <col min="29" max="29" width="8.83203125" style="98"/>
    <col min="30" max="32" width="9.1640625" style="98"/>
    <col min="33" max="33" width="10.1640625" style="98" customWidth="1"/>
    <col min="34" max="34" width="12" style="98" bestFit="1" customWidth="1"/>
    <col min="35" max="41" width="9.1640625" style="98"/>
    <col min="42" max="42" width="8.83203125" style="98"/>
    <col min="43" max="44" width="9.1640625" style="98"/>
    <col min="45" max="45" width="8.83203125" style="98" customWidth="1"/>
    <col min="46" max="47" width="9.1640625" style="98"/>
    <col min="48" max="48" width="11.83203125" style="98" bestFit="1" customWidth="1"/>
    <col min="49" max="16384" width="9.1640625" style="98"/>
  </cols>
  <sheetData>
    <row r="1" spans="1:51" ht="28" x14ac:dyDescent="0.3">
      <c r="A1" s="237" t="s">
        <v>15</v>
      </c>
      <c r="B1" s="237"/>
      <c r="C1" s="237"/>
      <c r="D1" s="237"/>
      <c r="E1" s="237"/>
      <c r="F1" s="237"/>
      <c r="G1" s="237"/>
      <c r="H1" s="237"/>
      <c r="I1" s="237"/>
      <c r="J1" s="237"/>
      <c r="K1" s="237"/>
      <c r="L1" s="237"/>
      <c r="M1" s="237"/>
      <c r="N1" s="237" t="s">
        <v>229</v>
      </c>
      <c r="O1" s="237"/>
      <c r="P1" s="237"/>
      <c r="Q1" s="237"/>
      <c r="R1" s="237"/>
      <c r="S1" s="237"/>
      <c r="T1" s="237"/>
      <c r="U1" s="237"/>
      <c r="V1" s="237"/>
      <c r="W1" s="237"/>
      <c r="X1" s="237"/>
    </row>
    <row r="2" spans="1:51" x14ac:dyDescent="0.2">
      <c r="A2" s="158"/>
      <c r="B2" s="158" t="s">
        <v>16</v>
      </c>
      <c r="C2" s="159"/>
      <c r="D2" s="160"/>
      <c r="E2" s="158"/>
      <c r="F2" s="158"/>
      <c r="G2" s="158"/>
      <c r="H2" s="158"/>
      <c r="I2" s="158"/>
      <c r="J2" s="158"/>
      <c r="K2" s="158"/>
      <c r="L2" s="158"/>
      <c r="M2" s="158"/>
      <c r="O2" s="98"/>
    </row>
    <row r="3" spans="1:51" ht="16" thickBot="1" x14ac:dyDescent="0.25">
      <c r="A3" s="158"/>
      <c r="B3" s="158" t="s">
        <v>17</v>
      </c>
      <c r="C3" s="161"/>
      <c r="D3" s="160"/>
      <c r="E3" s="158"/>
      <c r="F3" s="162"/>
      <c r="G3" s="163"/>
      <c r="H3" s="163"/>
      <c r="I3" s="163"/>
      <c r="J3" s="163"/>
      <c r="K3" s="164"/>
      <c r="L3" s="158"/>
      <c r="M3" s="158"/>
      <c r="O3" s="98"/>
    </row>
    <row r="4" spans="1:51" ht="16" thickBot="1" x14ac:dyDescent="0.25">
      <c r="A4" s="158"/>
      <c r="B4" s="158" t="s">
        <v>18</v>
      </c>
      <c r="C4" s="165"/>
      <c r="D4" s="160"/>
      <c r="E4" s="158"/>
      <c r="F4" s="162"/>
      <c r="G4" s="163"/>
      <c r="H4" s="163"/>
      <c r="I4" s="163"/>
      <c r="J4" s="163"/>
      <c r="K4" s="164"/>
      <c r="L4" s="158"/>
      <c r="M4" s="158"/>
      <c r="N4" s="166"/>
      <c r="O4" s="167"/>
      <c r="P4" s="241" t="s">
        <v>260</v>
      </c>
      <c r="Q4" s="241"/>
      <c r="R4" s="241"/>
      <c r="S4" s="241"/>
      <c r="T4" s="241"/>
      <c r="U4" s="241"/>
      <c r="V4" s="241"/>
      <c r="W4" s="241"/>
      <c r="X4" s="241"/>
      <c r="Y4" s="241"/>
      <c r="Z4" s="241"/>
      <c r="AA4" s="241"/>
      <c r="AB4" s="241"/>
      <c r="AC4" s="241"/>
      <c r="AD4" s="241"/>
      <c r="AE4" s="242"/>
      <c r="AF4" s="243" t="s">
        <v>261</v>
      </c>
      <c r="AG4" s="241"/>
      <c r="AH4" s="241"/>
      <c r="AI4" s="241"/>
      <c r="AJ4" s="241"/>
      <c r="AK4" s="241"/>
      <c r="AL4" s="241"/>
      <c r="AM4" s="241"/>
      <c r="AN4" s="241"/>
      <c r="AO4" s="241"/>
      <c r="AP4" s="241"/>
      <c r="AQ4" s="241"/>
      <c r="AR4" s="242"/>
      <c r="AS4" s="243" t="s">
        <v>272</v>
      </c>
      <c r="AT4" s="241"/>
      <c r="AU4" s="242"/>
    </row>
    <row r="5" spans="1:51" x14ac:dyDescent="0.2">
      <c r="A5" s="158"/>
      <c r="D5" s="160"/>
      <c r="E5" s="158"/>
      <c r="F5" s="158"/>
      <c r="G5" s="158"/>
      <c r="H5" s="158"/>
      <c r="I5" s="158"/>
      <c r="J5" s="158"/>
      <c r="K5" s="158"/>
      <c r="L5" s="158"/>
      <c r="M5" s="158"/>
      <c r="N5" s="168"/>
      <c r="O5" s="169"/>
      <c r="Q5" s="239" t="s">
        <v>252</v>
      </c>
      <c r="R5" s="239"/>
      <c r="S5" s="239"/>
      <c r="T5" s="240" t="s">
        <v>254</v>
      </c>
      <c r="U5" s="240"/>
      <c r="V5" s="240"/>
      <c r="W5" s="240" t="s">
        <v>253</v>
      </c>
      <c r="X5" s="240"/>
      <c r="Y5" s="240"/>
      <c r="Z5" s="240" t="s">
        <v>257</v>
      </c>
      <c r="AA5" s="240"/>
      <c r="AB5" s="240"/>
      <c r="AC5" s="244" t="s">
        <v>259</v>
      </c>
      <c r="AD5" s="240"/>
      <c r="AE5" s="245"/>
      <c r="AG5" s="240" t="s">
        <v>268</v>
      </c>
      <c r="AH5" s="240"/>
      <c r="AI5" s="240"/>
      <c r="AJ5" s="240" t="s">
        <v>269</v>
      </c>
      <c r="AK5" s="240"/>
      <c r="AL5" s="240"/>
      <c r="AM5" s="240" t="s">
        <v>263</v>
      </c>
      <c r="AN5" s="240"/>
      <c r="AO5" s="240"/>
      <c r="AP5" s="244" t="s">
        <v>259</v>
      </c>
      <c r="AQ5" s="240"/>
      <c r="AR5" s="245"/>
      <c r="AS5" s="244" t="s">
        <v>259</v>
      </c>
      <c r="AT5" s="240"/>
      <c r="AU5" s="245"/>
      <c r="AV5" s="223"/>
    </row>
    <row r="6" spans="1:51" ht="16" thickBot="1" x14ac:dyDescent="0.25">
      <c r="A6" s="170" t="s">
        <v>19</v>
      </c>
      <c r="B6" s="170" t="s">
        <v>20</v>
      </c>
      <c r="C6" s="170" t="s">
        <v>21</v>
      </c>
      <c r="D6" s="160"/>
      <c r="E6" s="238" t="s">
        <v>22</v>
      </c>
      <c r="F6" s="238"/>
      <c r="G6" s="238"/>
      <c r="H6" s="238"/>
      <c r="I6" s="238"/>
      <c r="J6" s="238"/>
      <c r="K6" s="238"/>
      <c r="L6" s="158"/>
      <c r="M6" s="170"/>
      <c r="N6" s="168"/>
      <c r="O6" s="169"/>
      <c r="P6" s="160" t="s">
        <v>235</v>
      </c>
      <c r="Q6" s="98" t="s">
        <v>258</v>
      </c>
      <c r="R6" s="160" t="s">
        <v>255</v>
      </c>
      <c r="S6" s="160" t="s">
        <v>256</v>
      </c>
      <c r="T6" s="160" t="s">
        <v>258</v>
      </c>
      <c r="U6" s="160" t="s">
        <v>255</v>
      </c>
      <c r="V6" s="160" t="s">
        <v>256</v>
      </c>
      <c r="W6" s="160" t="s">
        <v>258</v>
      </c>
      <c r="X6" s="160" t="s">
        <v>255</v>
      </c>
      <c r="Y6" s="160" t="s">
        <v>256</v>
      </c>
      <c r="Z6" s="160" t="s">
        <v>258</v>
      </c>
      <c r="AA6" s="160" t="s">
        <v>255</v>
      </c>
      <c r="AB6" s="160" t="s">
        <v>256</v>
      </c>
      <c r="AC6" s="171" t="s">
        <v>273</v>
      </c>
      <c r="AD6" s="160" t="s">
        <v>255</v>
      </c>
      <c r="AE6" s="172" t="s">
        <v>256</v>
      </c>
      <c r="AF6" s="160" t="s">
        <v>270</v>
      </c>
      <c r="AG6" s="160" t="s">
        <v>258</v>
      </c>
      <c r="AH6" s="160" t="s">
        <v>271</v>
      </c>
      <c r="AI6" s="160" t="s">
        <v>256</v>
      </c>
      <c r="AJ6" s="160" t="s">
        <v>258</v>
      </c>
      <c r="AK6" s="160" t="s">
        <v>271</v>
      </c>
      <c r="AL6" s="160" t="s">
        <v>256</v>
      </c>
      <c r="AM6" s="160" t="s">
        <v>258</v>
      </c>
      <c r="AN6" s="160" t="s">
        <v>271</v>
      </c>
      <c r="AO6" s="160" t="s">
        <v>256</v>
      </c>
      <c r="AP6" s="171" t="s">
        <v>273</v>
      </c>
      <c r="AQ6" s="160" t="s">
        <v>255</v>
      </c>
      <c r="AR6" s="172" t="s">
        <v>256</v>
      </c>
      <c r="AS6" s="171" t="s">
        <v>273</v>
      </c>
      <c r="AT6" s="160" t="s">
        <v>255</v>
      </c>
      <c r="AU6" s="172" t="s">
        <v>256</v>
      </c>
      <c r="AV6" s="224"/>
    </row>
    <row r="7" spans="1:51" ht="16" thickBot="1" x14ac:dyDescent="0.25">
      <c r="A7" s="170"/>
      <c r="B7" s="170"/>
      <c r="C7" s="170"/>
      <c r="D7" s="160"/>
      <c r="E7" s="158"/>
      <c r="F7" s="158"/>
      <c r="G7" s="158"/>
      <c r="H7" s="158"/>
      <c r="I7" s="158"/>
      <c r="J7" s="158"/>
      <c r="K7" s="158"/>
      <c r="L7" s="158"/>
      <c r="M7" s="170"/>
      <c r="N7" s="98" t="s">
        <v>469</v>
      </c>
      <c r="O7" s="167">
        <f>fcross</f>
        <v>3500</v>
      </c>
      <c r="P7" s="173" t="str">
        <f>COMPLEX(ADC_VINmin,0)</f>
        <v>6.34375</v>
      </c>
      <c r="Q7" s="174" t="str">
        <f>IMSUM(COMPLEX(1,0),IMDIV(COMPLEX(0,2*PI()*O7),COMPLEX(wp_lf_VINmin,0)))</f>
        <v>1+5.49778714378215i</v>
      </c>
      <c r="R7" s="174">
        <f t="shared" ref="R7:R13" si="0">IMABS(Q7)</f>
        <v>5.5879927951220818</v>
      </c>
      <c r="S7" s="174">
        <f t="shared" ref="S7:S13" si="1">IMARGUMENT(Q7)</f>
        <v>1.3908719880144225</v>
      </c>
      <c r="T7" s="174" t="str">
        <f>IMSUM(COMPLEX(1,0),IMDIV(COMPLEX(0,2*PI()*O7),COMPLEX(wz_esr_VINmin,0)))</f>
        <v>1+0.00879645943005144i</v>
      </c>
      <c r="U7" s="174">
        <f t="shared" ref="U7:U13" si="2">IMABS(T7)</f>
        <v>1.0000386881008678</v>
      </c>
      <c r="V7" s="174">
        <f t="shared" ref="V7:V13" si="3">IMARGUMENT(T7)</f>
        <v>8.7962325573223855E-3</v>
      </c>
      <c r="W7" s="175" t="str">
        <f>IMSUB(COMPLEX(1,0),IMDIV(COMPLEX(0,2*PI()*O7),COMPLEX(wz_RHP_VINmin,0)))</f>
        <v>1-0.0269279370307697i</v>
      </c>
      <c r="X7" s="174">
        <f t="shared" ref="X7:X13" si="4">IMABS(W7)</f>
        <v>1.0003624911964328</v>
      </c>
      <c r="Y7" s="174">
        <f t="shared" ref="Y7:Y13" si="5">IMARGUMENT(W7)</f>
        <v>-2.6921431254808333E-2</v>
      </c>
      <c r="Z7" s="175" t="str">
        <f t="shared" ref="Z7:Z13" si="6">IF(Dc_Mode_Loop="CCM",IMSUM(COMPLEX(1,0),IMDIV(COMPLEX(0,2*PI()*O7),COMPLEX(Q*(wsl/2),0)),IMDIV(IMPOWER(COMPLEX(0,2*PI()*O7),2),IMPOWER(COMPLEX(wsl/2,0),2))),COMPLEX(1,0))</f>
        <v>0.999746900826446+0.0261861600853669i</v>
      </c>
      <c r="AA7" s="174">
        <f t="shared" ref="AA7:AA13" si="7">IMABS(Z7)</f>
        <v>1.0000897863152589</v>
      </c>
      <c r="AB7" s="174">
        <f t="shared" ref="AB7:AB13" si="8">IMARGUMENT(Z7)</f>
        <v>2.618680196212448E-2</v>
      </c>
      <c r="AC7" s="176" t="str">
        <f t="shared" ref="AC7:AC13" si="9">(IMDIV(IMPRODUCT(P7,T7,W7),IMPRODUCT(Q7,Z7)))</f>
        <v>0.153529789459836-1.12517387335953i</v>
      </c>
      <c r="AD7" s="177">
        <f t="shared" ref="AD7:AD13" si="10">20*LOG(IMABS(AC7))</f>
        <v>1.1045086252271843</v>
      </c>
      <c r="AE7" s="167">
        <f t="shared" ref="AE7:AE13" si="11">(180/PI())*IMARGUMENT(AC7)</f>
        <v>-82.229985375773424</v>
      </c>
      <c r="AF7" s="175" t="str">
        <f t="shared" ref="AF7:AF13" si="12">COMPLEX(Adc_ea,0)</f>
        <v>-0.0000816326530612245</v>
      </c>
      <c r="AG7" s="175" t="str">
        <f t="shared" ref="AG7:AG13" si="13">COMPLEX(0,2*PI()*O7*wp0_ea)</f>
        <v>0.000488643321339356i</v>
      </c>
      <c r="AH7" s="175">
        <f t="shared" ref="AH7:AH13" si="14">IMABS(AG7)</f>
        <v>4.8864332133935603E-4</v>
      </c>
      <c r="AI7" s="175">
        <f t="shared" ref="AI7:AI13" si="15">IMARGUMENT(AG7)</f>
        <v>1.5707963267948966</v>
      </c>
      <c r="AJ7" s="175" t="str">
        <f t="shared" ref="AJ7:AJ13" si="16">IMSUM(COMPLEX(1,0),IMDIV(COMPLEX(0,2*PI()*O7),COMPLEX(wp1_ea,0)))</f>
        <v>1+0.0541287082750195i</v>
      </c>
      <c r="AK7" s="175">
        <f t="shared" ref="AK7:AK13" si="17">IMABS(AJ7)</f>
        <v>1.0014638870471178</v>
      </c>
      <c r="AL7" s="175">
        <f t="shared" ref="AL7:AL13" si="18">IMARGUMENT(AJ7)</f>
        <v>5.4075936805025399E-2</v>
      </c>
      <c r="AM7" s="175" t="str">
        <f t="shared" ref="AM7:AM13" si="19">IMSUM(COMPLEX(1,0),IMDIV(COMPLEX(0,2*PI()*O7),COMPLEX(wz_ea,0)))</f>
        <v>1+5.46699953577697i</v>
      </c>
      <c r="AN7" s="175">
        <f t="shared" ref="AN7:AN13" si="20">IMABS(AM7)</f>
        <v>5.5577049151772711</v>
      </c>
      <c r="AO7" s="175">
        <f t="shared" ref="AO7:AO13" si="21">IMARGUMENT(AM7)</f>
        <v>1.3898806432946669</v>
      </c>
      <c r="AP7" s="166" t="str">
        <f t="shared" ref="AP7:AP13" si="22">IMPRODUCT(AF7,IMDIV(AM7,IMPRODUCT(AG7,AJ7)))</f>
        <v>-0.901631385296147+0.215863937165215i</v>
      </c>
      <c r="AQ7" s="175">
        <f t="shared" ref="AQ7:AQ13" si="23">20*LOG(IMABS(AP7))</f>
        <v>-0.65735729776800955</v>
      </c>
      <c r="AR7" s="167">
        <f t="shared" ref="AR7:AR13" si="24">(180/PI())*IMARGUMENT(AP7)</f>
        <v>166.53597193556814</v>
      </c>
      <c r="AS7" s="166" t="str">
        <f t="shared" ref="AS7:AS13" si="25">IMPRODUCT(AC7,AP7)</f>
        <v>0.104457185543925+1.04763362296113i</v>
      </c>
      <c r="AT7" s="177">
        <f t="shared" ref="AT7:AT13" si="26">20*LOG(IMABS(AS7))</f>
        <v>0.44715132745916442</v>
      </c>
      <c r="AU7" s="167">
        <f t="shared" ref="AU7:AU13" si="27">(180/PI())*IMARGUMENT(AS7)</f>
        <v>84.305986559794732</v>
      </c>
      <c r="AV7" s="225"/>
    </row>
    <row r="8" spans="1:51" ht="16" thickBot="1" x14ac:dyDescent="0.25">
      <c r="A8" s="170"/>
      <c r="B8" s="170"/>
      <c r="C8" s="170"/>
      <c r="D8" s="160"/>
      <c r="E8" s="158"/>
      <c r="F8" s="158"/>
      <c r="G8" s="158"/>
      <c r="H8" s="158"/>
      <c r="I8" s="158"/>
      <c r="J8" s="158"/>
      <c r="K8" s="158"/>
      <c r="L8" s="158"/>
      <c r="M8" s="170"/>
      <c r="N8" s="166" t="s">
        <v>302</v>
      </c>
      <c r="O8" s="167">
        <f>fcross</f>
        <v>3500</v>
      </c>
      <c r="P8" s="173" t="str">
        <f t="shared" ref="P8:P13" si="28">COMPLEX(Adc,0)</f>
        <v>6.8875</v>
      </c>
      <c r="Q8" s="174" t="str">
        <f t="shared" ref="Q8:Q13" si="29">IMSUM(COMPLEX(1,0),IMDIV(COMPLEX(0,2*PI()*O8),COMPLEX(wp_lf,0)))</f>
        <v>1+5.49778714378215i</v>
      </c>
      <c r="R8" s="174">
        <f t="shared" si="0"/>
        <v>5.5879927951220818</v>
      </c>
      <c r="S8" s="174">
        <f t="shared" si="1"/>
        <v>1.3908719880144225</v>
      </c>
      <c r="T8" s="174" t="str">
        <f t="shared" ref="T8:T13" si="30">IMSUM(COMPLEX(1,0),IMDIV(COMPLEX(0,2*PI()*O8),COMPLEX(wz_esr,0)))</f>
        <v>1+0.00879645943005144i</v>
      </c>
      <c r="U8" s="174">
        <f t="shared" si="2"/>
        <v>1.0000386881008678</v>
      </c>
      <c r="V8" s="174">
        <f t="shared" si="3"/>
        <v>8.7962325573223855E-3</v>
      </c>
      <c r="W8" s="175" t="str">
        <f t="shared" ref="W8:W13" si="31">IMSUB(COMPLEX(1,0),IMDIV(COMPLEX(0,2*PI()*O8),COMPLEX(wz_rhp,0)))</f>
        <v>1-0.0228439909021419i</v>
      </c>
      <c r="X8" s="174">
        <f t="shared" si="4"/>
        <v>1.0002608899283911</v>
      </c>
      <c r="Y8" s="174">
        <f t="shared" si="5"/>
        <v>-2.2840018449495937E-2</v>
      </c>
      <c r="Z8" s="175" t="str">
        <f t="shared" si="6"/>
        <v>0.999746900826446+0.0261861600853669i</v>
      </c>
      <c r="AA8" s="174">
        <f t="shared" si="7"/>
        <v>1.0000897863152589</v>
      </c>
      <c r="AB8" s="174">
        <f t="shared" si="8"/>
        <v>2.618680196212448E-2</v>
      </c>
      <c r="AC8" s="176" t="str">
        <f t="shared" si="9"/>
        <v>0.171656572219404-1.22080284394607i</v>
      </c>
      <c r="AD8" s="177">
        <f t="shared" si="10"/>
        <v>1.8179374481362016</v>
      </c>
      <c r="AE8" s="167">
        <f t="shared" si="11"/>
        <v>-81.996137647578337</v>
      </c>
      <c r="AF8" s="175" t="str">
        <f t="shared" si="12"/>
        <v>-0.0000816326530612245</v>
      </c>
      <c r="AG8" s="175" t="str">
        <f t="shared" si="13"/>
        <v>0.000488643321339356i</v>
      </c>
      <c r="AH8" s="175">
        <f t="shared" si="14"/>
        <v>4.8864332133935603E-4</v>
      </c>
      <c r="AI8" s="175">
        <f t="shared" si="15"/>
        <v>1.5707963267948966</v>
      </c>
      <c r="AJ8" s="175" t="str">
        <f t="shared" si="16"/>
        <v>1+0.0541287082750195i</v>
      </c>
      <c r="AK8" s="175">
        <f t="shared" si="17"/>
        <v>1.0014638870471178</v>
      </c>
      <c r="AL8" s="175">
        <f t="shared" si="18"/>
        <v>5.4075936805025399E-2</v>
      </c>
      <c r="AM8" s="175" t="str">
        <f t="shared" si="19"/>
        <v>1+5.46699953577697i</v>
      </c>
      <c r="AN8" s="175">
        <f t="shared" si="20"/>
        <v>5.5577049151772711</v>
      </c>
      <c r="AO8" s="175">
        <f t="shared" si="21"/>
        <v>1.3898806432946669</v>
      </c>
      <c r="AP8" s="166" t="str">
        <f t="shared" si="22"/>
        <v>-0.901631385296147+0.215863937165215i</v>
      </c>
      <c r="AQ8" s="175">
        <f t="shared" si="23"/>
        <v>-0.65735729776800955</v>
      </c>
      <c r="AR8" s="167">
        <f t="shared" si="24"/>
        <v>166.53597193556814</v>
      </c>
      <c r="AS8" s="166" t="str">
        <f t="shared" si="25"/>
        <v>0.108756355391321+1.13776862288014i</v>
      </c>
      <c r="AT8" s="177">
        <f t="shared" si="26"/>
        <v>1.1605801503682192</v>
      </c>
      <c r="AU8" s="167">
        <f t="shared" si="27"/>
        <v>84.539834287989819</v>
      </c>
      <c r="AV8" s="225"/>
    </row>
    <row r="9" spans="1:51" x14ac:dyDescent="0.2">
      <c r="A9" s="178" t="s">
        <v>205</v>
      </c>
      <c r="B9" s="170"/>
      <c r="C9" s="170"/>
      <c r="D9" s="160"/>
      <c r="E9" s="158"/>
      <c r="F9" s="158"/>
      <c r="G9" s="158"/>
      <c r="H9" s="158"/>
      <c r="I9" s="158"/>
      <c r="J9" s="158"/>
      <c r="K9" s="158"/>
      <c r="L9" s="158"/>
      <c r="M9" s="170"/>
      <c r="N9" s="179" t="s">
        <v>303</v>
      </c>
      <c r="O9" s="180">
        <f>wz_rhp/(2*PI())</f>
        <v>153213.1585497979</v>
      </c>
      <c r="P9" s="181" t="str">
        <f t="shared" si="28"/>
        <v>6.8875</v>
      </c>
      <c r="Q9" s="182" t="str">
        <f t="shared" si="29"/>
        <v>1+240.666666666667i</v>
      </c>
      <c r="R9" s="182">
        <f t="shared" si="0"/>
        <v>240.66874422002664</v>
      </c>
      <c r="S9" s="182">
        <f t="shared" si="1"/>
        <v>1.5666412260537361</v>
      </c>
      <c r="T9" s="182" t="str">
        <f t="shared" si="30"/>
        <v>1+0.385066666666667i</v>
      </c>
      <c r="U9" s="182">
        <f t="shared" si="2"/>
        <v>1.071576566456069</v>
      </c>
      <c r="V9" s="182">
        <f t="shared" si="3"/>
        <v>0.36756690151282345</v>
      </c>
      <c r="W9" s="183" t="str">
        <f t="shared" si="31"/>
        <v>1-i</v>
      </c>
      <c r="X9" s="182">
        <f t="shared" si="4"/>
        <v>1.4142135623730951</v>
      </c>
      <c r="Y9" s="182">
        <f t="shared" si="5"/>
        <v>-0.78539816339744828</v>
      </c>
      <c r="Z9" s="183" t="str">
        <f t="shared" si="6"/>
        <v>0.514994381140381+1.14630408484849i</v>
      </c>
      <c r="AA9" s="182">
        <f t="shared" si="7"/>
        <v>1.2566750843183365</v>
      </c>
      <c r="AB9" s="182">
        <f t="shared" si="8"/>
        <v>1.1485537398622916</v>
      </c>
      <c r="AC9" s="184" t="str">
        <f t="shared" si="9"/>
        <v>-0.0345097001491195-0.000295632016887211i</v>
      </c>
      <c r="AD9" s="185">
        <f t="shared" si="10"/>
        <v>-29.240857579510781</v>
      </c>
      <c r="AE9" s="186">
        <f t="shared" si="11"/>
        <v>-179.5091799567702</v>
      </c>
      <c r="AF9" s="183" t="str">
        <f t="shared" si="12"/>
        <v>-0.0000816326530612245</v>
      </c>
      <c r="AG9" s="183" t="str">
        <f t="shared" si="13"/>
        <v>0.0213904533333333i</v>
      </c>
      <c r="AH9" s="183">
        <f t="shared" si="14"/>
        <v>2.1390453333333299E-2</v>
      </c>
      <c r="AI9" s="183">
        <f t="shared" si="15"/>
        <v>1.5707963267948966</v>
      </c>
      <c r="AJ9" s="183" t="str">
        <f t="shared" si="16"/>
        <v>1+2.36949438943895i</v>
      </c>
      <c r="AK9" s="183">
        <f t="shared" si="17"/>
        <v>2.5718677379645056</v>
      </c>
      <c r="AL9" s="183">
        <f t="shared" si="18"/>
        <v>1.1714431654069797</v>
      </c>
      <c r="AM9" s="183" t="str">
        <f t="shared" si="19"/>
        <v>1+239.318933333334i</v>
      </c>
      <c r="AN9" s="183">
        <f t="shared" si="20"/>
        <v>239.32102258640958</v>
      </c>
      <c r="AO9" s="183">
        <f t="shared" si="21"/>
        <v>1.5666178267234203</v>
      </c>
      <c r="AP9" s="179" t="str">
        <f t="shared" si="22"/>
        <v>-0.13671064931529+0.327751428964834i</v>
      </c>
      <c r="AQ9" s="183">
        <f t="shared" si="23"/>
        <v>-8.9924771645871378</v>
      </c>
      <c r="AR9" s="186">
        <f t="shared" si="24"/>
        <v>112.64184026394376</v>
      </c>
      <c r="AS9" s="179" t="str">
        <f t="shared" si="25"/>
        <v>0.00481473733104463-0.0112701874920348i</v>
      </c>
      <c r="AT9" s="185">
        <f t="shared" si="26"/>
        <v>-38.233334744097931</v>
      </c>
      <c r="AU9" s="186">
        <f t="shared" si="27"/>
        <v>-66.867339692826391</v>
      </c>
      <c r="AV9" s="225"/>
    </row>
    <row r="10" spans="1:51" x14ac:dyDescent="0.2">
      <c r="A10" s="98" t="s">
        <v>25</v>
      </c>
      <c r="B10" s="187">
        <f>VIN_min</f>
        <v>3.5</v>
      </c>
      <c r="C10" s="98" t="s">
        <v>10</v>
      </c>
      <c r="E10" s="98" t="s">
        <v>28</v>
      </c>
      <c r="N10" s="168" t="s">
        <v>254</v>
      </c>
      <c r="O10" s="188">
        <f>wz_esr/(2*PI())</f>
        <v>397887.35772973835</v>
      </c>
      <c r="P10" s="189" t="str">
        <f t="shared" si="28"/>
        <v>6.8875</v>
      </c>
      <c r="Q10" s="160" t="str">
        <f t="shared" si="29"/>
        <v>1+625i</v>
      </c>
      <c r="R10" s="160">
        <f t="shared" si="0"/>
        <v>625.00079999948809</v>
      </c>
      <c r="S10" s="160">
        <f t="shared" si="1"/>
        <v>1.5691963281602279</v>
      </c>
      <c r="T10" s="160" t="str">
        <f t="shared" si="30"/>
        <v>1+i</v>
      </c>
      <c r="U10" s="160">
        <f t="shared" si="2"/>
        <v>1.4142135623730951</v>
      </c>
      <c r="V10" s="160">
        <f t="shared" si="3"/>
        <v>0.78539816339744828</v>
      </c>
      <c r="W10" s="98" t="str">
        <f t="shared" si="31"/>
        <v>1-2.59695290858726i</v>
      </c>
      <c r="X10" s="160">
        <f t="shared" si="4"/>
        <v>2.7828338810320372</v>
      </c>
      <c r="Y10" s="160">
        <f t="shared" si="5"/>
        <v>-1.2032294252820737</v>
      </c>
      <c r="Z10" s="98" t="str">
        <f t="shared" si="6"/>
        <v>-2.27095763308167+2.97689772727273i</v>
      </c>
      <c r="AA10" s="160">
        <f t="shared" si="7"/>
        <v>3.744218029160888</v>
      </c>
      <c r="AB10" s="160">
        <f t="shared" si="8"/>
        <v>2.2224774644828202</v>
      </c>
      <c r="AC10" s="171" t="str">
        <f t="shared" si="9"/>
        <v>-0.00558249265186606+0.0101490080468838i</v>
      </c>
      <c r="AD10" s="190">
        <f t="shared" si="10"/>
        <v>-38.723556228976463</v>
      </c>
      <c r="AE10" s="169">
        <f t="shared" si="11"/>
        <v>118.81312653657679</v>
      </c>
      <c r="AF10" s="98" t="str">
        <f t="shared" si="12"/>
        <v>-0.0000816326530612245</v>
      </c>
      <c r="AG10" s="98" t="str">
        <f t="shared" si="13"/>
        <v>0.05555i</v>
      </c>
      <c r="AH10" s="98">
        <f t="shared" si="14"/>
        <v>5.5550000000000002E-2</v>
      </c>
      <c r="AI10" s="98">
        <f t="shared" si="15"/>
        <v>1.5707963267948966</v>
      </c>
      <c r="AJ10" s="98" t="str">
        <f t="shared" si="16"/>
        <v>1+6.15346534653466i</v>
      </c>
      <c r="AK10" s="98">
        <f t="shared" si="17"/>
        <v>6.2341908673863147</v>
      </c>
      <c r="AL10" s="98">
        <f t="shared" si="18"/>
        <v>1.4096946246753599</v>
      </c>
      <c r="AM10" s="98" t="str">
        <f t="shared" si="19"/>
        <v>1+621.5i</v>
      </c>
      <c r="AN10" s="98">
        <f t="shared" si="20"/>
        <v>621.50080450470853</v>
      </c>
      <c r="AO10" s="98">
        <f t="shared" si="21"/>
        <v>1.5691873177248568</v>
      </c>
      <c r="AP10" s="168" t="str">
        <f t="shared" si="22"/>
        <v>-0.0232669479350693+0.144641892546648i</v>
      </c>
      <c r="AQ10" s="98">
        <f t="shared" si="23"/>
        <v>-16.683171028529856</v>
      </c>
      <c r="AR10" s="169">
        <f t="shared" si="24"/>
        <v>99.138258174911684</v>
      </c>
      <c r="AS10" s="168" t="str">
        <f t="shared" si="25"/>
        <v>-0.00133808416549356-0.00104359874411311i</v>
      </c>
      <c r="AT10" s="190">
        <f t="shared" si="26"/>
        <v>-55.406727257506311</v>
      </c>
      <c r="AU10" s="169">
        <f t="shared" si="27"/>
        <v>-142.04861528851148</v>
      </c>
      <c r="AV10" s="225"/>
    </row>
    <row r="11" spans="1:51" ht="16" thickBot="1" x14ac:dyDescent="0.25">
      <c r="A11" s="98" t="s">
        <v>26</v>
      </c>
      <c r="B11" s="187">
        <f>VIN_nom</f>
        <v>3.8</v>
      </c>
      <c r="C11" s="98" t="s">
        <v>10</v>
      </c>
      <c r="E11" s="98" t="s">
        <v>29</v>
      </c>
      <c r="N11" s="191" t="s">
        <v>252</v>
      </c>
      <c r="O11" s="192">
        <f>wp_lf/(2*PI())</f>
        <v>636.61977236758139</v>
      </c>
      <c r="P11" s="193" t="str">
        <f t="shared" si="28"/>
        <v>6.8875</v>
      </c>
      <c r="Q11" s="194" t="str">
        <f t="shared" si="29"/>
        <v>1+i</v>
      </c>
      <c r="R11" s="194">
        <f t="shared" si="0"/>
        <v>1.4142135623730951</v>
      </c>
      <c r="S11" s="194">
        <f t="shared" si="1"/>
        <v>0.78539816339744828</v>
      </c>
      <c r="T11" s="194" t="str">
        <f t="shared" si="30"/>
        <v>1+0.0016i</v>
      </c>
      <c r="U11" s="194">
        <f t="shared" si="2"/>
        <v>1.0000012799991809</v>
      </c>
      <c r="V11" s="194">
        <f t="shared" si="3"/>
        <v>1.599998634668764E-3</v>
      </c>
      <c r="W11" s="195" t="str">
        <f t="shared" si="31"/>
        <v>1-0.00415512465373961i</v>
      </c>
      <c r="X11" s="194">
        <f t="shared" si="4"/>
        <v>1.0000086324931841</v>
      </c>
      <c r="Y11" s="194">
        <f t="shared" si="5"/>
        <v>-4.1551007411606061E-3</v>
      </c>
      <c r="Z11" s="195" t="str">
        <f t="shared" si="6"/>
        <v>0.999991626348459+0.00476303636363637i</v>
      </c>
      <c r="AA11" s="194">
        <f t="shared" si="7"/>
        <v>1.0000029696368093</v>
      </c>
      <c r="AB11" s="194">
        <f t="shared" si="8"/>
        <v>4.7630402286633153E-3</v>
      </c>
      <c r="AC11" s="196" t="str">
        <f t="shared" si="9"/>
        <v>3.4184798911348-3.46888349651463i</v>
      </c>
      <c r="AD11" s="197">
        <f t="shared" si="10"/>
        <v>13.750992585141674</v>
      </c>
      <c r="AE11" s="198">
        <f t="shared" si="11"/>
        <v>-45.419298669680558</v>
      </c>
      <c r="AF11" s="195" t="str">
        <f t="shared" si="12"/>
        <v>-0.0000816326530612245</v>
      </c>
      <c r="AG11" s="195" t="str">
        <f t="shared" si="13"/>
        <v>0.00008888i</v>
      </c>
      <c r="AH11" s="195">
        <f t="shared" si="14"/>
        <v>8.8880000000000003E-5</v>
      </c>
      <c r="AI11" s="195">
        <f t="shared" si="15"/>
        <v>1.5707963267948966</v>
      </c>
      <c r="AJ11" s="195" t="str">
        <f t="shared" si="16"/>
        <v>1+0.00984554455445545i</v>
      </c>
      <c r="AK11" s="195">
        <f t="shared" si="17"/>
        <v>1.0000484661993005</v>
      </c>
      <c r="AL11" s="195">
        <f t="shared" si="18"/>
        <v>9.8452264478312256E-3</v>
      </c>
      <c r="AM11" s="195" t="str">
        <f t="shared" si="19"/>
        <v>1+0.994400000000001i</v>
      </c>
      <c r="AN11" s="195">
        <f t="shared" si="20"/>
        <v>1.4102593236706511</v>
      </c>
      <c r="AO11" s="195">
        <f t="shared" si="21"/>
        <v>0.78259030876292046</v>
      </c>
      <c r="AP11" s="191" t="str">
        <f t="shared" si="22"/>
        <v>-0.9041854434856+0.927361390927388i</v>
      </c>
      <c r="AQ11" s="195">
        <f t="shared" si="23"/>
        <v>2.2467559387789864</v>
      </c>
      <c r="AR11" s="198">
        <f t="shared" si="24"/>
        <v>134.27503185614404</v>
      </c>
      <c r="AS11" s="191" t="str">
        <f t="shared" si="25"/>
        <v>0.125968867880543+6.30668022939603i</v>
      </c>
      <c r="AT11" s="197">
        <f t="shared" si="26"/>
        <v>15.997748523920656</v>
      </c>
      <c r="AU11" s="198">
        <f t="shared" si="27"/>
        <v>88.855733186463482</v>
      </c>
      <c r="AV11" s="225"/>
      <c r="AX11" s="213" t="s">
        <v>537</v>
      </c>
      <c r="AY11" s="213"/>
    </row>
    <row r="12" spans="1:51" x14ac:dyDescent="0.2">
      <c r="A12" s="98" t="s">
        <v>27</v>
      </c>
      <c r="B12" s="187">
        <f>VIN_max</f>
        <v>4.2</v>
      </c>
      <c r="C12" s="98" t="s">
        <v>10</v>
      </c>
      <c r="E12" s="98" t="s">
        <v>30</v>
      </c>
      <c r="N12" s="179" t="s">
        <v>263</v>
      </c>
      <c r="O12" s="186">
        <f>wz_ea/(2*PI())</f>
        <v>640.20491991912843</v>
      </c>
      <c r="P12" s="181" t="str">
        <f t="shared" si="28"/>
        <v>6.8875</v>
      </c>
      <c r="Q12" s="182" t="str">
        <f t="shared" si="29"/>
        <v>1+1.00563153660499i</v>
      </c>
      <c r="R12" s="182">
        <f t="shared" si="0"/>
        <v>1.4182012506744286</v>
      </c>
      <c r="S12" s="182">
        <f t="shared" si="1"/>
        <v>0.78820601803197765</v>
      </c>
      <c r="T12" s="182" t="str">
        <f t="shared" si="30"/>
        <v>1+0.00160901045856798i</v>
      </c>
      <c r="U12" s="182">
        <f t="shared" si="2"/>
        <v>1.00000129445649</v>
      </c>
      <c r="V12" s="182">
        <f t="shared" si="3"/>
        <v>1.6090090700398843E-3</v>
      </c>
      <c r="W12" s="183" t="str">
        <f t="shared" si="31"/>
        <v>1-0.00417852439032543i</v>
      </c>
      <c r="X12" s="182">
        <f t="shared" si="4"/>
        <v>1.0000087299949338</v>
      </c>
      <c r="Y12" s="182">
        <f t="shared" si="5"/>
        <v>-4.1785000714762034E-3</v>
      </c>
      <c r="Z12" s="183" t="str">
        <f t="shared" si="6"/>
        <v>0.999991531769845+0.00478985957726907i</v>
      </c>
      <c r="AA12" s="182">
        <f t="shared" si="7"/>
        <v>1.000003003178576</v>
      </c>
      <c r="AB12" s="182">
        <f t="shared" si="8"/>
        <v>4.7898635079616295E-3</v>
      </c>
      <c r="AC12" s="184" t="str">
        <f t="shared" si="9"/>
        <v>3.39899898644564-3.46882802618981i</v>
      </c>
      <c r="AD12" s="185">
        <f t="shared" si="10"/>
        <v>13.726535942267153</v>
      </c>
      <c r="AE12" s="186">
        <f t="shared" si="11"/>
        <v>-45.582538173373948</v>
      </c>
      <c r="AF12" s="183" t="str">
        <f t="shared" si="12"/>
        <v>-0.0000816326530612245</v>
      </c>
      <c r="AG12" s="183" t="str">
        <f t="shared" si="13"/>
        <v>0.0000893805309734513i</v>
      </c>
      <c r="AH12" s="183">
        <f t="shared" si="14"/>
        <v>8.9380530973451298E-5</v>
      </c>
      <c r="AI12" s="183">
        <f t="shared" si="15"/>
        <v>1.5707963267948966</v>
      </c>
      <c r="AJ12" s="183" t="str">
        <f t="shared" si="16"/>
        <v>1+0.0099009900990099i</v>
      </c>
      <c r="AK12" s="183">
        <f t="shared" si="17"/>
        <v>1.0000490136013038</v>
      </c>
      <c r="AL12" s="183">
        <f t="shared" si="18"/>
        <v>9.9006665879885717E-3</v>
      </c>
      <c r="AM12" s="183" t="str">
        <f t="shared" si="19"/>
        <v>1+i</v>
      </c>
      <c r="AN12" s="183">
        <f t="shared" si="20"/>
        <v>1.4142135623730951</v>
      </c>
      <c r="AO12" s="183">
        <f t="shared" si="21"/>
        <v>0.78539816339744828</v>
      </c>
      <c r="AP12" s="179" t="str">
        <f t="shared" si="22"/>
        <v>-0.904184453628539+0.92226814270111i</v>
      </c>
      <c r="AQ12" s="183">
        <f t="shared" si="23"/>
        <v>2.2222938603454896</v>
      </c>
      <c r="AR12" s="186">
        <f t="shared" si="24"/>
        <v>134.43273359014205</v>
      </c>
      <c r="AS12" s="179" t="str">
        <f t="shared" si="25"/>
        <v>0.125867539620325+6.27124885586397i</v>
      </c>
      <c r="AT12" s="185">
        <f t="shared" si="26"/>
        <v>15.948829802612639</v>
      </c>
      <c r="AU12" s="186">
        <f t="shared" si="27"/>
        <v>88.850195416768102</v>
      </c>
      <c r="AV12" s="225"/>
      <c r="AX12" t="s">
        <v>538</v>
      </c>
      <c r="AY12">
        <f>SUM(AX19:AX559)/1000</f>
        <v>3.9810717055349767</v>
      </c>
    </row>
    <row r="13" spans="1:51" ht="16" thickBot="1" x14ac:dyDescent="0.25">
      <c r="A13" s="98" t="s">
        <v>68</v>
      </c>
      <c r="B13" s="187">
        <f>Fsw</f>
        <v>440000</v>
      </c>
      <c r="C13" s="98" t="s">
        <v>69</v>
      </c>
      <c r="E13" s="98" t="s">
        <v>70</v>
      </c>
      <c r="N13" s="191" t="s">
        <v>269</v>
      </c>
      <c r="O13" s="198">
        <f>wp1_ea/(2*PI())</f>
        <v>64660.696911831983</v>
      </c>
      <c r="P13" s="193" t="str">
        <f t="shared" si="28"/>
        <v>6.8875</v>
      </c>
      <c r="Q13" s="194" t="str">
        <f t="shared" si="29"/>
        <v>1+101.568785197104i</v>
      </c>
      <c r="R13" s="194">
        <f t="shared" si="0"/>
        <v>101.57370785009009</v>
      </c>
      <c r="S13" s="194">
        <f t="shared" si="1"/>
        <v>1.5609511003470655</v>
      </c>
      <c r="T13" s="194" t="str">
        <f t="shared" si="30"/>
        <v>1+0.162510056315366i</v>
      </c>
      <c r="U13" s="194">
        <f t="shared" si="2"/>
        <v>1.0131187089396896</v>
      </c>
      <c r="V13" s="194">
        <f t="shared" si="3"/>
        <v>0.16110170211953692</v>
      </c>
      <c r="W13" s="195" t="str">
        <f t="shared" si="31"/>
        <v>1-0.422030963422869i</v>
      </c>
      <c r="X13" s="194">
        <f t="shared" si="4"/>
        <v>1.0854078192493524</v>
      </c>
      <c r="Y13" s="194">
        <f t="shared" si="5"/>
        <v>-0.39935316138791799</v>
      </c>
      <c r="Z13" s="195" t="str">
        <f t="shared" si="6"/>
        <v>0.913615584191657+0.483775817304176i</v>
      </c>
      <c r="AA13" s="194">
        <f t="shared" si="7"/>
        <v>1.0337951814001585</v>
      </c>
      <c r="AB13" s="194">
        <f t="shared" si="8"/>
        <v>0.48698213849264804</v>
      </c>
      <c r="AC13" s="196" t="str">
        <f t="shared" si="9"/>
        <v>-0.0473089978665645-0.0544443931676122i</v>
      </c>
      <c r="AD13" s="197">
        <f t="shared" si="10"/>
        <v>-22.83801833261359</v>
      </c>
      <c r="AE13" s="198">
        <f t="shared" si="11"/>
        <v>-130.98873438898408</v>
      </c>
      <c r="AF13" s="195" t="str">
        <f t="shared" si="12"/>
        <v>-0.0000816326530612245</v>
      </c>
      <c r="AG13" s="195" t="str">
        <f t="shared" si="13"/>
        <v>0.00902743362831859i</v>
      </c>
      <c r="AH13" s="195">
        <f t="shared" si="14"/>
        <v>9.0274336283185895E-3</v>
      </c>
      <c r="AI13" s="195">
        <f t="shared" si="15"/>
        <v>1.5707963267948966</v>
      </c>
      <c r="AJ13" s="195" t="str">
        <f t="shared" si="16"/>
        <v>1+i</v>
      </c>
      <c r="AK13" s="195">
        <f t="shared" si="17"/>
        <v>1.4142135623730951</v>
      </c>
      <c r="AL13" s="195">
        <f t="shared" si="18"/>
        <v>0.78539816339744828</v>
      </c>
      <c r="AM13" s="195" t="str">
        <f t="shared" si="19"/>
        <v>1+101i</v>
      </c>
      <c r="AN13" s="195">
        <f t="shared" si="20"/>
        <v>101.00495037373169</v>
      </c>
      <c r="AO13" s="195">
        <f t="shared" si="21"/>
        <v>1.560895660206908</v>
      </c>
      <c r="AP13" s="191" t="str">
        <f t="shared" si="22"/>
        <v>-0.452136545236661+0.461179276141394i</v>
      </c>
      <c r="AQ13" s="195">
        <f t="shared" si="23"/>
        <v>-3.7974546203364756</v>
      </c>
      <c r="AR13" s="198">
        <f t="shared" si="24"/>
        <v>134.43273359014208</v>
      </c>
      <c r="AS13" s="191" t="str">
        <f t="shared" si="25"/>
        <v>0.0464987526849939+0.00279837044323368i</v>
      </c>
      <c r="AT13" s="197">
        <f t="shared" si="26"/>
        <v>-26.63547295295006</v>
      </c>
      <c r="AU13" s="198">
        <f t="shared" si="27"/>
        <v>3.4439992011579976</v>
      </c>
      <c r="AV13" s="225"/>
      <c r="AX13"/>
      <c r="AY13"/>
    </row>
    <row r="14" spans="1:51" x14ac:dyDescent="0.2">
      <c r="A14" s="98" t="s">
        <v>563</v>
      </c>
      <c r="B14" s="98" t="s">
        <v>495</v>
      </c>
      <c r="E14" s="98" t="s">
        <v>564</v>
      </c>
      <c r="AX14" t="s">
        <v>539</v>
      </c>
      <c r="AY14" s="23">
        <f>SUM(AY19:AY559)</f>
        <v>83.804710115021663</v>
      </c>
    </row>
    <row r="15" spans="1:51" ht="16" thickBot="1" x14ac:dyDescent="0.25">
      <c r="O15" s="199" t="s">
        <v>231</v>
      </c>
      <c r="P15" s="98">
        <f>B17</f>
        <v>3.8</v>
      </c>
      <c r="Q15" s="98" t="s">
        <v>10</v>
      </c>
    </row>
    <row r="16" spans="1:51" ht="16" thickBot="1" x14ac:dyDescent="0.25">
      <c r="A16" s="200" t="s">
        <v>262</v>
      </c>
      <c r="O16" s="201"/>
      <c r="P16" s="241" t="s">
        <v>260</v>
      </c>
      <c r="Q16" s="241"/>
      <c r="R16" s="241"/>
      <c r="S16" s="241"/>
      <c r="T16" s="241"/>
      <c r="U16" s="241"/>
      <c r="V16" s="241"/>
      <c r="W16" s="241"/>
      <c r="X16" s="241"/>
      <c r="Y16" s="241"/>
      <c r="Z16" s="241"/>
      <c r="AA16" s="241"/>
      <c r="AB16" s="241"/>
      <c r="AC16" s="241"/>
      <c r="AD16" s="241"/>
      <c r="AE16" s="242"/>
      <c r="AF16" s="243" t="s">
        <v>261</v>
      </c>
      <c r="AG16" s="241"/>
      <c r="AH16" s="241"/>
      <c r="AI16" s="241"/>
      <c r="AJ16" s="241"/>
      <c r="AK16" s="241"/>
      <c r="AL16" s="241"/>
      <c r="AM16" s="241"/>
      <c r="AN16" s="241"/>
      <c r="AO16" s="241"/>
      <c r="AP16" s="241"/>
      <c r="AQ16" s="241"/>
      <c r="AR16" s="242"/>
      <c r="AS16" s="243" t="s">
        <v>272</v>
      </c>
      <c r="AT16" s="241"/>
      <c r="AU16" s="242"/>
    </row>
    <row r="17" spans="1:51" x14ac:dyDescent="0.2">
      <c r="A17" s="98" t="s">
        <v>233</v>
      </c>
      <c r="B17" s="98">
        <f>VIN_var</f>
        <v>3.8</v>
      </c>
      <c r="C17" s="98" t="s">
        <v>10</v>
      </c>
      <c r="E17" s="98" t="s">
        <v>234</v>
      </c>
      <c r="O17" s="202"/>
      <c r="Q17" s="239" t="s">
        <v>252</v>
      </c>
      <c r="R17" s="239"/>
      <c r="S17" s="239"/>
      <c r="T17" s="240" t="s">
        <v>254</v>
      </c>
      <c r="U17" s="240"/>
      <c r="V17" s="240"/>
      <c r="W17" s="240" t="s">
        <v>253</v>
      </c>
      <c r="X17" s="240"/>
      <c r="Y17" s="240"/>
      <c r="Z17" s="240" t="s">
        <v>257</v>
      </c>
      <c r="AA17" s="240"/>
      <c r="AB17" s="240"/>
      <c r="AC17" s="244" t="s">
        <v>259</v>
      </c>
      <c r="AD17" s="240"/>
      <c r="AE17" s="245"/>
      <c r="AG17" s="240" t="s">
        <v>268</v>
      </c>
      <c r="AH17" s="240"/>
      <c r="AI17" s="240"/>
      <c r="AJ17" s="240" t="s">
        <v>269</v>
      </c>
      <c r="AK17" s="240"/>
      <c r="AL17" s="240"/>
      <c r="AM17" s="240" t="s">
        <v>263</v>
      </c>
      <c r="AN17" s="240"/>
      <c r="AO17" s="240"/>
      <c r="AP17" s="244" t="s">
        <v>259</v>
      </c>
      <c r="AQ17" s="240"/>
      <c r="AR17" s="245"/>
      <c r="AS17" s="244" t="s">
        <v>259</v>
      </c>
      <c r="AT17" s="240"/>
      <c r="AU17" s="245"/>
      <c r="AV17" s="223"/>
    </row>
    <row r="18" spans="1:51" ht="16" thickBot="1" x14ac:dyDescent="0.25">
      <c r="A18" s="98" t="s">
        <v>450</v>
      </c>
      <c r="C18" s="98" t="s">
        <v>11</v>
      </c>
      <c r="E18" s="98" t="s">
        <v>451</v>
      </c>
      <c r="N18" s="170"/>
      <c r="O18" s="203" t="s">
        <v>230</v>
      </c>
      <c r="P18" s="194" t="s">
        <v>235</v>
      </c>
      <c r="Q18" s="195" t="s">
        <v>258</v>
      </c>
      <c r="R18" s="194" t="s">
        <v>255</v>
      </c>
      <c r="S18" s="194" t="s">
        <v>256</v>
      </c>
      <c r="T18" s="194" t="s">
        <v>258</v>
      </c>
      <c r="U18" s="194" t="s">
        <v>255</v>
      </c>
      <c r="V18" s="194" t="s">
        <v>256</v>
      </c>
      <c r="W18" s="194" t="s">
        <v>258</v>
      </c>
      <c r="X18" s="194" t="s">
        <v>255</v>
      </c>
      <c r="Y18" s="194" t="s">
        <v>256</v>
      </c>
      <c r="Z18" s="194" t="s">
        <v>258</v>
      </c>
      <c r="AA18" s="194" t="s">
        <v>255</v>
      </c>
      <c r="AB18" s="194" t="s">
        <v>256</v>
      </c>
      <c r="AC18" s="196" t="s">
        <v>273</v>
      </c>
      <c r="AD18" s="194" t="s">
        <v>255</v>
      </c>
      <c r="AE18" s="204" t="s">
        <v>256</v>
      </c>
      <c r="AF18" s="194" t="s">
        <v>270</v>
      </c>
      <c r="AG18" s="194" t="s">
        <v>258</v>
      </c>
      <c r="AH18" s="194" t="s">
        <v>271</v>
      </c>
      <c r="AI18" s="194" t="s">
        <v>256</v>
      </c>
      <c r="AJ18" s="194" t="s">
        <v>258</v>
      </c>
      <c r="AK18" s="194" t="s">
        <v>271</v>
      </c>
      <c r="AL18" s="194" t="s">
        <v>256</v>
      </c>
      <c r="AM18" s="194" t="s">
        <v>258</v>
      </c>
      <c r="AN18" s="194" t="s">
        <v>271</v>
      </c>
      <c r="AO18" s="194" t="s">
        <v>256</v>
      </c>
      <c r="AP18" s="196" t="s">
        <v>273</v>
      </c>
      <c r="AQ18" s="194" t="s">
        <v>255</v>
      </c>
      <c r="AR18" s="204" t="s">
        <v>256</v>
      </c>
      <c r="AS18" s="196" t="s">
        <v>273</v>
      </c>
      <c r="AT18" s="194" t="s">
        <v>255</v>
      </c>
      <c r="AU18" s="204" t="s">
        <v>256</v>
      </c>
      <c r="AV18" s="225"/>
      <c r="AX18" s="98" t="s">
        <v>535</v>
      </c>
      <c r="AY18" s="98" t="s">
        <v>536</v>
      </c>
    </row>
    <row r="19" spans="1:51" x14ac:dyDescent="0.2">
      <c r="N19" s="170">
        <v>1</v>
      </c>
      <c r="O19" s="199">
        <f>10^(1+(N19/100))</f>
        <v>10.232929922807543</v>
      </c>
      <c r="P19" s="189" t="str">
        <f t="shared" ref="P19:P82" si="32">COMPLEX(Adc,0)</f>
        <v>6.8875</v>
      </c>
      <c r="Q19" s="160" t="str">
        <f t="shared" ref="Q19:Q82" si="33">IMSUM(COMPLEX(1,0),IMDIV(COMPLEX(0,2*PI()*O19),COMPLEX(wp_lf,0)))</f>
        <v>1+0.0160738487350957i</v>
      </c>
      <c r="R19" s="160">
        <f>IMABS(Q19)</f>
        <v>1.0001291759633646</v>
      </c>
      <c r="S19" s="160">
        <f>IMARGUMENT(Q19)</f>
        <v>1.6072464623654002E-2</v>
      </c>
      <c r="T19" s="160" t="str">
        <f t="shared" ref="T19:T82" si="34">IMSUM(COMPLEX(1,0),IMDIV(COMPLEX(0,2*PI()*O19),COMPLEX(wz_esr,0)))</f>
        <v>1+0.0000257181579761531i</v>
      </c>
      <c r="U19" s="160">
        <f>IMABS(T19)</f>
        <v>1.0000000003307117</v>
      </c>
      <c r="V19" s="160">
        <f>IMARGUMENT(T19)</f>
        <v>2.5718157970482903E-5</v>
      </c>
      <c r="W19" s="98" t="str">
        <f t="shared" ref="W19:W82" si="35">IMSUB(COMPLEX(1,0),IMDIV(COMPLEX(0,2*PI()*O19),COMPLEX(wz_rhp,0)))</f>
        <v>1-0.0000667888451596773i</v>
      </c>
      <c r="X19" s="160">
        <f>IMABS(W19)</f>
        <v>1.0000000022303748</v>
      </c>
      <c r="Y19" s="160">
        <f>IMARGUMENT(W19)</f>
        <v>-6.6788845060367845E-5</v>
      </c>
      <c r="Z19" s="98" t="str">
        <f t="shared" ref="Z19:Z82" si="36">IF(Dc_Mode_Loop="CCM",IMSUM(COMPLEX(1,0),IMDIV(COMPLEX(0,2*PI()*O19),COMPLEX(Q*(wsl/2),0)),IMDIV(IMPOWER(COMPLEX(0,2*PI()*O19),2),IMPOWER(COMPLEX(wsl/2,0),2))),COMPLEX(1,0))</f>
        <v>0.999999997836511+0.0000765603260288511i</v>
      </c>
      <c r="AA19" s="160">
        <f>IMABS(Z19)</f>
        <v>1.0000000007672525</v>
      </c>
      <c r="AB19" s="160">
        <f>IMARGUMENT(Z19)</f>
        <v>7.656032604490284E-5</v>
      </c>
      <c r="AC19" s="171" t="str">
        <f>(IMDIV(IMPRODUCT(P19,T19,W19),IMPRODUCT(Q19,Z19)))</f>
        <v>6.88570789113655-0.111490010678735i</v>
      </c>
      <c r="AD19" s="190">
        <f>20*LOG(IMABS(AC19))</f>
        <v>16.760110317078201</v>
      </c>
      <c r="AE19" s="169">
        <f>(180/PI())*IMARGUMENT(AC19)</f>
        <v>-0.92762414990117104</v>
      </c>
      <c r="AF19" s="98" t="str">
        <f t="shared" ref="AF19:AF82" si="37">COMPLEX(Adc_ea,0)</f>
        <v>-0.0000816326530612245</v>
      </c>
      <c r="AG19" s="98" t="str">
        <f t="shared" ref="AG19:AG82" si="38">COMPLEX(0,2*PI()*O19*wp0_ea)</f>
        <v>0.0000014286436755753i</v>
      </c>
      <c r="AH19" s="98">
        <f>IMABS(AG19)</f>
        <v>1.4286436755753E-6</v>
      </c>
      <c r="AI19" s="98">
        <f>IMARGUMENT(AG19)</f>
        <v>1.5707963267948966</v>
      </c>
      <c r="AJ19" s="98" t="str">
        <f t="shared" ref="AJ19:AJ82" si="39">IMSUM(COMPLEX(1,0),IMDIV(COMPLEX(0,2*PI()*O19),COMPLEX(wp1_ea,0)))</f>
        <v>1+0.000158255793882962i</v>
      </c>
      <c r="AK19" s="98">
        <f>IMABS(AJ19)</f>
        <v>1.0000000125224482</v>
      </c>
      <c r="AL19" s="98">
        <f>IMARGUMENT(AJ19)</f>
        <v>1.5825579256179538E-4</v>
      </c>
      <c r="AM19" s="98" t="str">
        <f t="shared" ref="AM19:AM82" si="40">IMSUM(COMPLEX(1,0),IMDIV(COMPLEX(0,2*PI()*O19),COMPLEX(wz_ea,0)))</f>
        <v>1+0.0159838351821791i</v>
      </c>
      <c r="AN19" s="98">
        <f>IMABS(AM19)</f>
        <v>1.0001277333356631</v>
      </c>
      <c r="AO19" s="98">
        <f>IMARGUMENT(AM19)</f>
        <v>1.5982474191479606E-2</v>
      </c>
      <c r="AP19" s="168" t="str">
        <f>IMPRODUCT(AF19,IMDIV(AM19,IMPRODUCT(AG19,AJ19)))</f>
        <v>-0.904273067825894+57.1401105152967i</v>
      </c>
      <c r="AQ19" s="98">
        <f>20*LOG(IMABS(AP19))</f>
        <v>35.13990906476517</v>
      </c>
      <c r="AR19" s="169">
        <f>(180/PI())*IMARGUMENT(AP19)</f>
        <v>90.906660928351243</v>
      </c>
      <c r="AS19" s="168" t="str">
        <f>IMPRODUCT(AC19,AP19)</f>
        <v>0.143991332663511+393.550927289581i</v>
      </c>
      <c r="AT19" s="190">
        <f>20*LOG(IMABS(AS19))</f>
        <v>51.900019381843364</v>
      </c>
      <c r="AU19" s="169">
        <f>(180/PI())*IMARGUMENT(AS19)</f>
        <v>89.979036778450094</v>
      </c>
      <c r="AV19" s="225"/>
      <c r="AX19">
        <f>SUM((AT20&lt;0)*(AT19&gt;0))*O19</f>
        <v>0</v>
      </c>
      <c r="AY19">
        <f>IF(AX19&gt;0,AU19,0)</f>
        <v>0</v>
      </c>
    </row>
    <row r="20" spans="1:51" x14ac:dyDescent="0.2">
      <c r="A20" s="98" t="s">
        <v>31</v>
      </c>
      <c r="B20" s="205">
        <f>VOUT</f>
        <v>5</v>
      </c>
      <c r="C20" s="98" t="s">
        <v>10</v>
      </c>
      <c r="E20" s="98" t="s">
        <v>206</v>
      </c>
      <c r="N20" s="170">
        <v>2</v>
      </c>
      <c r="O20" s="199">
        <f t="shared" ref="O20:O83" si="41">10^(1+(N20/100))</f>
        <v>10.471285480509</v>
      </c>
      <c r="P20" s="189" t="str">
        <f t="shared" si="32"/>
        <v>6.8875</v>
      </c>
      <c r="Q20" s="160" t="str">
        <f t="shared" si="33"/>
        <v>1+0.0164482567696043i</v>
      </c>
      <c r="R20" s="160">
        <f t="shared" ref="R20:R83" si="42">IMABS(Q20)</f>
        <v>1.000135263427282</v>
      </c>
      <c r="S20" s="160">
        <f t="shared" ref="S20:S83" si="43">IMARGUMENT(Q20)</f>
        <v>1.6446773678306933E-2</v>
      </c>
      <c r="T20" s="160" t="str">
        <f t="shared" si="34"/>
        <v>1+0.0000263172108313668i</v>
      </c>
      <c r="U20" s="160">
        <f t="shared" ref="U20:U83" si="44">IMABS(T20)</f>
        <v>1.0000000003462977</v>
      </c>
      <c r="V20" s="160">
        <f t="shared" ref="V20:V83" si="45">IMARGUMENT(T20)</f>
        <v>2.6317210825291072E-5</v>
      </c>
      <c r="W20" s="98" t="str">
        <f t="shared" si="35"/>
        <v>1-0.0000683445572144222i</v>
      </c>
      <c r="X20" s="160">
        <f t="shared" ref="X20:X83" si="46">IMABS(W20)</f>
        <v>1.0000000023354891</v>
      </c>
      <c r="Y20" s="160">
        <f t="shared" ref="Y20:Y83" si="47">IMARGUMENT(W20)</f>
        <v>-6.8344557108010204E-5</v>
      </c>
      <c r="Z20" s="98" t="str">
        <f t="shared" si="36"/>
        <v>0.999999997734549+0.0000783436451120532i</v>
      </c>
      <c r="AA20" s="160">
        <f t="shared" ref="AA20:AA83" si="48">IMABS(Z20)</f>
        <v>1.0000000008034122</v>
      </c>
      <c r="AB20" s="160">
        <f t="shared" ref="AB20:AB83" si="49">IMARGUMENT(Z20)</f>
        <v>7.8343645129252935E-5</v>
      </c>
      <c r="AC20" s="171" t="str">
        <f t="shared" ref="AC20:AC83" si="50">(IMDIV(IMPRODUCT(P20,T20,W20),IMPRODUCT(Q20,Z20)))</f>
        <v>6.88562345449179-0.114085557801196i</v>
      </c>
      <c r="AD20" s="190">
        <f t="shared" ref="AD20:AD83" si="51">20*LOG(IMABS(AC20))</f>
        <v>16.760057449762947</v>
      </c>
      <c r="AE20" s="169">
        <f t="shared" ref="AE20:AE83" si="52">(180/PI())*IMARGUMENT(AC20)</f>
        <v>-0.94922746815755243</v>
      </c>
      <c r="AF20" s="98" t="str">
        <f t="shared" si="37"/>
        <v>-0.0000816326530612245</v>
      </c>
      <c r="AG20" s="98" t="str">
        <f t="shared" si="38"/>
        <v>1.46192106168243E-06i</v>
      </c>
      <c r="AH20" s="98">
        <f t="shared" ref="AH20:AH83" si="53">IMABS(AG20)</f>
        <v>1.4619210616824301E-6</v>
      </c>
      <c r="AI20" s="98">
        <f t="shared" ref="AI20:AI83" si="54">IMARGUMENT(AG20)</f>
        <v>1.5707963267948966</v>
      </c>
      <c r="AJ20" s="98" t="str">
        <f t="shared" si="39"/>
        <v>1+0.000161942044868262i</v>
      </c>
      <c r="AK20" s="98">
        <f t="shared" ref="AK20:AK83" si="55">IMABS(AJ20)</f>
        <v>1.000000013112613</v>
      </c>
      <c r="AL20" s="98">
        <f t="shared" ref="AL20:AL83" si="56">IMARGUMENT(AJ20)</f>
        <v>1.6194204345260646E-4</v>
      </c>
      <c r="AM20" s="98" t="str">
        <f t="shared" si="40"/>
        <v>1+0.0163561465316945i</v>
      </c>
      <c r="AN20" s="98">
        <f t="shared" ref="AN20:AN83" si="57">IMABS(AM20)</f>
        <v>1.0001337528197747</v>
      </c>
      <c r="AO20" s="98">
        <f t="shared" ref="AO20:AO83" si="58">IMARGUMENT(AM20)</f>
        <v>1.6354688214418857E-2</v>
      </c>
      <c r="AP20" s="168" t="str">
        <f t="shared" ref="AP20:AP83" si="59">IMPRODUCT(AF20,IMDIV(AM20,IMPRODUCT(AG20,AJ20)))</f>
        <v>-0.904273066758555+55.8394493959541i</v>
      </c>
      <c r="AQ20" s="98">
        <f t="shared" ref="AQ20:AQ83" si="60">20*LOG(IMABS(AP20))</f>
        <v>34.939961337378747</v>
      </c>
      <c r="AR20" s="169">
        <f t="shared" ref="AR20:AR83" si="61">(180/PI())*IMARGUMENT(AP20)</f>
        <v>90.927776014322987</v>
      </c>
      <c r="AS20" s="168" t="str">
        <f t="shared" ref="AS20:AS83" si="62">IMPRODUCT(AC20,AP20)</f>
        <v>0.143990893911154+384.592586943915i</v>
      </c>
      <c r="AT20" s="190">
        <f t="shared" ref="AT20:AT83" si="63">20*LOG(IMABS(AS20))</f>
        <v>51.700018787141701</v>
      </c>
      <c r="AU20" s="169">
        <f t="shared" ref="AU20:AU83" si="64">(180/PI())*IMARGUMENT(AS20)</f>
        <v>89.978548546165442</v>
      </c>
      <c r="AV20" s="225"/>
      <c r="AX20">
        <f t="shared" ref="AX20:AX83" si="65">SUM((AT21&lt;0)*(AT20&gt;0))*O20</f>
        <v>0</v>
      </c>
      <c r="AY20">
        <f t="shared" ref="AY20:AY83" si="66">IF(AX20&gt;0,AU20,0)</f>
        <v>0</v>
      </c>
    </row>
    <row r="21" spans="1:51" x14ac:dyDescent="0.2">
      <c r="A21" s="98" t="s">
        <v>33</v>
      </c>
      <c r="B21" s="205">
        <f>IOUT</f>
        <v>2</v>
      </c>
      <c r="C21" s="98" t="s">
        <v>11</v>
      </c>
      <c r="E21" s="98" t="s">
        <v>34</v>
      </c>
      <c r="N21" s="170">
        <v>3</v>
      </c>
      <c r="O21" s="199">
        <f t="shared" si="41"/>
        <v>10.715193052376069</v>
      </c>
      <c r="P21" s="189" t="str">
        <f t="shared" si="32"/>
        <v>6.8875</v>
      </c>
      <c r="Q21" s="160" t="str">
        <f t="shared" si="33"/>
        <v>1+0.0168313858875705i</v>
      </c>
      <c r="R21" s="160">
        <f t="shared" si="42"/>
        <v>1.0001416377448227</v>
      </c>
      <c r="S21" s="160">
        <f t="shared" si="43"/>
        <v>1.6829796738768572E-2</v>
      </c>
      <c r="T21" s="160" t="str">
        <f t="shared" si="34"/>
        <v>1+0.0000269302174201128i</v>
      </c>
      <c r="U21" s="160">
        <f t="shared" si="44"/>
        <v>1.0000000003626182</v>
      </c>
      <c r="V21" s="160">
        <f t="shared" si="45"/>
        <v>2.6930217413602537E-5</v>
      </c>
      <c r="W21" s="98" t="str">
        <f t="shared" si="35"/>
        <v>1-0.0000699365064580493i</v>
      </c>
      <c r="X21" s="160">
        <f t="shared" si="46"/>
        <v>1.0000000024455573</v>
      </c>
      <c r="Y21" s="160">
        <f t="shared" si="47"/>
        <v>-6.9936506344026809E-5</v>
      </c>
      <c r="Z21" s="98" t="str">
        <f t="shared" si="36"/>
        <v>0.999999997627782+0.0000801685030328944i</v>
      </c>
      <c r="AA21" s="160">
        <f t="shared" si="48"/>
        <v>1.0000000008412764</v>
      </c>
      <c r="AB21" s="160">
        <f t="shared" si="49"/>
        <v>8.0168503051324211E-5</v>
      </c>
      <c r="AC21" s="171" t="str">
        <f t="shared" si="50"/>
        <v>6.88553504067387-0.116741463691268i</v>
      </c>
      <c r="AD21" s="190">
        <f t="shared" si="51"/>
        <v>16.760002091577658</v>
      </c>
      <c r="AE21" s="169">
        <f t="shared" si="52"/>
        <v>-0.97133371891743181</v>
      </c>
      <c r="AF21" s="98" t="str">
        <f t="shared" si="37"/>
        <v>-0.0000816326530612245</v>
      </c>
      <c r="AG21" s="98" t="str">
        <f t="shared" si="38"/>
        <v>1.49597357768727E-06i</v>
      </c>
      <c r="AH21" s="98">
        <f t="shared" si="53"/>
        <v>1.49597357768727E-6</v>
      </c>
      <c r="AI21" s="98">
        <f t="shared" si="54"/>
        <v>1.5707963267948966</v>
      </c>
      <c r="AJ21" s="98" t="str">
        <f t="shared" si="39"/>
        <v>1+0.000165714159669308i</v>
      </c>
      <c r="AK21" s="98">
        <f t="shared" si="55"/>
        <v>1.0000000137305913</v>
      </c>
      <c r="AL21" s="98">
        <f t="shared" si="56"/>
        <v>1.6571415815240574E-4</v>
      </c>
      <c r="AM21" s="98" t="str">
        <f t="shared" si="40"/>
        <v>1+0.0167371301266001i</v>
      </c>
      <c r="AN21" s="98">
        <f t="shared" si="57"/>
        <v>1.0001400559546023</v>
      </c>
      <c r="AO21" s="98">
        <f t="shared" si="58"/>
        <v>1.673556752330423E-2</v>
      </c>
      <c r="AP21" s="168" t="str">
        <f t="shared" si="59"/>
        <v>-0.904273065640914+54.568395091804i</v>
      </c>
      <c r="AQ21" s="98">
        <f t="shared" si="60"/>
        <v>34.740016072850295</v>
      </c>
      <c r="AR21" s="169">
        <f t="shared" si="61"/>
        <v>90.949382664973839</v>
      </c>
      <c r="AS21" s="168" t="str">
        <f t="shared" si="62"/>
        <v>0.143990434492507+375.838162679212i</v>
      </c>
      <c r="AT21" s="190">
        <f t="shared" si="63"/>
        <v>51.500018164427956</v>
      </c>
      <c r="AU21" s="169">
        <f t="shared" si="64"/>
        <v>89.978048946056418</v>
      </c>
      <c r="AV21" s="225"/>
      <c r="AX21">
        <f t="shared" si="65"/>
        <v>0</v>
      </c>
      <c r="AY21">
        <f t="shared" si="66"/>
        <v>0</v>
      </c>
    </row>
    <row r="22" spans="1:51" x14ac:dyDescent="0.2">
      <c r="N22" s="170">
        <v>4</v>
      </c>
      <c r="O22" s="199">
        <f t="shared" si="41"/>
        <v>10.964781961431854</v>
      </c>
      <c r="P22" s="189" t="str">
        <f t="shared" si="32"/>
        <v>6.8875</v>
      </c>
      <c r="Q22" s="160" t="str">
        <f t="shared" si="33"/>
        <v>1+0.0172234392291241i</v>
      </c>
      <c r="R22" s="160">
        <f t="shared" si="42"/>
        <v>1.000148312431151</v>
      </c>
      <c r="S22" s="160">
        <f t="shared" si="43"/>
        <v>1.7221736439141398E-2</v>
      </c>
      <c r="T22" s="160" t="str">
        <f t="shared" si="34"/>
        <v>1+0.0000275575027665986i</v>
      </c>
      <c r="U22" s="160">
        <f t="shared" si="44"/>
        <v>1.0000000003797078</v>
      </c>
      <c r="V22" s="160">
        <f t="shared" si="45"/>
        <v>2.7557502759622732E-5</v>
      </c>
      <c r="W22" s="98" t="str">
        <f t="shared" si="35"/>
        <v>1-0.0000715655369631195i</v>
      </c>
      <c r="X22" s="160">
        <f t="shared" si="46"/>
        <v>1.0000000025608129</v>
      </c>
      <c r="Y22" s="160">
        <f t="shared" si="47"/>
        <v>-7.1565536840942194E-5</v>
      </c>
      <c r="Z22" s="98" t="str">
        <f t="shared" si="36"/>
        <v>0.999999997515983+0.0000820358673551992i</v>
      </c>
      <c r="AA22" s="160">
        <f t="shared" si="48"/>
        <v>1.0000000008809247</v>
      </c>
      <c r="AB22" s="160">
        <f t="shared" si="49"/>
        <v>8.2035867374947091E-5</v>
      </c>
      <c r="AC22" s="171" t="str">
        <f t="shared" si="50"/>
        <v>6.88544246245689-0.119459127188526i</v>
      </c>
      <c r="AD22" s="190">
        <f t="shared" si="51"/>
        <v>16.759944125197798</v>
      </c>
      <c r="AE22" s="169">
        <f t="shared" si="52"/>
        <v>-0.99395459743626635</v>
      </c>
      <c r="AF22" s="98" t="str">
        <f t="shared" si="37"/>
        <v>-0.0000816326530612245</v>
      </c>
      <c r="AG22" s="98" t="str">
        <f t="shared" si="38"/>
        <v>1.53081927868455E-06i</v>
      </c>
      <c r="AH22" s="98">
        <f t="shared" si="53"/>
        <v>1.5308192786845501E-6</v>
      </c>
      <c r="AI22" s="98">
        <f t="shared" si="54"/>
        <v>1.5707963267948966</v>
      </c>
      <c r="AJ22" s="98" t="str">
        <f t="shared" si="39"/>
        <v>1+0.000169574138311297i</v>
      </c>
      <c r="AK22" s="98">
        <f t="shared" si="55"/>
        <v>1.0000000143776941</v>
      </c>
      <c r="AL22" s="98">
        <f t="shared" si="56"/>
        <v>1.6957413668590698E-4</v>
      </c>
      <c r="AM22" s="98" t="str">
        <f t="shared" si="40"/>
        <v>1+0.017126987969441i</v>
      </c>
      <c r="AN22" s="98">
        <f t="shared" si="57"/>
        <v>1.0001466561044461</v>
      </c>
      <c r="AO22" s="98">
        <f t="shared" si="58"/>
        <v>1.7125313623102972E-2</v>
      </c>
      <c r="AP22" s="168" t="str">
        <f t="shared" si="59"/>
        <v>-0.904273064470596+53.3262736730296i</v>
      </c>
      <c r="AQ22" s="98">
        <f t="shared" si="60"/>
        <v>34.540073387185615</v>
      </c>
      <c r="AR22" s="169">
        <f t="shared" si="61"/>
        <v>90.97149231109502</v>
      </c>
      <c r="AS22" s="168" t="str">
        <f t="shared" si="62"/>
        <v>0.14398995343473+367.283012783897i</v>
      </c>
      <c r="AT22" s="190">
        <f t="shared" si="63"/>
        <v>51.30001751238342</v>
      </c>
      <c r="AU22" s="169">
        <f t="shared" si="64"/>
        <v>89.977537713658748</v>
      </c>
      <c r="AV22" s="225"/>
      <c r="AX22">
        <f t="shared" si="65"/>
        <v>0</v>
      </c>
      <c r="AY22">
        <f t="shared" si="66"/>
        <v>0</v>
      </c>
    </row>
    <row r="23" spans="1:51" x14ac:dyDescent="0.2">
      <c r="A23" s="98" t="s">
        <v>207</v>
      </c>
      <c r="N23" s="170">
        <v>5</v>
      </c>
      <c r="O23" s="199">
        <f t="shared" si="41"/>
        <v>11.220184543019636</v>
      </c>
      <c r="P23" s="189" t="str">
        <f t="shared" si="32"/>
        <v>6.8875</v>
      </c>
      <c r="Q23" s="160" t="str">
        <f t="shared" si="33"/>
        <v>1+0.0176246246661361i</v>
      </c>
      <c r="R23" s="160">
        <f t="shared" si="42"/>
        <v>1.0001553016380116</v>
      </c>
      <c r="S23" s="160">
        <f t="shared" si="43"/>
        <v>1.7622800109098058E-2</v>
      </c>
      <c r="T23" s="160" t="str">
        <f t="shared" si="34"/>
        <v>1+0.0000281993994658178i</v>
      </c>
      <c r="U23" s="160">
        <f t="shared" si="44"/>
        <v>1.0000000003976031</v>
      </c>
      <c r="V23" s="160">
        <f t="shared" si="45"/>
        <v>2.8199399458343023E-5</v>
      </c>
      <c r="W23" s="98" t="str">
        <f t="shared" si="35"/>
        <v>1-0.0000732325124631695i</v>
      </c>
      <c r="X23" s="160">
        <f t="shared" si="46"/>
        <v>1.0000000026815004</v>
      </c>
      <c r="Y23" s="160">
        <f t="shared" si="47"/>
        <v>-7.3232512332254156E-5</v>
      </c>
      <c r="Z23" s="98" t="str">
        <f t="shared" si="36"/>
        <v>0.999999997398914+0.0000839467281802488i</v>
      </c>
      <c r="AA23" s="160">
        <f t="shared" si="48"/>
        <v>1.0000000009224406</v>
      </c>
      <c r="AB23" s="160">
        <f t="shared" si="49"/>
        <v>8.3946728201409124E-5</v>
      </c>
      <c r="AC23" s="171" t="str">
        <f t="shared" si="50"/>
        <v>6.88534552381174-0.122239979208701i</v>
      </c>
      <c r="AD23" s="190">
        <f t="shared" si="51"/>
        <v>16.759883427775897</v>
      </c>
      <c r="AE23" s="169">
        <f t="shared" si="52"/>
        <v>-1.0171020699898874</v>
      </c>
      <c r="AF23" s="98" t="str">
        <f t="shared" si="37"/>
        <v>-0.0000816326530612245</v>
      </c>
      <c r="AG23" s="98" t="str">
        <f t="shared" si="38"/>
        <v>1.56647664032618E-06i</v>
      </c>
      <c r="AH23" s="98">
        <f t="shared" si="53"/>
        <v>1.56647664032618E-6</v>
      </c>
      <c r="AI23" s="98">
        <f t="shared" si="54"/>
        <v>1.5707963267948966</v>
      </c>
      <c r="AJ23" s="98" t="str">
        <f t="shared" si="39"/>
        <v>1+0.000173524027405998i</v>
      </c>
      <c r="AK23" s="98">
        <f t="shared" si="55"/>
        <v>1.0000000150552939</v>
      </c>
      <c r="AL23" s="98">
        <f t="shared" si="56"/>
        <v>1.7352402566436119E-4</v>
      </c>
      <c r="AM23" s="98" t="str">
        <f t="shared" si="40"/>
        <v>1+0.0175259267680058i</v>
      </c>
      <c r="AN23" s="98">
        <f t="shared" si="57"/>
        <v>1.0001535672630866</v>
      </c>
      <c r="AO23" s="98">
        <f t="shared" si="58"/>
        <v>1.7524132688458545E-2</v>
      </c>
      <c r="AP23" s="168" t="str">
        <f t="shared" si="59"/>
        <v>-0.904273063245127+52.1124265504132i</v>
      </c>
      <c r="AQ23" s="98">
        <f t="shared" si="60"/>
        <v>34.340133401851475</v>
      </c>
      <c r="AR23" s="169">
        <f t="shared" si="61"/>
        <v>90.994116648361228</v>
      </c>
      <c r="AS23" s="168" t="str">
        <f t="shared" si="62"/>
        <v>0.143989449719101+358.922601204306i</v>
      </c>
      <c r="AT23" s="190">
        <f t="shared" si="63"/>
        <v>51.100016829627386</v>
      </c>
      <c r="AU23" s="169">
        <f t="shared" si="64"/>
        <v>89.977014578371353</v>
      </c>
      <c r="AV23" s="225"/>
      <c r="AX23">
        <f t="shared" si="65"/>
        <v>0</v>
      </c>
      <c r="AY23">
        <f t="shared" si="66"/>
        <v>0</v>
      </c>
    </row>
    <row r="24" spans="1:51" x14ac:dyDescent="0.2">
      <c r="A24" s="98" t="s">
        <v>208</v>
      </c>
      <c r="B24" s="205">
        <f>Lm</f>
        <v>1.5E-6</v>
      </c>
      <c r="C24" s="98" t="s">
        <v>98</v>
      </c>
      <c r="E24" s="98" t="s">
        <v>209</v>
      </c>
      <c r="N24" s="170">
        <v>6</v>
      </c>
      <c r="O24" s="199">
        <f t="shared" si="41"/>
        <v>11.481536214968834</v>
      </c>
      <c r="P24" s="189" t="str">
        <f t="shared" si="32"/>
        <v>6.8875</v>
      </c>
      <c r="Q24" s="160" t="str">
        <f t="shared" si="33"/>
        <v>1+0.0180351549124356i</v>
      </c>
      <c r="R24" s="160">
        <f t="shared" si="42"/>
        <v>1.0001626201836957</v>
      </c>
      <c r="S24" s="160">
        <f t="shared" si="43"/>
        <v>1.8033199881513692E-2</v>
      </c>
      <c r="T24" s="160" t="str">
        <f t="shared" si="34"/>
        <v>1+0.000028856247859897i</v>
      </c>
      <c r="U24" s="160">
        <f t="shared" si="44"/>
        <v>1.0000000004163414</v>
      </c>
      <c r="V24" s="160">
        <f t="shared" si="45"/>
        <v>2.885624785188763E-5</v>
      </c>
      <c r="W24" s="98" t="str">
        <f t="shared" si="35"/>
        <v>1-0.0000749383168106743i</v>
      </c>
      <c r="X24" s="160">
        <f t="shared" si="46"/>
        <v>1.0000000028078757</v>
      </c>
      <c r="Y24" s="160">
        <f t="shared" si="47"/>
        <v>-7.493831667039598E-5</v>
      </c>
      <c r="Z24" s="98" t="str">
        <f t="shared" si="36"/>
        <v>0.999999997276329+0.0000859020986717459i</v>
      </c>
      <c r="AA24" s="160">
        <f t="shared" si="48"/>
        <v>1.0000000009659142</v>
      </c>
      <c r="AB24" s="160">
        <f t="shared" si="49"/>
        <v>8.5902098694419531E-5</v>
      </c>
      <c r="AC24" s="171" t="str">
        <f t="shared" si="50"/>
        <v>6.88524401949316-0.125085483454639i</v>
      </c>
      <c r="AD24" s="190">
        <f t="shared" si="51"/>
        <v>16.759819870681838</v>
      </c>
      <c r="AE24" s="169">
        <f t="shared" si="52"/>
        <v>-1.0407883800875903</v>
      </c>
      <c r="AF24" s="98" t="str">
        <f t="shared" si="37"/>
        <v>-0.0000816326530612245</v>
      </c>
      <c r="AG24" s="98" t="str">
        <f t="shared" si="38"/>
        <v>1.60296456861728E-06i</v>
      </c>
      <c r="AH24" s="98">
        <f t="shared" si="53"/>
        <v>1.6029645686172801E-6</v>
      </c>
      <c r="AI24" s="98">
        <f t="shared" si="54"/>
        <v>1.5707963267948966</v>
      </c>
      <c r="AJ24" s="98" t="str">
        <f t="shared" si="39"/>
        <v>1+0.000177565921236891i</v>
      </c>
      <c r="AK24" s="98">
        <f t="shared" si="55"/>
        <v>1.0000000157648281</v>
      </c>
      <c r="AL24" s="98">
        <f t="shared" si="56"/>
        <v>1.7756591937069353E-4</v>
      </c>
      <c r="AM24" s="98" t="str">
        <f t="shared" si="40"/>
        <v>1+0.017934158044926i</v>
      </c>
      <c r="AN24" s="98">
        <f t="shared" si="57"/>
        <v>1.0001608040834136</v>
      </c>
      <c r="AO24" s="98">
        <f t="shared" si="58"/>
        <v>1.7932235670748586E-2</v>
      </c>
      <c r="AP24" s="168" t="str">
        <f t="shared" si="59"/>
        <v>-0.904273061961902+50.9262101261434i</v>
      </c>
      <c r="AQ24" s="98">
        <f t="shared" si="60"/>
        <v>34.140196244032374</v>
      </c>
      <c r="AR24" s="169">
        <f t="shared" si="61"/>
        <v>91.017267643402533</v>
      </c>
      <c r="AS24" s="168" t="str">
        <f t="shared" si="62"/>
        <v>0.143988922279226+350.752495139611i</v>
      </c>
      <c r="AT24" s="190">
        <f t="shared" si="63"/>
        <v>50.900016114714212</v>
      </c>
      <c r="AU24" s="169">
        <f t="shared" si="64"/>
        <v>89.976479263314957</v>
      </c>
      <c r="AV24" s="225"/>
      <c r="AX24">
        <f t="shared" si="65"/>
        <v>0</v>
      </c>
      <c r="AY24">
        <f t="shared" si="66"/>
        <v>0</v>
      </c>
    </row>
    <row r="25" spans="1:51" x14ac:dyDescent="0.2">
      <c r="N25" s="170">
        <v>7</v>
      </c>
      <c r="O25" s="199">
        <f t="shared" si="41"/>
        <v>11.748975549395301</v>
      </c>
      <c r="P25" s="189" t="str">
        <f t="shared" si="32"/>
        <v>6.8875</v>
      </c>
      <c r="Q25" s="160" t="str">
        <f t="shared" si="33"/>
        <v>1+0.0184552476365932i</v>
      </c>
      <c r="R25" s="160">
        <f t="shared" si="42"/>
        <v>1.0001702835844144</v>
      </c>
      <c r="S25" s="160">
        <f t="shared" si="43"/>
        <v>1.8453152802480284E-2</v>
      </c>
      <c r="T25" s="160" t="str">
        <f t="shared" si="34"/>
        <v>1+0.0000295283962185491i</v>
      </c>
      <c r="U25" s="160">
        <f t="shared" si="44"/>
        <v>1.000000000435963</v>
      </c>
      <c r="V25" s="160">
        <f t="shared" si="45"/>
        <v>2.9528396209966904E-5</v>
      </c>
      <c r="W25" s="98" t="str">
        <f t="shared" si="35"/>
        <v>1-0.0000766838544456781i</v>
      </c>
      <c r="X25" s="160">
        <f t="shared" si="46"/>
        <v>1.0000000029402067</v>
      </c>
      <c r="Y25" s="160">
        <f t="shared" si="47"/>
        <v>-7.6683854295367165E-5</v>
      </c>
      <c r="Z25" s="98" t="str">
        <f t="shared" si="36"/>
        <v>0.999999997147966+0.0000879030155930075i</v>
      </c>
      <c r="AA25" s="160">
        <f t="shared" si="48"/>
        <v>1.0000000010114358</v>
      </c>
      <c r="AB25" s="160">
        <f t="shared" si="49"/>
        <v>8.7903015617302795E-5</v>
      </c>
      <c r="AC25" s="171" t="str">
        <f t="shared" si="50"/>
        <v>6.88513773460766-0.127997137141236i</v>
      </c>
      <c r="AD25" s="190">
        <f t="shared" si="51"/>
        <v>16.759753319231148</v>
      </c>
      <c r="AE25" s="169">
        <f t="shared" si="52"/>
        <v>-1.065026054822773</v>
      </c>
      <c r="AF25" s="98" t="str">
        <f t="shared" si="37"/>
        <v>-0.0000816326530612245</v>
      </c>
      <c r="AG25" s="98" t="str">
        <f t="shared" si="38"/>
        <v>0.0000016403024099404i</v>
      </c>
      <c r="AH25" s="98">
        <f t="shared" si="53"/>
        <v>1.6403024099404001E-6</v>
      </c>
      <c r="AI25" s="98">
        <f t="shared" si="54"/>
        <v>1.5707963267948966</v>
      </c>
      <c r="AJ25" s="98" t="str">
        <f t="shared" si="39"/>
        <v>1+0.000181701962869587i</v>
      </c>
      <c r="AK25" s="98">
        <f t="shared" si="55"/>
        <v>1.0000000165078016</v>
      </c>
      <c r="AL25" s="98">
        <f t="shared" si="56"/>
        <v>1.817019608699204E-4</v>
      </c>
      <c r="AM25" s="98" t="str">
        <f t="shared" si="40"/>
        <v>1+0.0183518982498283i</v>
      </c>
      <c r="AN25" s="98">
        <f t="shared" si="57"/>
        <v>1.0001683819084524</v>
      </c>
      <c r="AO25" s="98">
        <f t="shared" si="58"/>
        <v>1.8349838407514318E-2</v>
      </c>
      <c r="AP25" s="168" t="str">
        <f t="shared" si="59"/>
        <v>-0.904273060618204+49.7669954525707i</v>
      </c>
      <c r="AQ25" s="98">
        <f t="shared" si="60"/>
        <v>33.94026204689925</v>
      </c>
      <c r="AR25" s="169">
        <f t="shared" si="61"/>
        <v>91.040957540010538</v>
      </c>
      <c r="AS25" s="168" t="str">
        <f t="shared" si="62"/>
        <v>0.143988369998404+342.768362691495i</v>
      </c>
      <c r="AT25" s="190">
        <f t="shared" si="63"/>
        <v>50.700015366130387</v>
      </c>
      <c r="AU25" s="169">
        <f t="shared" si="64"/>
        <v>89.975931485187758</v>
      </c>
      <c r="AV25" s="225"/>
      <c r="AX25">
        <f t="shared" si="65"/>
        <v>0</v>
      </c>
      <c r="AY25">
        <f t="shared" si="66"/>
        <v>0</v>
      </c>
    </row>
    <row r="26" spans="1:51" x14ac:dyDescent="0.2">
      <c r="A26" s="98" t="s">
        <v>160</v>
      </c>
      <c r="B26" s="205">
        <f>R_cs</f>
        <v>0.02</v>
      </c>
      <c r="C26" s="206" t="s">
        <v>36</v>
      </c>
      <c r="E26" s="98" t="s">
        <v>210</v>
      </c>
      <c r="N26" s="170">
        <v>8</v>
      </c>
      <c r="O26" s="199">
        <f t="shared" si="41"/>
        <v>12.022644346174133</v>
      </c>
      <c r="P26" s="189" t="str">
        <f t="shared" si="32"/>
        <v>6.8875</v>
      </c>
      <c r="Q26" s="160" t="str">
        <f t="shared" si="33"/>
        <v>1+0.0188851255773317i</v>
      </c>
      <c r="R26" s="160">
        <f t="shared" si="42"/>
        <v>1.0001783080871489</v>
      </c>
      <c r="S26" s="160">
        <f t="shared" si="43"/>
        <v>1.8882880943750551E-2</v>
      </c>
      <c r="T26" s="160" t="str">
        <f t="shared" si="34"/>
        <v>1+0.0000302162009237308i</v>
      </c>
      <c r="U26" s="160">
        <f t="shared" si="44"/>
        <v>1.0000000004565093</v>
      </c>
      <c r="V26" s="160">
        <f t="shared" si="45"/>
        <v>3.0216200914534813E-5</v>
      </c>
      <c r="W26" s="98" t="str">
        <f t="shared" si="35"/>
        <v>1-0.0000784700508753397i</v>
      </c>
      <c r="X26" s="160">
        <f t="shared" si="46"/>
        <v>1.0000000030787743</v>
      </c>
      <c r="Y26" s="160">
        <f t="shared" si="47"/>
        <v>-7.8470050714278642E-5</v>
      </c>
      <c r="Z26" s="98" t="str">
        <f t="shared" si="36"/>
        <v>0.999999997013554+0.0000899505398566703i</v>
      </c>
      <c r="AA26" s="160">
        <f t="shared" si="48"/>
        <v>1.0000000010591037</v>
      </c>
      <c r="AB26" s="160">
        <f t="shared" si="49"/>
        <v>8.995053988270315E-5</v>
      </c>
      <c r="AC26" s="171" t="str">
        <f t="shared" si="50"/>
        <v>6.88502644416112-0.130976471734497i</v>
      </c>
      <c r="AD26" s="190">
        <f t="shared" si="51"/>
        <v>16.759683632400296</v>
      </c>
      <c r="AE26" s="169">
        <f t="shared" si="52"/>
        <v>-1.0898279113639016</v>
      </c>
      <c r="AF26" s="98" t="str">
        <f t="shared" si="37"/>
        <v>-0.0000816326530612245</v>
      </c>
      <c r="AG26" s="98" t="str">
        <f t="shared" si="38"/>
        <v>1.67850996131325E-06i</v>
      </c>
      <c r="AH26" s="98">
        <f t="shared" si="53"/>
        <v>1.6785099613132501E-6</v>
      </c>
      <c r="AI26" s="98">
        <f t="shared" si="54"/>
        <v>1.5707963267948966</v>
      </c>
      <c r="AJ26" s="98" t="str">
        <f t="shared" si="39"/>
        <v>1+0.000185934345288106i</v>
      </c>
      <c r="AK26" s="98">
        <f t="shared" si="55"/>
        <v>1.0000000172857901</v>
      </c>
      <c r="AL26" s="98">
        <f t="shared" si="56"/>
        <v>1.8593434314542463E-4</v>
      </c>
      <c r="AM26" s="98" t="str">
        <f t="shared" si="40"/>
        <v>1+0.0187793688740987i</v>
      </c>
      <c r="AN26" s="98">
        <f t="shared" si="57"/>
        <v>1.0001763168038471</v>
      </c>
      <c r="AO26" s="98">
        <f t="shared" si="58"/>
        <v>1.8777161734307355E-2</v>
      </c>
      <c r="AP26" s="168" t="str">
        <f t="shared" si="59"/>
        <v>-0.904273059211176+48.6341678987307i</v>
      </c>
      <c r="AQ26" s="98">
        <f t="shared" si="60"/>
        <v>33.74033094989084</v>
      </c>
      <c r="AR26" s="169">
        <f t="shared" si="61"/>
        <v>91.065198865481591</v>
      </c>
      <c r="AS26" s="168" t="str">
        <f t="shared" si="62"/>
        <v>0.143987791707462+334.965970567313i</v>
      </c>
      <c r="AT26" s="190">
        <f t="shared" si="63"/>
        <v>50.500014582291143</v>
      </c>
      <c r="AU26" s="169">
        <f t="shared" si="64"/>
        <v>89.975370954117693</v>
      </c>
      <c r="AV26" s="225"/>
      <c r="AX26">
        <f t="shared" si="65"/>
        <v>0</v>
      </c>
      <c r="AY26">
        <f t="shared" si="66"/>
        <v>0</v>
      </c>
    </row>
    <row r="27" spans="1:51" x14ac:dyDescent="0.2">
      <c r="A27" s="98" t="s">
        <v>161</v>
      </c>
      <c r="B27" s="205">
        <f>R_sl</f>
        <v>0</v>
      </c>
      <c r="C27" s="206" t="s">
        <v>36</v>
      </c>
      <c r="E27" s="98" t="s">
        <v>211</v>
      </c>
      <c r="N27" s="170">
        <v>9</v>
      </c>
      <c r="O27" s="199">
        <f t="shared" si="41"/>
        <v>12.302687708123818</v>
      </c>
      <c r="P27" s="189" t="str">
        <f t="shared" si="32"/>
        <v>6.8875</v>
      </c>
      <c r="Q27" s="160" t="str">
        <f t="shared" si="33"/>
        <v>1+0.0193250166616256i</v>
      </c>
      <c r="R27" s="160">
        <f t="shared" si="42"/>
        <v>1.0001867107040425</v>
      </c>
      <c r="S27" s="160">
        <f t="shared" si="43"/>
        <v>1.9322611517658832E-2</v>
      </c>
      <c r="T27" s="160" t="str">
        <f t="shared" si="34"/>
        <v>1+0.000030920026658601i</v>
      </c>
      <c r="U27" s="160">
        <f t="shared" si="44"/>
        <v>1.0000000004780241</v>
      </c>
      <c r="V27" s="160">
        <f t="shared" si="45"/>
        <v>3.0920026648747325E-5</v>
      </c>
      <c r="W27" s="98" t="str">
        <f t="shared" si="35"/>
        <v>1-0.0000802978531646494i</v>
      </c>
      <c r="X27" s="160">
        <f t="shared" si="46"/>
        <v>1.0000000032238725</v>
      </c>
      <c r="Y27" s="160">
        <f t="shared" si="47"/>
        <v>-8.029785299206936E-5</v>
      </c>
      <c r="Z27" s="98" t="str">
        <f t="shared" si="36"/>
        <v>0.999999996872807+0.0000920457570872015i</v>
      </c>
      <c r="AA27" s="160">
        <f t="shared" si="48"/>
        <v>1.0000000011090178</v>
      </c>
      <c r="AB27" s="160">
        <f t="shared" si="49"/>
        <v>9.2045757115096207E-5</v>
      </c>
      <c r="AC27" s="171" t="str">
        <f t="shared" si="50"/>
        <v>6.88490991258536-0.134025053704852i</v>
      </c>
      <c r="AD27" s="190">
        <f t="shared" si="51"/>
        <v>16.759610662528793</v>
      </c>
      <c r="AE27" s="169">
        <f t="shared" si="52"/>
        <v>-1.1152070635885103</v>
      </c>
      <c r="AF27" s="98" t="str">
        <f t="shared" si="37"/>
        <v>-0.0000816326530612245</v>
      </c>
      <c r="AG27" s="98" t="str">
        <f t="shared" si="38"/>
        <v>1.71760748088529E-06i</v>
      </c>
      <c r="AH27" s="98">
        <f t="shared" si="53"/>
        <v>1.7176074808852899E-6</v>
      </c>
      <c r="AI27" s="98">
        <f t="shared" si="54"/>
        <v>1.5707963267948966</v>
      </c>
      <c r="AJ27" s="98" t="str">
        <f t="shared" si="39"/>
        <v>1+0.000190265312557629i</v>
      </c>
      <c r="AK27" s="98">
        <f t="shared" si="55"/>
        <v>1.0000000181004445</v>
      </c>
      <c r="AL27" s="98">
        <f t="shared" si="56"/>
        <v>1.9026531026170457E-4</v>
      </c>
      <c r="AM27" s="98" t="str">
        <f t="shared" si="40"/>
        <v>1+0.0192167965683205i</v>
      </c>
      <c r="AN27" s="98">
        <f t="shared" si="57"/>
        <v>1.0001846255918696</v>
      </c>
      <c r="AO27" s="98">
        <f t="shared" si="58"/>
        <v>1.9214431599002071E-2</v>
      </c>
      <c r="AP27" s="168" t="str">
        <f t="shared" si="59"/>
        <v>-0.904273057737829+47.5271268244599i</v>
      </c>
      <c r="AQ27" s="98">
        <f t="shared" si="60"/>
        <v>33.5404030990085</v>
      </c>
      <c r="AR27" s="169">
        <f t="shared" si="61"/>
        <v>91.090004437099878</v>
      </c>
      <c r="AS27" s="168" t="str">
        <f t="shared" si="62"/>
        <v>0.143987186182498+327.341181835553i</v>
      </c>
      <c r="AT27" s="190">
        <f t="shared" si="63"/>
        <v>50.300013761537301</v>
      </c>
      <c r="AU27" s="169">
        <f t="shared" si="64"/>
        <v>89.974797373511379</v>
      </c>
      <c r="AV27" s="225"/>
      <c r="AX27">
        <f t="shared" si="65"/>
        <v>0</v>
      </c>
      <c r="AY27">
        <f t="shared" si="66"/>
        <v>0</v>
      </c>
    </row>
    <row r="28" spans="1:51" x14ac:dyDescent="0.2">
      <c r="A28" s="98" t="s">
        <v>146</v>
      </c>
      <c r="B28" s="207">
        <f>Rsl_int</f>
        <v>1333</v>
      </c>
      <c r="C28" s="206" t="s">
        <v>36</v>
      </c>
      <c r="E28" s="98" t="s">
        <v>212</v>
      </c>
      <c r="N28" s="170">
        <v>10</v>
      </c>
      <c r="O28" s="199">
        <f t="shared" si="41"/>
        <v>12.58925411794168</v>
      </c>
      <c r="P28" s="189" t="str">
        <f t="shared" si="32"/>
        <v>6.8875</v>
      </c>
      <c r="Q28" s="160" t="str">
        <f t="shared" si="33"/>
        <v>1+0.0197751541255503i</v>
      </c>
      <c r="R28" s="160">
        <f t="shared" si="42"/>
        <v>1.0001955092484116</v>
      </c>
      <c r="S28" s="160">
        <f t="shared" si="43"/>
        <v>1.977257699456476E-2</v>
      </c>
      <c r="T28" s="160" t="str">
        <f t="shared" si="34"/>
        <v>1+0.0000316402466008805i</v>
      </c>
      <c r="U28" s="160">
        <f t="shared" si="44"/>
        <v>1.0000000005005525</v>
      </c>
      <c r="V28" s="160">
        <f t="shared" si="45"/>
        <v>3.1640246590322091E-5</v>
      </c>
      <c r="W28" s="98" t="str">
        <f t="shared" si="35"/>
        <v>1-0.0000821682304385747i</v>
      </c>
      <c r="X28" s="160">
        <f t="shared" si="46"/>
        <v>1.000000003375809</v>
      </c>
      <c r="Y28" s="160">
        <f t="shared" si="47"/>
        <v>-8.2168230253651869E-5</v>
      </c>
      <c r="Z28" s="98" t="str">
        <f t="shared" si="36"/>
        <v>0.999999996725427+0.0000941897781965099i</v>
      </c>
      <c r="AA28" s="160">
        <f t="shared" si="48"/>
        <v>1.0000000011612842</v>
      </c>
      <c r="AB28" s="160">
        <f t="shared" si="49"/>
        <v>9.4189778226399598E-5</v>
      </c>
      <c r="AC28" s="171" t="str">
        <f t="shared" si="50"/>
        <v>6.88478789324267-0.137144485294839i</v>
      </c>
      <c r="AD28" s="190">
        <f t="shared" si="51"/>
        <v>16.759534255007274</v>
      </c>
      <c r="AE28" s="169">
        <f t="shared" si="52"/>
        <v>-1.1411769288628861</v>
      </c>
      <c r="AF28" s="98" t="str">
        <f t="shared" si="37"/>
        <v>-0.0000816326530612245</v>
      </c>
      <c r="AG28" s="98" t="str">
        <f t="shared" si="38"/>
        <v>1.75761569867891E-06i</v>
      </c>
      <c r="AH28" s="98">
        <f t="shared" si="53"/>
        <v>1.7576156986789099E-6</v>
      </c>
      <c r="AI28" s="98">
        <f t="shared" si="54"/>
        <v>1.5707963267948966</v>
      </c>
      <c r="AJ28" s="98" t="str">
        <f t="shared" si="39"/>
        <v>1+0.000194697161014329i</v>
      </c>
      <c r="AK28" s="98">
        <f t="shared" si="55"/>
        <v>1.0000000189534921</v>
      </c>
      <c r="AL28" s="98">
        <f t="shared" si="56"/>
        <v>1.9469715855420164E-4</v>
      </c>
      <c r="AM28" s="98" t="str">
        <f t="shared" si="40"/>
        <v>1+0.0196644132624473i</v>
      </c>
      <c r="AN28" s="98">
        <f t="shared" si="57"/>
        <v>1.0001933258870288</v>
      </c>
      <c r="AO28" s="98">
        <f t="shared" si="58"/>
        <v>1.9661879178619893E-2</v>
      </c>
      <c r="AP28" s="168" t="str">
        <f t="shared" si="59"/>
        <v>-0.904273056195061+46.4452852619277i</v>
      </c>
      <c r="AQ28" s="98">
        <f t="shared" si="60"/>
        <v>33.340478647124485</v>
      </c>
      <c r="AR28" s="169">
        <f t="shared" si="61"/>
        <v>91.115387368762711</v>
      </c>
      <c r="AS28" s="168" t="str">
        <f t="shared" si="62"/>
        <v>0.143986552141741+319.88995373238i</v>
      </c>
      <c r="AT28" s="190">
        <f t="shared" si="63"/>
        <v>50.100012902131759</v>
      </c>
      <c r="AU28" s="169">
        <f t="shared" si="64"/>
        <v>89.974210439899835</v>
      </c>
      <c r="AV28" s="225"/>
      <c r="AX28">
        <f t="shared" si="65"/>
        <v>0</v>
      </c>
      <c r="AY28">
        <f t="shared" si="66"/>
        <v>0</v>
      </c>
    </row>
    <row r="29" spans="1:51" x14ac:dyDescent="0.2">
      <c r="A29" s="98" t="s">
        <v>144</v>
      </c>
      <c r="B29" s="207">
        <f>Isl</f>
        <v>2.9999999999999997E-5</v>
      </c>
      <c r="C29" s="206" t="s">
        <v>11</v>
      </c>
      <c r="E29" s="98" t="s">
        <v>213</v>
      </c>
      <c r="N29" s="170">
        <v>11</v>
      </c>
      <c r="O29" s="199">
        <f t="shared" si="41"/>
        <v>12.882495516931346</v>
      </c>
      <c r="P29" s="189" t="str">
        <f t="shared" si="32"/>
        <v>6.8875</v>
      </c>
      <c r="Q29" s="160" t="str">
        <f t="shared" si="33"/>
        <v>1+0.0202357766379475i</v>
      </c>
      <c r="R29" s="160">
        <f t="shared" si="42"/>
        <v>1.0002047223724455</v>
      </c>
      <c r="S29" s="160">
        <f t="shared" si="43"/>
        <v>2.0233015222870038E-2</v>
      </c>
      <c r="T29" s="160" t="str">
        <f t="shared" si="34"/>
        <v>1+0.000032377242620716i</v>
      </c>
      <c r="U29" s="160">
        <f t="shared" si="44"/>
        <v>1.000000000524143</v>
      </c>
      <c r="V29" s="160">
        <f t="shared" si="45"/>
        <v>3.2377242609402462E-5</v>
      </c>
      <c r="W29" s="98" t="str">
        <f t="shared" si="35"/>
        <v>1-0.0000840821743959036i</v>
      </c>
      <c r="X29" s="160">
        <f t="shared" si="46"/>
        <v>1.0000000035349059</v>
      </c>
      <c r="Y29" s="160">
        <f t="shared" si="47"/>
        <v>-8.4082174197755219E-5</v>
      </c>
      <c r="Z29" s="98" t="str">
        <f t="shared" si="36"/>
        <v>0.999999996571101+0.0000963837399729671i</v>
      </c>
      <c r="AA29" s="160">
        <f t="shared" si="48"/>
        <v>1.0000000012160135</v>
      </c>
      <c r="AB29" s="160">
        <f t="shared" si="49"/>
        <v>9.6383740004994512E-5</v>
      </c>
      <c r="AC29" s="171" t="str">
        <f t="shared" si="50"/>
        <v>6.88466012790725-0.140336405301285i</v>
      </c>
      <c r="AD29" s="190">
        <f t="shared" si="51"/>
        <v>16.75945424795103</v>
      </c>
      <c r="AE29" s="169">
        <f t="shared" si="52"/>
        <v>-1.167751234970396</v>
      </c>
      <c r="AF29" s="98" t="str">
        <f t="shared" si="37"/>
        <v>-0.0000816326530612245</v>
      </c>
      <c r="AG29" s="98" t="str">
        <f t="shared" si="38"/>
        <v>1.79855582758077E-06i</v>
      </c>
      <c r="AH29" s="98">
        <f t="shared" si="53"/>
        <v>1.79855582758077E-6</v>
      </c>
      <c r="AI29" s="98">
        <f t="shared" si="54"/>
        <v>1.5707963267948966</v>
      </c>
      <c r="AJ29" s="98" t="str">
        <f t="shared" si="39"/>
        <v>1+0.000199232240482921i</v>
      </c>
      <c r="AK29" s="98">
        <f t="shared" si="55"/>
        <v>1.0000000198467427</v>
      </c>
      <c r="AL29" s="98">
        <f t="shared" si="56"/>
        <v>1.9923223784684701E-4</v>
      </c>
      <c r="AM29" s="98" t="str">
        <f t="shared" si="40"/>
        <v>1+0.020122456288775i</v>
      </c>
      <c r="AN29" s="98">
        <f t="shared" si="57"/>
        <v>1.0002024361333528</v>
      </c>
      <c r="AO29" s="98">
        <f t="shared" si="58"/>
        <v>2.0119740998713501E-2</v>
      </c>
      <c r="AP29" s="168" t="str">
        <f t="shared" si="59"/>
        <v>-0.904273054579576+45.3880696044171i</v>
      </c>
      <c r="AQ29" s="98">
        <f t="shared" si="60"/>
        <v>33.140557754304609</v>
      </c>
      <c r="AR29" s="169">
        <f t="shared" si="61"/>
        <v>91.141361077751029</v>
      </c>
      <c r="AS29" s="168" t="str">
        <f t="shared" si="62"/>
        <v>0.143985888243509+312.6083355181i</v>
      </c>
      <c r="AT29" s="190">
        <f t="shared" si="63"/>
        <v>49.900012002255643</v>
      </c>
      <c r="AU29" s="169">
        <f t="shared" si="64"/>
        <v>89.973609842780647</v>
      </c>
      <c r="AV29" s="225"/>
      <c r="AX29">
        <f t="shared" si="65"/>
        <v>0</v>
      </c>
      <c r="AY29">
        <f t="shared" si="66"/>
        <v>0</v>
      </c>
    </row>
    <row r="30" spans="1:51" x14ac:dyDescent="0.2">
      <c r="C30" s="206"/>
      <c r="N30" s="170">
        <v>12</v>
      </c>
      <c r="O30" s="199">
        <f t="shared" si="41"/>
        <v>13.182567385564075</v>
      </c>
      <c r="P30" s="189" t="str">
        <f t="shared" si="32"/>
        <v>6.8875</v>
      </c>
      <c r="Q30" s="160" t="str">
        <f t="shared" si="33"/>
        <v>1+0.0207071284269702i</v>
      </c>
      <c r="R30" s="160">
        <f t="shared" si="42"/>
        <v>1.0002143696066814</v>
      </c>
      <c r="S30" s="160">
        <f t="shared" si="43"/>
        <v>2.0704169551654363E-2</v>
      </c>
      <c r="T30" s="160" t="str">
        <f t="shared" si="34"/>
        <v>1+0.0000331314054831524i</v>
      </c>
      <c r="U30" s="160">
        <f t="shared" si="44"/>
        <v>1.000000000548845</v>
      </c>
      <c r="V30" s="160">
        <f t="shared" si="45"/>
        <v>3.3131405471029729E-5</v>
      </c>
      <c r="W30" s="98" t="str">
        <f t="shared" si="35"/>
        <v>1-0.0000860406998350564i</v>
      </c>
      <c r="X30" s="160">
        <f t="shared" si="46"/>
        <v>1.0000000037015009</v>
      </c>
      <c r="Y30" s="160">
        <f t="shared" si="47"/>
        <v>-8.6040699622736571E-5</v>
      </c>
      <c r="Z30" s="98" t="str">
        <f t="shared" si="36"/>
        <v>0.999999996409502+0.0000986288056841476i</v>
      </c>
      <c r="AA30" s="160">
        <f t="shared" si="48"/>
        <v>1.0000000012733226</v>
      </c>
      <c r="AB30" s="160">
        <f t="shared" si="49"/>
        <v>9.8628805718465584E-5</v>
      </c>
      <c r="AC30" s="171" t="str">
        <f t="shared" si="50"/>
        <v>6.88452634622247-0.143602489872057i</v>
      </c>
      <c r="AD30" s="190">
        <f t="shared" si="51"/>
        <v>16.759370471858141</v>
      </c>
      <c r="AE30" s="169">
        <f t="shared" si="52"/>
        <v>-1.1949440271910541</v>
      </c>
      <c r="AF30" s="98" t="str">
        <f t="shared" si="37"/>
        <v>-0.0000816326530612245</v>
      </c>
      <c r="AG30" s="98" t="str">
        <f t="shared" si="38"/>
        <v>1.84044957458912E-06i</v>
      </c>
      <c r="AH30" s="98">
        <f t="shared" si="53"/>
        <v>1.8404495745891199E-6</v>
      </c>
      <c r="AI30" s="98">
        <f t="shared" si="54"/>
        <v>1.5707963267948966</v>
      </c>
      <c r="AJ30" s="98" t="str">
        <f t="shared" si="39"/>
        <v>1+0.000203872955522567i</v>
      </c>
      <c r="AK30" s="98">
        <f t="shared" si="55"/>
        <v>1.0000000207820909</v>
      </c>
      <c r="AL30" s="98">
        <f t="shared" si="56"/>
        <v>2.0387295269796288E-4</v>
      </c>
      <c r="AM30" s="98" t="str">
        <f t="shared" si="40"/>
        <v>1+0.0205911685077792i</v>
      </c>
      <c r="AN30" s="98">
        <f t="shared" si="57"/>
        <v>1.0002119756434211</v>
      </c>
      <c r="AO30" s="98">
        <f t="shared" si="58"/>
        <v>2.0588259055360339E-2</v>
      </c>
      <c r="AP30" s="168" t="str">
        <f t="shared" si="59"/>
        <v>-0.904273052887951+44.3549193021927i</v>
      </c>
      <c r="AQ30" s="98">
        <f t="shared" si="60"/>
        <v>32.940640588146557</v>
      </c>
      <c r="AR30" s="169">
        <f t="shared" si="61"/>
        <v>91.16793929164767</v>
      </c>
      <c r="AS30" s="168" t="str">
        <f t="shared" si="62"/>
        <v>0.143985193082909+305.492466382436i</v>
      </c>
      <c r="AT30" s="190">
        <f t="shared" si="63"/>
        <v>49.700011060004698</v>
      </c>
      <c r="AU30" s="169">
        <f t="shared" si="64"/>
        <v>89.972995264456628</v>
      </c>
      <c r="AV30" s="225"/>
      <c r="AX30">
        <f t="shared" si="65"/>
        <v>0</v>
      </c>
      <c r="AY30">
        <f t="shared" si="66"/>
        <v>0</v>
      </c>
    </row>
    <row r="31" spans="1:51" x14ac:dyDescent="0.2">
      <c r="A31" s="98" t="s">
        <v>236</v>
      </c>
      <c r="B31" s="207">
        <f>Gcomp</f>
        <v>0.14499999999999999</v>
      </c>
      <c r="C31" s="206"/>
      <c r="E31" s="98" t="s">
        <v>237</v>
      </c>
      <c r="N31" s="170">
        <v>13</v>
      </c>
      <c r="O31" s="199">
        <f t="shared" si="41"/>
        <v>13.489628825916535</v>
      </c>
      <c r="P31" s="189" t="str">
        <f t="shared" si="32"/>
        <v>6.8875</v>
      </c>
      <c r="Q31" s="160" t="str">
        <f t="shared" si="33"/>
        <v>1+0.0211894594095763i</v>
      </c>
      <c r="R31" s="160">
        <f t="shared" si="42"/>
        <v>1.0002244714013302</v>
      </c>
      <c r="S31" s="160">
        <f t="shared" si="43"/>
        <v>2.1186288955981007E-2</v>
      </c>
      <c r="T31" s="160" t="str">
        <f t="shared" si="34"/>
        <v>1+0.000033903135055322i</v>
      </c>
      <c r="U31" s="160">
        <f t="shared" si="44"/>
        <v>1.0000000005747112</v>
      </c>
      <c r="V31" s="160">
        <f t="shared" si="45"/>
        <v>3.3903135042332321E-5</v>
      </c>
      <c r="W31" s="98" t="str">
        <f t="shared" si="35"/>
        <v>1-0.0000880448451921451i</v>
      </c>
      <c r="X31" s="160">
        <f t="shared" si="46"/>
        <v>1.0000000038759473</v>
      </c>
      <c r="Y31" s="160">
        <f t="shared" si="47"/>
        <v>-8.8044844964640302E-5</v>
      </c>
      <c r="Z31" s="98" t="str">
        <f t="shared" si="36"/>
        <v>0.999999996240287+0.000100926165693608i</v>
      </c>
      <c r="AA31" s="160">
        <f t="shared" si="48"/>
        <v>1.0000000013333326</v>
      </c>
      <c r="AB31" s="160">
        <f t="shared" si="49"/>
        <v>1.0092616573038039E-4</v>
      </c>
      <c r="AC31" s="171" t="str">
        <f t="shared" si="50"/>
        <v>6.88438626513298-0.146944453317487i</v>
      </c>
      <c r="AD31" s="190">
        <f t="shared" si="51"/>
        <v>16.759282749251728</v>
      </c>
      <c r="AE31" s="169">
        <f t="shared" si="52"/>
        <v>-1.2227696755352988</v>
      </c>
      <c r="AF31" s="98" t="str">
        <f t="shared" si="37"/>
        <v>-0.0000816326530612245</v>
      </c>
      <c r="AG31" s="98" t="str">
        <f t="shared" si="38"/>
        <v>1.88331915232314E-06i</v>
      </c>
      <c r="AH31" s="98">
        <f t="shared" si="53"/>
        <v>1.8833191523231399E-6</v>
      </c>
      <c r="AI31" s="98">
        <f t="shared" si="54"/>
        <v>1.5707963267948966</v>
      </c>
      <c r="AJ31" s="98" t="str">
        <f t="shared" si="39"/>
        <v>1+0.000208621766701808i</v>
      </c>
      <c r="AK31" s="98">
        <f t="shared" si="55"/>
        <v>1.0000000217615206</v>
      </c>
      <c r="AL31" s="98">
        <f t="shared" si="56"/>
        <v>2.0862176367519015E-4</v>
      </c>
      <c r="AM31" s="98" t="str">
        <f t="shared" si="40"/>
        <v>1+0.0210707984368826i</v>
      </c>
      <c r="AN31" s="98">
        <f t="shared" si="57"/>
        <v>1.0002219646392334</v>
      </c>
      <c r="AO31" s="98">
        <f t="shared" si="58"/>
        <v>2.1067680939811817E-2</v>
      </c>
      <c r="AP31" s="168" t="str">
        <f t="shared" si="59"/>
        <v>-0.904273051116604+43.3452865652892i</v>
      </c>
      <c r="AQ31" s="98">
        <f t="shared" si="60"/>
        <v>32.740727324133594</v>
      </c>
      <c r="AR31" s="169">
        <f t="shared" si="61"/>
        <v>91.195136055406252</v>
      </c>
      <c r="AS31" s="168" t="str">
        <f t="shared" si="62"/>
        <v>0.143984465189194+298.538573397476i</v>
      </c>
      <c r="AT31" s="190">
        <f t="shared" si="63"/>
        <v>49.500010073385319</v>
      </c>
      <c r="AU31" s="169">
        <f t="shared" si="64"/>
        <v>89.972366379870962</v>
      </c>
      <c r="AV31" s="225"/>
      <c r="AX31">
        <f t="shared" si="65"/>
        <v>0</v>
      </c>
      <c r="AY31">
        <f t="shared" si="66"/>
        <v>0</v>
      </c>
    </row>
    <row r="32" spans="1:51" x14ac:dyDescent="0.2">
      <c r="N32" s="170">
        <v>14</v>
      </c>
      <c r="O32" s="199">
        <f t="shared" si="41"/>
        <v>13.803842646028857</v>
      </c>
      <c r="P32" s="189" t="str">
        <f t="shared" si="32"/>
        <v>6.8875</v>
      </c>
      <c r="Q32" s="160" t="str">
        <f t="shared" si="33"/>
        <v>1+0.0216830253240369i</v>
      </c>
      <c r="R32" s="160">
        <f t="shared" si="42"/>
        <v>1.0002350491695453</v>
      </c>
      <c r="S32" s="160">
        <f t="shared" si="43"/>
        <v>2.1679628164918179E-2</v>
      </c>
      <c r="T32" s="160" t="str">
        <f t="shared" si="34"/>
        <v>1+0.000034692840518459i</v>
      </c>
      <c r="U32" s="160">
        <f t="shared" si="44"/>
        <v>1.0000000006017966</v>
      </c>
      <c r="V32" s="160">
        <f t="shared" si="45"/>
        <v>3.4692840504540308E-5</v>
      </c>
      <c r="W32" s="98" t="str">
        <f t="shared" si="35"/>
        <v>1-0.0000900956730915659i</v>
      </c>
      <c r="X32" s="160">
        <f t="shared" si="46"/>
        <v>1.000000004058615</v>
      </c>
      <c r="Y32" s="160">
        <f t="shared" si="47"/>
        <v>-9.0095672847790136E-5</v>
      </c>
      <c r="Z32" s="98" t="str">
        <f t="shared" si="36"/>
        <v>0.999999996063098+0.000103277038092036i</v>
      </c>
      <c r="AA32" s="160">
        <f t="shared" si="48"/>
        <v>1.0000000013961712</v>
      </c>
      <c r="AB32" s="160">
        <f t="shared" si="49"/>
        <v>1.0327703813143824E-4</v>
      </c>
      <c r="AC32" s="171" t="str">
        <f t="shared" si="50"/>
        <v>6.88423958829032-0.150364048936512i</v>
      </c>
      <c r="AD32" s="190">
        <f t="shared" si="51"/>
        <v>16.759190894305377</v>
      </c>
      <c r="AE32" s="169">
        <f t="shared" si="52"/>
        <v>-1.2512428821346451</v>
      </c>
      <c r="AF32" s="98" t="str">
        <f t="shared" si="37"/>
        <v>-0.0000816326530612245</v>
      </c>
      <c r="AG32" s="98" t="str">
        <f t="shared" si="38"/>
        <v>0.0000019271872908004i</v>
      </c>
      <c r="AH32" s="98">
        <f t="shared" si="53"/>
        <v>1.9271872908004002E-6</v>
      </c>
      <c r="AI32" s="98">
        <f t="shared" si="54"/>
        <v>1.5707963267948966</v>
      </c>
      <c r="AJ32" s="98" t="str">
        <f t="shared" si="39"/>
        <v>1+0.000213481191903191i</v>
      </c>
      <c r="AK32" s="98">
        <f t="shared" si="55"/>
        <v>1.0000000227871093</v>
      </c>
      <c r="AL32" s="98">
        <f t="shared" si="56"/>
        <v>2.1348118866011152E-4</v>
      </c>
      <c r="AM32" s="98" t="str">
        <f t="shared" si="40"/>
        <v>1+0.0215616003822223i</v>
      </c>
      <c r="AN32" s="98">
        <f t="shared" si="57"/>
        <v>1.0002324242949949</v>
      </c>
      <c r="AO32" s="98">
        <f t="shared" si="58"/>
        <v>2.1558259965848463E-2</v>
      </c>
      <c r="AP32" s="168" t="str">
        <f t="shared" si="59"/>
        <v>-0.904273049261788+42.3586360730653i</v>
      </c>
      <c r="AQ32" s="98">
        <f t="shared" si="60"/>
        <v>32.540818146004796</v>
      </c>
      <c r="AR32" s="169">
        <f t="shared" si="61"/>
        <v>91.222965738573308</v>
      </c>
      <c r="AS32" s="168" t="str">
        <f t="shared" si="62"/>
        <v>0.143983703022291+291.74296951721i</v>
      </c>
      <c r="AT32" s="190">
        <f t="shared" si="63"/>
        <v>49.300009040310186</v>
      </c>
      <c r="AU32" s="169">
        <f t="shared" si="64"/>
        <v>89.97172285643866</v>
      </c>
      <c r="AV32" s="225"/>
      <c r="AX32">
        <f t="shared" si="65"/>
        <v>0</v>
      </c>
      <c r="AY32">
        <f t="shared" si="66"/>
        <v>0</v>
      </c>
    </row>
    <row r="33" spans="1:51" x14ac:dyDescent="0.2">
      <c r="N33" s="170">
        <v>15</v>
      </c>
      <c r="O33" s="199">
        <f t="shared" si="41"/>
        <v>14.125375446227544</v>
      </c>
      <c r="P33" s="189" t="str">
        <f t="shared" si="32"/>
        <v>6.8875</v>
      </c>
      <c r="Q33" s="160" t="str">
        <f t="shared" si="33"/>
        <v>1+0.0221880878655331i</v>
      </c>
      <c r="R33" s="160">
        <f t="shared" si="42"/>
        <v>1.0002461253327246</v>
      </c>
      <c r="S33" s="160">
        <f t="shared" si="43"/>
        <v>2.2184447792328754E-2</v>
      </c>
      <c r="T33" s="160" t="str">
        <f t="shared" si="34"/>
        <v>1+0.0000355009405848529i</v>
      </c>
      <c r="U33" s="160">
        <f t="shared" si="44"/>
        <v>1.0000000006301584</v>
      </c>
      <c r="V33" s="160">
        <f t="shared" si="45"/>
        <v>3.5500940569938757E-5</v>
      </c>
      <c r="W33" s="98" t="str">
        <f t="shared" si="35"/>
        <v>1-0.0000921942709094171i</v>
      </c>
      <c r="X33" s="160">
        <f t="shared" si="46"/>
        <v>1.0000000042498918</v>
      </c>
      <c r="Y33" s="160">
        <f t="shared" si="47"/>
        <v>-9.2194270648206651E-5</v>
      </c>
      <c r="Z33" s="98" t="str">
        <f t="shared" si="36"/>
        <v>0.999999995877557+0.000105682669343093i</v>
      </c>
      <c r="AA33" s="160">
        <f t="shared" si="48"/>
        <v>1.0000000014619703</v>
      </c>
      <c r="AB33" s="160">
        <f t="shared" si="49"/>
        <v>1.0568266938531331E-4</v>
      </c>
      <c r="AC33" s="171" t="str">
        <f t="shared" si="50"/>
        <v>6.88408600543097-0.153863069857603i</v>
      </c>
      <c r="AD33" s="190">
        <f t="shared" si="51"/>
        <v>16.759094712451073</v>
      </c>
      <c r="AE33" s="169">
        <f t="shared" si="52"/>
        <v>-1.2803786887922382</v>
      </c>
      <c r="AF33" s="98" t="str">
        <f t="shared" si="37"/>
        <v>-0.0000816326530612245</v>
      </c>
      <c r="AG33" s="98" t="str">
        <f t="shared" si="38"/>
        <v>1.97207724948858E-06i</v>
      </c>
      <c r="AH33" s="98">
        <f t="shared" si="53"/>
        <v>1.9720772494885801E-6</v>
      </c>
      <c r="AI33" s="98">
        <f t="shared" si="54"/>
        <v>1.5707963267948966</v>
      </c>
      <c r="AJ33" s="98" t="str">
        <f t="shared" si="39"/>
        <v>1+0.000218453807658278i</v>
      </c>
      <c r="AK33" s="98">
        <f t="shared" si="55"/>
        <v>1.0000000238610327</v>
      </c>
      <c r="AL33" s="98">
        <f t="shared" si="56"/>
        <v>2.1845380418325576E-4</v>
      </c>
      <c r="AM33" s="98" t="str">
        <f t="shared" si="40"/>
        <v>1+0.0220638345734861i</v>
      </c>
      <c r="AN33" s="98">
        <f t="shared" si="57"/>
        <v>1.0002433767819141</v>
      </c>
      <c r="AO33" s="98">
        <f t="shared" si="58"/>
        <v>2.2060255299889295E-2</v>
      </c>
      <c r="AP33" s="168" t="str">
        <f t="shared" si="59"/>
        <v>-0.904273047319543+41.3944446903701i</v>
      </c>
      <c r="AQ33" s="98">
        <f t="shared" si="60"/>
        <v>32.340913246142861</v>
      </c>
      <c r="AR33" s="169">
        <f t="shared" si="61"/>
        <v>91.25144304266648</v>
      </c>
      <c r="AS33" s="168" t="str">
        <f t="shared" si="62"/>
        <v>0.143982904970215+285.102051622613i</v>
      </c>
      <c r="AT33" s="190">
        <f t="shared" si="63"/>
        <v>49.100007958593928</v>
      </c>
      <c r="AU33" s="169">
        <f t="shared" si="64"/>
        <v>89.971064353874254</v>
      </c>
      <c r="AV33" s="225"/>
      <c r="AX33">
        <f t="shared" si="65"/>
        <v>0</v>
      </c>
      <c r="AY33">
        <f t="shared" si="66"/>
        <v>0</v>
      </c>
    </row>
    <row r="34" spans="1:51" x14ac:dyDescent="0.2">
      <c r="N34" s="170">
        <v>16</v>
      </c>
      <c r="O34" s="199">
        <f t="shared" si="41"/>
        <v>14.454397707459275</v>
      </c>
      <c r="P34" s="189" t="str">
        <f t="shared" si="32"/>
        <v>6.8875</v>
      </c>
      <c r="Q34" s="160" t="str">
        <f t="shared" si="33"/>
        <v>1+0.0227049148249096i</v>
      </c>
      <c r="R34" s="160">
        <f t="shared" si="42"/>
        <v>1.0002577233679359</v>
      </c>
      <c r="S34" s="160">
        <f t="shared" si="43"/>
        <v>2.2701014470473794E-2</v>
      </c>
      <c r="T34" s="160" t="str">
        <f t="shared" si="34"/>
        <v>1+0.0000363278637198554i</v>
      </c>
      <c r="U34" s="160">
        <f t="shared" si="44"/>
        <v>1.0000000006598568</v>
      </c>
      <c r="V34" s="160">
        <f t="shared" si="45"/>
        <v>3.6327863703874608E-5</v>
      </c>
      <c r="W34" s="98" t="str">
        <f t="shared" si="35"/>
        <v>1-0.0000943417513500399i</v>
      </c>
      <c r="X34" s="160">
        <f t="shared" si="46"/>
        <v>1.0000000044501829</v>
      </c>
      <c r="Y34" s="160">
        <f t="shared" si="47"/>
        <v>-9.4341751070147858E-5</v>
      </c>
      <c r="Z34" s="98" t="str">
        <f t="shared" si="36"/>
        <v>0.999999995683272+0.000108144334944311i</v>
      </c>
      <c r="AA34" s="160">
        <f t="shared" si="48"/>
        <v>1.0000000015308705</v>
      </c>
      <c r="AB34" s="160">
        <f t="shared" si="49"/>
        <v>1.081443349895509E-4</v>
      </c>
      <c r="AC34" s="171" t="str">
        <f t="shared" si="50"/>
        <v>6.88392519172547-0.157443349894482i</v>
      </c>
      <c r="AD34" s="190">
        <f t="shared" si="51"/>
        <v>16.758993999968702</v>
      </c>
      <c r="AE34" s="169">
        <f t="shared" si="52"/>
        <v>-1.3101924846959419</v>
      </c>
      <c r="AF34" s="98" t="str">
        <f t="shared" si="37"/>
        <v>-0.0000816326530612245</v>
      </c>
      <c r="AG34" s="98" t="str">
        <f t="shared" si="38"/>
        <v>2.01801282963797E-06i</v>
      </c>
      <c r="AH34" s="98">
        <f t="shared" si="53"/>
        <v>2.0180128296379698E-6</v>
      </c>
      <c r="AI34" s="98">
        <f t="shared" si="54"/>
        <v>1.5707963267948966</v>
      </c>
      <c r="AJ34" s="98" t="str">
        <f t="shared" si="39"/>
        <v>1+0.000223542250513764i</v>
      </c>
      <c r="AK34" s="98">
        <f t="shared" si="55"/>
        <v>1.0000000249855685</v>
      </c>
      <c r="AL34" s="98">
        <f t="shared" si="56"/>
        <v>2.2354224679021058E-4</v>
      </c>
      <c r="AM34" s="98" t="str">
        <f t="shared" si="40"/>
        <v>1+0.0225777673018901i</v>
      </c>
      <c r="AN34" s="98">
        <f t="shared" si="57"/>
        <v>1.0002548453151019</v>
      </c>
      <c r="AO34" s="98">
        <f t="shared" si="58"/>
        <v>2.257393209390517E-2</v>
      </c>
      <c r="AP34" s="168" t="str">
        <f t="shared" si="59"/>
        <v>-0.904273045285772+40.45220119017i</v>
      </c>
      <c r="AQ34" s="98">
        <f t="shared" si="60"/>
        <v>32.141012825979985</v>
      </c>
      <c r="AR34" s="169">
        <f t="shared" si="61"/>
        <v>91.28058300871173</v>
      </c>
      <c r="AS34" s="168" t="str">
        <f t="shared" si="62"/>
        <v>0.143982069344885+278.612298611227i</v>
      </c>
      <c r="AT34" s="190">
        <f t="shared" si="63"/>
        <v>48.900006825948672</v>
      </c>
      <c r="AU34" s="169">
        <f t="shared" si="64"/>
        <v>89.970390524015798</v>
      </c>
      <c r="AV34" s="225"/>
      <c r="AX34">
        <f t="shared" si="65"/>
        <v>0</v>
      </c>
      <c r="AY34">
        <f t="shared" si="66"/>
        <v>0</v>
      </c>
    </row>
    <row r="35" spans="1:51" x14ac:dyDescent="0.2">
      <c r="A35" s="98" t="s">
        <v>235</v>
      </c>
      <c r="B35" s="208">
        <f>IF(Dc_Mode_Loop="CCM",(Gcomp*(VIN_var/VOUT)*(VOUT/IOUT))/(2*R_cs*Acs),K35*K37)</f>
        <v>6.8874999999999993</v>
      </c>
      <c r="C35" s="98" t="s">
        <v>180</v>
      </c>
      <c r="E35" s="98" t="s">
        <v>239</v>
      </c>
      <c r="J35" s="98" t="s">
        <v>546</v>
      </c>
      <c r="K35" s="98">
        <f>Fsw/((1+B45/B46)*B46)</f>
        <v>6.4457279473091047</v>
      </c>
      <c r="N35" s="170">
        <v>17</v>
      </c>
      <c r="O35" s="199">
        <f t="shared" si="41"/>
        <v>14.791083881682074</v>
      </c>
      <c r="P35" s="189" t="str">
        <f t="shared" si="32"/>
        <v>6.8875</v>
      </c>
      <c r="Q35" s="160" t="str">
        <f t="shared" si="33"/>
        <v>1+0.0232337802306614i</v>
      </c>
      <c r="R35" s="160">
        <f t="shared" si="42"/>
        <v>1.000269867857573</v>
      </c>
      <c r="S35" s="160">
        <f t="shared" si="43"/>
        <v>2.3229600986481799E-2</v>
      </c>
      <c r="T35" s="160" t="str">
        <f t="shared" si="34"/>
        <v>1+0.0000371740483690582i</v>
      </c>
      <c r="U35" s="160">
        <f t="shared" si="44"/>
        <v>1.0000000006909548</v>
      </c>
      <c r="V35" s="160">
        <f t="shared" si="45"/>
        <v>3.7174048351934476E-5</v>
      </c>
      <c r="W35" s="98" t="str">
        <f t="shared" si="35"/>
        <v>1-0.0000965392530359892i</v>
      </c>
      <c r="X35" s="160">
        <f t="shared" si="46"/>
        <v>1.0000000046599136</v>
      </c>
      <c r="Y35" s="160">
        <f t="shared" si="47"/>
        <v>-9.6539252736079466E-5</v>
      </c>
      <c r="Z35" s="98" t="str">
        <f t="shared" si="36"/>
        <v>0.999999995479831+0.000110663340103376i</v>
      </c>
      <c r="AA35" s="160">
        <f t="shared" si="48"/>
        <v>1.0000000016030184</v>
      </c>
      <c r="AB35" s="160">
        <f t="shared" si="49"/>
        <v>1.1066334015185141E-4</v>
      </c>
      <c r="AC35" s="171" t="str">
        <f t="shared" si="50"/>
        <v>6.88375680709739-0.161106764416659i</v>
      </c>
      <c r="AD35" s="190">
        <f t="shared" si="51"/>
        <v>16.758888543556466</v>
      </c>
      <c r="AE35" s="169">
        <f t="shared" si="52"/>
        <v>-1.3407000142970114</v>
      </c>
      <c r="AF35" s="98" t="str">
        <f t="shared" si="37"/>
        <v>-0.0000816326530612245</v>
      </c>
      <c r="AG35" s="98" t="str">
        <f t="shared" si="38"/>
        <v>2.06501838690119E-06i</v>
      </c>
      <c r="AH35" s="98">
        <f t="shared" si="53"/>
        <v>2.0650183869011898E-6</v>
      </c>
      <c r="AI35" s="98">
        <f t="shared" si="54"/>
        <v>1.5707963267948966</v>
      </c>
      <c r="AJ35" s="98" t="str">
        <f t="shared" si="39"/>
        <v>1+0.000228749218429403i</v>
      </c>
      <c r="AK35" s="98">
        <f t="shared" si="55"/>
        <v>1.0000000261631021</v>
      </c>
      <c r="AL35" s="98">
        <f t="shared" si="56"/>
        <v>2.2874921443954364E-4</v>
      </c>
      <c r="AM35" s="98" t="str">
        <f t="shared" si="40"/>
        <v>1+0.0231036710613697i</v>
      </c>
      <c r="AN35" s="98">
        <f t="shared" si="57"/>
        <v>1.0002668542026731</v>
      </c>
      <c r="AO35" s="98">
        <f t="shared" si="58"/>
        <v>2.3099561621184293E-2</v>
      </c>
      <c r="AP35" s="168" t="str">
        <f t="shared" si="59"/>
        <v>-0.904273043156147+39.531405982489i</v>
      </c>
      <c r="AQ35" s="98">
        <f t="shared" si="60"/>
        <v>31.941117096422587</v>
      </c>
      <c r="AR35" s="169">
        <f t="shared" si="61"/>
        <v>91.31040102494191</v>
      </c>
      <c r="AS35" s="168" t="str">
        <f t="shared" si="62"/>
        <v>0.143981194379361+272.270269530221i</v>
      </c>
      <c r="AT35" s="190">
        <f t="shared" si="63"/>
        <v>48.700005639979047</v>
      </c>
      <c r="AU35" s="169">
        <f t="shared" si="64"/>
        <v>89.969701010644911</v>
      </c>
      <c r="AV35" s="225"/>
      <c r="AX35">
        <f t="shared" si="65"/>
        <v>0</v>
      </c>
      <c r="AY35">
        <f t="shared" si="66"/>
        <v>0</v>
      </c>
    </row>
    <row r="36" spans="1:51" x14ac:dyDescent="0.2">
      <c r="A36" s="98" t="s">
        <v>252</v>
      </c>
      <c r="B36" s="209">
        <f>IF(Dc_Mode_Loop="CCM",2/(Cout*(VOUT/IOUT)),(2*B20/B17-1)/(Cout*(VOUT/IOUT)*(B20/B17-1)))</f>
        <v>4000</v>
      </c>
      <c r="C36" s="98" t="s">
        <v>251</v>
      </c>
      <c r="E36" s="98" t="s">
        <v>242</v>
      </c>
      <c r="J36" s="98" t="s">
        <v>547</v>
      </c>
      <c r="K36" s="98">
        <f>(1+SQRT(1+2*(Dc_DCM_VIN_nom^2)/K38))/2</f>
        <v>1.3157894736842106</v>
      </c>
      <c r="N36" s="170">
        <v>18</v>
      </c>
      <c r="O36" s="199">
        <f t="shared" si="41"/>
        <v>15.135612484362087</v>
      </c>
      <c r="P36" s="189" t="str">
        <f t="shared" si="32"/>
        <v>6.8875</v>
      </c>
      <c r="Q36" s="160" t="str">
        <f t="shared" si="33"/>
        <v>1+0.023774964494227i</v>
      </c>
      <c r="R36" s="160">
        <f t="shared" si="42"/>
        <v>1.0002825845413394</v>
      </c>
      <c r="S36" s="160">
        <f t="shared" si="43"/>
        <v>2.3770486421730852E-2</v>
      </c>
      <c r="T36" s="160" t="str">
        <f t="shared" si="34"/>
        <v>1+0.0000380399431907631i</v>
      </c>
      <c r="U36" s="160">
        <f t="shared" si="44"/>
        <v>1.0000000007235186</v>
      </c>
      <c r="V36" s="160">
        <f t="shared" si="45"/>
        <v>3.8039943172414694E-5</v>
      </c>
      <c r="W36" s="98" t="str">
        <f t="shared" si="35"/>
        <v>1-0.0000987879411117463i</v>
      </c>
      <c r="X36" s="160">
        <f t="shared" si="46"/>
        <v>1.0000000048795286</v>
      </c>
      <c r="Y36" s="160">
        <f t="shared" si="47"/>
        <v>-9.8787940790387246E-5</v>
      </c>
      <c r="Z36" s="98" t="str">
        <f t="shared" si="36"/>
        <v>0.999999995266802+0.000113241020430166i</v>
      </c>
      <c r="AA36" s="160">
        <f t="shared" si="48"/>
        <v>1.0000000016785664</v>
      </c>
      <c r="AB36" s="160">
        <f t="shared" si="49"/>
        <v>1.1324102048210834E-4</v>
      </c>
      <c r="AC36" s="171" t="str">
        <f t="shared" si="50"/>
        <v>6.88358049551075-0.164855231234743i</v>
      </c>
      <c r="AD36" s="190">
        <f t="shared" si="51"/>
        <v>16.758778119881232</v>
      </c>
      <c r="AE36" s="169">
        <f t="shared" si="52"/>
        <v>-1.3719173853569708</v>
      </c>
      <c r="AF36" s="98" t="str">
        <f t="shared" si="37"/>
        <v>-0.0000816326530612245</v>
      </c>
      <c r="AG36" s="98" t="str">
        <f t="shared" si="38"/>
        <v>2.11311884424689E-06i</v>
      </c>
      <c r="AH36" s="98">
        <f t="shared" si="53"/>
        <v>2.1131188442468901E-6</v>
      </c>
      <c r="AI36" s="98">
        <f t="shared" si="54"/>
        <v>1.5707963267948966</v>
      </c>
      <c r="AJ36" s="98" t="str">
        <f t="shared" si="39"/>
        <v>1+0.000234077472208508i</v>
      </c>
      <c r="AK36" s="98">
        <f t="shared" si="55"/>
        <v>1.0000000273961311</v>
      </c>
      <c r="AL36" s="98">
        <f t="shared" si="56"/>
        <v>2.3407746793329665E-4</v>
      </c>
      <c r="AM36" s="98" t="str">
        <f t="shared" si="40"/>
        <v>1+0.0236418246930593i</v>
      </c>
      <c r="AN36" s="98">
        <f t="shared" si="57"/>
        <v>1.0002794288971544</v>
      </c>
      <c r="AO36" s="98">
        <f t="shared" si="58"/>
        <v>2.3637421414999346E-2</v>
      </c>
      <c r="AP36" s="168" t="str">
        <f t="shared" si="59"/>
        <v>-0.904273040926155+38.63157084952i</v>
      </c>
      <c r="AQ36" s="98">
        <f t="shared" si="60"/>
        <v>31.741226278296118</v>
      </c>
      <c r="AR36" s="169">
        <f t="shared" si="61"/>
        <v>91.340912834659918</v>
      </c>
      <c r="AS36" s="168" t="str">
        <f t="shared" si="62"/>
        <v>0.143980278223502+266.072601751959i</v>
      </c>
      <c r="AT36" s="190">
        <f t="shared" si="63"/>
        <v>48.500004398177353</v>
      </c>
      <c r="AU36" s="169">
        <f t="shared" si="64"/>
        <v>89.968995449302952</v>
      </c>
      <c r="AV36" s="225"/>
      <c r="AX36">
        <f t="shared" si="65"/>
        <v>0</v>
      </c>
      <c r="AY36">
        <f t="shared" si="66"/>
        <v>0</v>
      </c>
    </row>
    <row r="37" spans="1:51" x14ac:dyDescent="0.2">
      <c r="B37" s="210">
        <f>wp_lf/(2*PI())</f>
        <v>636.61977236758139</v>
      </c>
      <c r="C37" s="98" t="s">
        <v>69</v>
      </c>
      <c r="J37" s="98" t="s">
        <v>548</v>
      </c>
      <c r="K37" s="98">
        <f>2*VOUT/Dc_DCM_VIN_nom*(K36-1)/(2*K36-1)</f>
        <v>4.1321927054198708</v>
      </c>
      <c r="N37" s="170">
        <v>19</v>
      </c>
      <c r="O37" s="199">
        <f t="shared" si="41"/>
        <v>15.488166189124817</v>
      </c>
      <c r="P37" s="189" t="str">
        <f t="shared" si="32"/>
        <v>6.8875</v>
      </c>
      <c r="Q37" s="160" t="str">
        <f t="shared" si="33"/>
        <v>1+0.0243287545586662i</v>
      </c>
      <c r="R37" s="160">
        <f t="shared" si="42"/>
        <v>1.0002959003706733</v>
      </c>
      <c r="S37" s="160">
        <f t="shared" si="43"/>
        <v>2.4323956294193812E-2</v>
      </c>
      <c r="T37" s="160" t="str">
        <f t="shared" si="34"/>
        <v>1+0.0000389260072938659i</v>
      </c>
      <c r="U37" s="160">
        <f t="shared" si="44"/>
        <v>1.0000000007576169</v>
      </c>
      <c r="V37" s="160">
        <f t="shared" si="45"/>
        <v>3.8926007274205231E-5</v>
      </c>
      <c r="W37" s="98" t="str">
        <f t="shared" si="35"/>
        <v>1-0.000101089007861494i</v>
      </c>
      <c r="X37" s="160">
        <f t="shared" si="46"/>
        <v>1.0000000051094937</v>
      </c>
      <c r="Y37" s="160">
        <f t="shared" si="47"/>
        <v>-1.0108900751715157E-4</v>
      </c>
      <c r="Z37" s="98" t="str">
        <f t="shared" si="36"/>
        <v>0.999999995043734+0.000115878742644911i</v>
      </c>
      <c r="AA37" s="160">
        <f t="shared" si="48"/>
        <v>1.0000000017576753</v>
      </c>
      <c r="AB37" s="160">
        <f t="shared" si="49"/>
        <v>1.1587874270056812E-4</v>
      </c>
      <c r="AC37" s="171" t="str">
        <f t="shared" si="50"/>
        <v>6.88339588422435-0.168690711500511i</v>
      </c>
      <c r="AD37" s="190">
        <f t="shared" si="51"/>
        <v>16.758662495107746</v>
      </c>
      <c r="AE37" s="169">
        <f t="shared" si="52"/>
        <v>-1.403861077165792</v>
      </c>
      <c r="AF37" s="98" t="str">
        <f t="shared" si="37"/>
        <v>-0.0000816326530612245</v>
      </c>
      <c r="AG37" s="98" t="str">
        <f t="shared" si="38"/>
        <v>2.16233970517425E-06i</v>
      </c>
      <c r="AH37" s="98">
        <f t="shared" si="53"/>
        <v>2.1623397051742499E-6</v>
      </c>
      <c r="AI37" s="98">
        <f t="shared" si="54"/>
        <v>1.5707963267948966</v>
      </c>
      <c r="AJ37" s="98" t="str">
        <f t="shared" si="39"/>
        <v>1+0.000239529836961759i</v>
      </c>
      <c r="AK37" s="98">
        <f t="shared" si="55"/>
        <v>1.000000028687271</v>
      </c>
      <c r="AL37" s="98">
        <f t="shared" si="56"/>
        <v>2.3952983238078752E-4</v>
      </c>
      <c r="AM37" s="98" t="str">
        <f t="shared" si="40"/>
        <v>1+0.0241925135331377i</v>
      </c>
      <c r="AN37" s="98">
        <f t="shared" si="57"/>
        <v>1.0002925960493014</v>
      </c>
      <c r="AO37" s="98">
        <f t="shared" si="58"/>
        <v>2.4187795410225799E-2</v>
      </c>
      <c r="AP37" s="168" t="str">
        <f t="shared" si="59"/>
        <v>-0.90427303859107+37.7522186867646i</v>
      </c>
      <c r="AQ37" s="98">
        <f t="shared" si="60"/>
        <v>31.541340602810379</v>
      </c>
      <c r="AR37" s="169">
        <f t="shared" si="61"/>
        <v>91.372134544268945</v>
      </c>
      <c r="AS37" s="168" t="str">
        <f t="shared" si="62"/>
        <v>0.143979318940389+260.016009191084i</v>
      </c>
      <c r="AT37" s="190">
        <f t="shared" si="63"/>
        <v>48.300003097918136</v>
      </c>
      <c r="AU37" s="169">
        <f t="shared" si="64"/>
        <v>89.968273467103145</v>
      </c>
      <c r="AV37" s="225"/>
      <c r="AX37">
        <f t="shared" si="65"/>
        <v>0</v>
      </c>
      <c r="AY37">
        <f t="shared" si="66"/>
        <v>0</v>
      </c>
    </row>
    <row r="38" spans="1:51" x14ac:dyDescent="0.2">
      <c r="B38" s="211"/>
      <c r="C38" s="98" t="s">
        <v>275</v>
      </c>
      <c r="E38" s="98" t="s">
        <v>274</v>
      </c>
      <c r="J38" s="98" t="s">
        <v>549</v>
      </c>
      <c r="K38" s="98">
        <f>(Lm*Fsw/(VOUT/IOUT))</f>
        <v>0.26400000000000001</v>
      </c>
      <c r="N38" s="170">
        <v>20</v>
      </c>
      <c r="O38" s="199">
        <f t="shared" si="41"/>
        <v>15.848931924611136</v>
      </c>
      <c r="P38" s="189" t="str">
        <f t="shared" si="32"/>
        <v>6.8875</v>
      </c>
      <c r="Q38" s="160" t="str">
        <f t="shared" si="33"/>
        <v>1+0.0248954440508015i</v>
      </c>
      <c r="R38" s="160">
        <f t="shared" si="42"/>
        <v>1.0003098435657256</v>
      </c>
      <c r="S38" s="160">
        <f t="shared" si="43"/>
        <v>2.4890302703795469E-2</v>
      </c>
      <c r="T38" s="160" t="str">
        <f t="shared" si="34"/>
        <v>1+0.0000398327104812825i</v>
      </c>
      <c r="U38" s="160">
        <f t="shared" si="44"/>
        <v>1.0000000007933223</v>
      </c>
      <c r="V38" s="160">
        <f t="shared" si="45"/>
        <v>3.9832710460215711E-5</v>
      </c>
      <c r="W38" s="98" t="str">
        <f t="shared" si="35"/>
        <v>1-0.000103443673341281i</v>
      </c>
      <c r="X38" s="160">
        <f t="shared" si="46"/>
        <v>1.0000000053502967</v>
      </c>
      <c r="Y38" s="160">
        <f t="shared" si="47"/>
        <v>-1.0344367297231143E-4</v>
      </c>
      <c r="Z38" s="98" t="str">
        <f t="shared" si="36"/>
        <v>0.999999994810152+0.000118577905302842i</v>
      </c>
      <c r="AA38" s="160">
        <f t="shared" si="48"/>
        <v>1.0000000018405117</v>
      </c>
      <c r="AB38" s="160">
        <f t="shared" si="49"/>
        <v>1.1857790536247974E-4</v>
      </c>
      <c r="AC38" s="171" t="str">
        <f t="shared" si="50"/>
        <v>6.88320258301165-0.172615210621643i</v>
      </c>
      <c r="AD38" s="190">
        <f t="shared" si="51"/>
        <v>16.758541424405962</v>
      </c>
      <c r="AE38" s="169">
        <f t="shared" si="52"/>
        <v>-1.4365479489340232</v>
      </c>
      <c r="AF38" s="98" t="str">
        <f t="shared" si="37"/>
        <v>-0.0000816326530612245</v>
      </c>
      <c r="AG38" s="98" t="str">
        <f t="shared" si="38"/>
        <v>2.21270706723524E-06i</v>
      </c>
      <c r="AH38" s="98">
        <f t="shared" si="53"/>
        <v>2.21270706723524E-6</v>
      </c>
      <c r="AI38" s="98">
        <f t="shared" si="54"/>
        <v>1.5707963267948966</v>
      </c>
      <c r="AJ38" s="98" t="str">
        <f t="shared" si="39"/>
        <v>1+0.000245109203605119i</v>
      </c>
      <c r="AK38" s="98">
        <f t="shared" si="55"/>
        <v>1.0000000300392604</v>
      </c>
      <c r="AL38" s="98">
        <f t="shared" si="56"/>
        <v>2.4510919869651966E-4</v>
      </c>
      <c r="AM38" s="98" t="str">
        <f t="shared" si="40"/>
        <v>1+0.0247560295641171i</v>
      </c>
      <c r="AN38" s="98">
        <f t="shared" si="57"/>
        <v>1.0003063835644455</v>
      </c>
      <c r="AO38" s="98">
        <f t="shared" si="58"/>
        <v>2.4750974087959694E-2</v>
      </c>
      <c r="AP38" s="168" t="str">
        <f t="shared" si="59"/>
        <v>-0.904273036145935+36.8928832500665i</v>
      </c>
      <c r="AQ38" s="98">
        <f t="shared" si="60"/>
        <v>31.341460312046856</v>
      </c>
      <c r="AR38" s="169">
        <f t="shared" si="61"/>
        <v>91.404082631472605</v>
      </c>
      <c r="AS38" s="168" t="str">
        <f t="shared" si="62"/>
        <v>0.143978314502426+254.097280562199i</v>
      </c>
      <c r="AT38" s="190">
        <f t="shared" si="63"/>
        <v>48.100001736452818</v>
      </c>
      <c r="AU38" s="169">
        <f t="shared" si="64"/>
        <v>89.967534682538584</v>
      </c>
      <c r="AV38" s="225"/>
      <c r="AX38">
        <f t="shared" si="65"/>
        <v>0</v>
      </c>
      <c r="AY38">
        <f t="shared" si="66"/>
        <v>0</v>
      </c>
    </row>
    <row r="39" spans="1:51" x14ac:dyDescent="0.2">
      <c r="A39" s="98" t="s">
        <v>253</v>
      </c>
      <c r="B39" s="209">
        <f>((VOUT/IOUT)*((VIN_var/VOUT)^2))/(Lm)</f>
        <v>962666.66666666663</v>
      </c>
      <c r="C39" s="98" t="s">
        <v>251</v>
      </c>
      <c r="E39" s="98" t="s">
        <v>243</v>
      </c>
      <c r="N39" s="170">
        <v>21</v>
      </c>
      <c r="O39" s="199">
        <f t="shared" si="41"/>
        <v>16.218100973589298</v>
      </c>
      <c r="P39" s="189" t="str">
        <f t="shared" si="32"/>
        <v>6.8875</v>
      </c>
      <c r="Q39" s="160" t="str">
        <f t="shared" si="33"/>
        <v>1+0.0254753334369028i</v>
      </c>
      <c r="R39" s="160">
        <f t="shared" si="42"/>
        <v>1.0003244436750116</v>
      </c>
      <c r="S39" s="160">
        <f t="shared" si="43"/>
        <v>2.5469824480829281E-2</v>
      </c>
      <c r="T39" s="160" t="str">
        <f t="shared" si="34"/>
        <v>1+0.0000407605334990444i</v>
      </c>
      <c r="U39" s="160">
        <f t="shared" si="44"/>
        <v>1.0000000008307104</v>
      </c>
      <c r="V39" s="160">
        <f t="shared" si="45"/>
        <v>4.0760533476470935E-5</v>
      </c>
      <c r="W39" s="98" t="str">
        <f t="shared" si="35"/>
        <v>1-0.000105853186025912i</v>
      </c>
      <c r="X39" s="160">
        <f t="shared" si="46"/>
        <v>1.0000000056024485</v>
      </c>
      <c r="Y39" s="160">
        <f t="shared" si="47"/>
        <v>-1.05853185630554E-4</v>
      </c>
      <c r="Z39" s="98" t="str">
        <f t="shared" si="36"/>
        <v>0.999999994565562+0.000121339939535729i</v>
      </c>
      <c r="AA39" s="160">
        <f t="shared" si="48"/>
        <v>1.0000000019272526</v>
      </c>
      <c r="AB39" s="160">
        <f t="shared" si="49"/>
        <v>1.2133993959963198E-4</v>
      </c>
      <c r="AC39" s="171" t="str">
        <f t="shared" si="50"/>
        <v>6.88300018334452-0.176630779191016i</v>
      </c>
      <c r="AD39" s="190">
        <f t="shared" si="51"/>
        <v>16.758414651435299</v>
      </c>
      <c r="AE39" s="169">
        <f t="shared" si="52"/>
        <v>-1.4699952483616745</v>
      </c>
      <c r="AF39" s="98" t="str">
        <f t="shared" si="37"/>
        <v>-0.0000816326530612245</v>
      </c>
      <c r="AG39" s="98" t="str">
        <f t="shared" si="38"/>
        <v>2.26424763587192E-06i</v>
      </c>
      <c r="AH39" s="98">
        <f t="shared" si="53"/>
        <v>2.26424763587192E-6</v>
      </c>
      <c r="AI39" s="98">
        <f t="shared" si="54"/>
        <v>1.5707963267948966</v>
      </c>
      <c r="AJ39" s="98" t="str">
        <f t="shared" si="39"/>
        <v>1+0.000250818530392635i</v>
      </c>
      <c r="AK39" s="98">
        <f t="shared" si="55"/>
        <v>1.0000000314549671</v>
      </c>
      <c r="AL39" s="98">
        <f t="shared" si="56"/>
        <v>2.5081852513297604E-4</v>
      </c>
      <c r="AM39" s="98" t="str">
        <f t="shared" si="40"/>
        <v>1+0.0253326715696561i</v>
      </c>
      <c r="AN39" s="98">
        <f t="shared" si="57"/>
        <v>1.0003208206614795</v>
      </c>
      <c r="AO39" s="98">
        <f t="shared" si="58"/>
        <v>2.5327254623183727E-2</v>
      </c>
      <c r="AP39" s="168" t="str">
        <f t="shared" si="59"/>
        <v>-0.904273033585567+36.0531089084026i</v>
      </c>
      <c r="AQ39" s="98">
        <f t="shared" si="60"/>
        <v>31.141585659468642</v>
      </c>
      <c r="AR39" s="169">
        <f t="shared" si="61"/>
        <v>91.436773953647815</v>
      </c>
      <c r="AS39" s="168" t="str">
        <f t="shared" si="62"/>
        <v>0.143977262786748+248.313277677199i</v>
      </c>
      <c r="AT39" s="190">
        <f t="shared" si="63"/>
        <v>47.900000310903948</v>
      </c>
      <c r="AU39" s="169">
        <f t="shared" si="64"/>
        <v>89.966778705286146</v>
      </c>
      <c r="AV39" s="225"/>
      <c r="AX39">
        <f t="shared" si="65"/>
        <v>0</v>
      </c>
      <c r="AY39">
        <f t="shared" si="66"/>
        <v>0</v>
      </c>
    </row>
    <row r="40" spans="1:51" x14ac:dyDescent="0.2">
      <c r="B40" s="211">
        <f>wz_rhp/(2*PI())</f>
        <v>153213.1585497979</v>
      </c>
      <c r="C40" s="98" t="s">
        <v>69</v>
      </c>
      <c r="N40" s="170">
        <v>22</v>
      </c>
      <c r="O40" s="199">
        <f t="shared" si="41"/>
        <v>16.595869074375614</v>
      </c>
      <c r="P40" s="189" t="str">
        <f t="shared" si="32"/>
        <v>6.8875</v>
      </c>
      <c r="Q40" s="160" t="str">
        <f t="shared" si="33"/>
        <v>1+0.0260687301819983i</v>
      </c>
      <c r="R40" s="160">
        <f t="shared" si="42"/>
        <v>1.0003397316378579</v>
      </c>
      <c r="S40" s="160">
        <f t="shared" si="43"/>
        <v>2.6062827337482143E-2</v>
      </c>
      <c r="T40" s="160" t="str">
        <f t="shared" si="34"/>
        <v>1+0.0000417099682911972i</v>
      </c>
      <c r="U40" s="160">
        <f t="shared" si="44"/>
        <v>1.0000000008698606</v>
      </c>
      <c r="V40" s="160">
        <f t="shared" si="45"/>
        <v>4.1709968267009293E-5</v>
      </c>
      <c r="W40" s="98" t="str">
        <f t="shared" si="35"/>
        <v>1-0.000108318823470907i</v>
      </c>
      <c r="X40" s="160">
        <f t="shared" si="46"/>
        <v>1.0000000058664837</v>
      </c>
      <c r="Y40" s="160">
        <f t="shared" si="47"/>
        <v>-1.0831882304727325E-4</v>
      </c>
      <c r="Z40" s="98" t="str">
        <f t="shared" si="36"/>
        <v>0.999999994309445+0.000124166309810683i</v>
      </c>
      <c r="AA40" s="160">
        <f t="shared" si="48"/>
        <v>1.000000002018081</v>
      </c>
      <c r="AB40" s="160">
        <f t="shared" si="49"/>
        <v>1.2416630987915629E-4</v>
      </c>
      <c r="AC40" s="171" t="str">
        <f t="shared" si="50"/>
        <v>6.88278825753931-0.180739513930439i</v>
      </c>
      <c r="AD40" s="190">
        <f t="shared" si="51"/>
        <v>16.75828190780485</v>
      </c>
      <c r="AE40" s="169">
        <f t="shared" si="52"/>
        <v>-1.5042206203868047</v>
      </c>
      <c r="AF40" s="98" t="str">
        <f t="shared" si="37"/>
        <v>-0.0000816326530612245</v>
      </c>
      <c r="AG40" s="98" t="str">
        <f t="shared" si="38"/>
        <v>0.000002316988738576i</v>
      </c>
      <c r="AH40" s="98">
        <f t="shared" si="53"/>
        <v>2.3169887385759998E-6</v>
      </c>
      <c r="AI40" s="98">
        <f t="shared" si="54"/>
        <v>1.5707963267948966</v>
      </c>
      <c r="AJ40" s="98" t="str">
        <f t="shared" si="39"/>
        <v>1+0.000256660844484941i</v>
      </c>
      <c r="AK40" s="98">
        <f t="shared" si="55"/>
        <v>1.0000000329373941</v>
      </c>
      <c r="AL40" s="98">
        <f t="shared" si="56"/>
        <v>2.5666083884911487E-4</v>
      </c>
      <c r="AM40" s="98" t="str">
        <f t="shared" si="40"/>
        <v>1+0.0259227452929791i</v>
      </c>
      <c r="AN40" s="98">
        <f t="shared" si="57"/>
        <v>1.0003359379346144</v>
      </c>
      <c r="AO40" s="98">
        <f t="shared" si="58"/>
        <v>2.5916941035530206E-2</v>
      </c>
      <c r="AP40" s="168" t="str">
        <f t="shared" si="59"/>
        <v>-0.904273030904531+35.2324504023012i</v>
      </c>
      <c r="AQ40" s="98">
        <f t="shared" si="60"/>
        <v>30.941716910454193</v>
      </c>
      <c r="AR40" s="169">
        <f t="shared" si="61"/>
        <v>91.470225756392949</v>
      </c>
      <c r="AS40" s="168" t="str">
        <f t="shared" si="62"/>
        <v>0.143976161571031+242.660933781361i</v>
      </c>
      <c r="AT40" s="190">
        <f t="shared" si="63"/>
        <v>47.69999881825904</v>
      </c>
      <c r="AU40" s="169">
        <f t="shared" si="64"/>
        <v>89.966005136006146</v>
      </c>
      <c r="AV40" s="225"/>
      <c r="AX40">
        <f t="shared" si="65"/>
        <v>0</v>
      </c>
      <c r="AY40">
        <f t="shared" si="66"/>
        <v>0</v>
      </c>
    </row>
    <row r="41" spans="1:51" x14ac:dyDescent="0.2">
      <c r="B41" s="211"/>
      <c r="N41" s="170">
        <v>23</v>
      </c>
      <c r="O41" s="199">
        <f t="shared" si="41"/>
        <v>16.982436524617448</v>
      </c>
      <c r="P41" s="189" t="str">
        <f t="shared" si="32"/>
        <v>6.8875</v>
      </c>
      <c r="Q41" s="160" t="str">
        <f t="shared" si="33"/>
        <v>1+0.0266759489128965i</v>
      </c>
      <c r="R41" s="160">
        <f t="shared" si="42"/>
        <v>1.0003557398497813</v>
      </c>
      <c r="S41" s="160">
        <f t="shared" si="43"/>
        <v>2.6669624022515253E-2</v>
      </c>
      <c r="T41" s="160" t="str">
        <f t="shared" si="34"/>
        <v>1+0.0000426815182606344i</v>
      </c>
      <c r="U41" s="160">
        <f t="shared" si="44"/>
        <v>1.0000000009108558</v>
      </c>
      <c r="V41" s="160">
        <f t="shared" si="45"/>
        <v>4.2681518234716588E-5</v>
      </c>
      <c r="W41" s="98" t="str">
        <f t="shared" si="35"/>
        <v>1-0.000110841892989875i</v>
      </c>
      <c r="X41" s="160">
        <f t="shared" si="46"/>
        <v>1.0000000061429626</v>
      </c>
      <c r="Y41" s="160">
        <f t="shared" si="47"/>
        <v>-1.1084189253594327E-4</v>
      </c>
      <c r="Z41" s="98" t="str">
        <f t="shared" si="36"/>
        <v>0.999999994041257+0.000127058514706632i</v>
      </c>
      <c r="AA41" s="160">
        <f t="shared" si="48"/>
        <v>1.0000000021131901</v>
      </c>
      <c r="AB41" s="160">
        <f t="shared" si="49"/>
        <v>1.2705851478000252E-4</v>
      </c>
      <c r="AC41" s="171" t="str">
        <f t="shared" si="50"/>
        <v>6.88256635786356-0.184943558648638i</v>
      </c>
      <c r="AD41" s="190">
        <f t="shared" si="51"/>
        <v>16.758142912508532</v>
      </c>
      <c r="AE41" s="169">
        <f t="shared" si="52"/>
        <v>-1.5392421161164243</v>
      </c>
      <c r="AF41" s="98" t="str">
        <f t="shared" si="37"/>
        <v>-0.0000816326530612245</v>
      </c>
      <c r="AG41" s="98" t="str">
        <f t="shared" si="38"/>
        <v>2.37095833937825E-06i</v>
      </c>
      <c r="AH41" s="98">
        <f t="shared" si="53"/>
        <v>2.3709583393782502E-6</v>
      </c>
      <c r="AI41" s="98">
        <f t="shared" si="54"/>
        <v>1.5707963267948966</v>
      </c>
      <c r="AJ41" s="98" t="str">
        <f t="shared" si="39"/>
        <v>1+0.0002626392435543i</v>
      </c>
      <c r="AK41" s="98">
        <f t="shared" si="55"/>
        <v>1.0000000344896856</v>
      </c>
      <c r="AL41" s="98">
        <f t="shared" si="56"/>
        <v>2.6263923751540351E-4</v>
      </c>
      <c r="AM41" s="98" t="str">
        <f t="shared" si="40"/>
        <v>1+0.0265265635989843i</v>
      </c>
      <c r="AN41" s="98">
        <f t="shared" si="57"/>
        <v>1.0003517674180273</v>
      </c>
      <c r="AO41" s="98">
        <f t="shared" si="58"/>
        <v>2.6520344343186803E-2</v>
      </c>
      <c r="AP41" s="168" t="str">
        <f t="shared" si="59"/>
        <v>-0.904273028097135+34.4304726077596i</v>
      </c>
      <c r="AQ41" s="98">
        <f t="shared" si="60"/>
        <v>30.741854342855966</v>
      </c>
      <c r="AR41" s="169">
        <f t="shared" si="61"/>
        <v>91.50445568225409</v>
      </c>
      <c r="AS41" s="168" t="str">
        <f t="shared" si="62"/>
        <v>0.143975008528761+237.137251927315i</v>
      </c>
      <c r="AT41" s="190">
        <f t="shared" si="63"/>
        <v>47.499997255364491</v>
      </c>
      <c r="AU41" s="169">
        <f t="shared" si="64"/>
        <v>89.965213566137663</v>
      </c>
      <c r="AV41" s="225"/>
      <c r="AX41">
        <f t="shared" si="65"/>
        <v>0</v>
      </c>
      <c r="AY41">
        <f t="shared" si="66"/>
        <v>0</v>
      </c>
    </row>
    <row r="42" spans="1:51" x14ac:dyDescent="0.2">
      <c r="A42" s="98" t="s">
        <v>254</v>
      </c>
      <c r="B42" s="209">
        <f>1/(Cout*Resr)</f>
        <v>2500000</v>
      </c>
      <c r="C42" s="98" t="s">
        <v>251</v>
      </c>
      <c r="E42" s="98" t="s">
        <v>244</v>
      </c>
      <c r="N42" s="170">
        <v>24</v>
      </c>
      <c r="O42" s="199">
        <f t="shared" si="41"/>
        <v>17.378008287493756</v>
      </c>
      <c r="P42" s="189" t="str">
        <f t="shared" si="32"/>
        <v>6.8875</v>
      </c>
      <c r="Q42" s="160" t="str">
        <f t="shared" si="33"/>
        <v>1+0.0272973115850065i</v>
      </c>
      <c r="R42" s="160">
        <f t="shared" si="42"/>
        <v>1.0003725022309284</v>
      </c>
      <c r="S42" s="160">
        <f t="shared" si="43"/>
        <v>2.7290534479148761E-2</v>
      </c>
      <c r="T42" s="160" t="str">
        <f t="shared" si="34"/>
        <v>1+0.0000436756985360104i</v>
      </c>
      <c r="U42" s="160">
        <f t="shared" si="44"/>
        <v>1.0000000009537833</v>
      </c>
      <c r="V42" s="160">
        <f t="shared" si="45"/>
        <v>4.3675698508238966E-5</v>
      </c>
      <c r="W42" s="98" t="str">
        <f t="shared" si="35"/>
        <v>1-0.000113423732347672i</v>
      </c>
      <c r="X42" s="160">
        <f t="shared" si="46"/>
        <v>1.0000000064324714</v>
      </c>
      <c r="Y42" s="160">
        <f t="shared" si="47"/>
        <v>-1.1342373186127537E-4</v>
      </c>
      <c r="Z42" s="98" t="str">
        <f t="shared" si="36"/>
        <v>0.99999999376043+0.000130018087708898i</v>
      </c>
      <c r="AA42" s="160">
        <f t="shared" si="48"/>
        <v>1.0000000022127817</v>
      </c>
      <c r="AB42" s="160">
        <f t="shared" si="49"/>
        <v>1.3001808778751589E-4</v>
      </c>
      <c r="AC42" s="171" t="str">
        <f t="shared" si="50"/>
        <v>6.88233401560134-0.189245105213281i</v>
      </c>
      <c r="AD42" s="190">
        <f t="shared" si="51"/>
        <v>16.757997371333623</v>
      </c>
      <c r="AE42" s="169">
        <f t="shared" si="52"/>
        <v>-1.5750782019425287</v>
      </c>
      <c r="AF42" s="98" t="str">
        <f t="shared" si="37"/>
        <v>-0.0000816326530612245</v>
      </c>
      <c r="AG42" s="98" t="str">
        <f t="shared" si="38"/>
        <v>2.42618505367537E-06i</v>
      </c>
      <c r="AH42" s="98">
        <f t="shared" si="53"/>
        <v>2.4261850536753699E-6</v>
      </c>
      <c r="AI42" s="98">
        <f t="shared" si="54"/>
        <v>1.5707963267948966</v>
      </c>
      <c r="AJ42" s="98" t="str">
        <f t="shared" si="39"/>
        <v>1+0.000268756897427034i</v>
      </c>
      <c r="AK42" s="98">
        <f t="shared" si="55"/>
        <v>1.0000000361151344</v>
      </c>
      <c r="AL42" s="98">
        <f t="shared" si="56"/>
        <v>2.6875689095623987E-4</v>
      </c>
      <c r="AM42" s="98" t="str">
        <f t="shared" si="40"/>
        <v>1+0.0271444466401305i</v>
      </c>
      <c r="AN42" s="98">
        <f t="shared" si="57"/>
        <v>1.0003683426535441</v>
      </c>
      <c r="AO42" s="98">
        <f t="shared" si="58"/>
        <v>2.7137782719996489E-2</v>
      </c>
      <c r="AP42" s="168" t="str">
        <f t="shared" si="59"/>
        <v>-0.904273025157445+33.6467503055359i</v>
      </c>
      <c r="AQ42" s="98">
        <f t="shared" si="60"/>
        <v>30.541998247585251</v>
      </c>
      <c r="AR42" s="169">
        <f t="shared" si="61"/>
        <v>91.539481779631998</v>
      </c>
      <c r="AS42" s="168" t="str">
        <f t="shared" si="62"/>
        <v>0.143973801224327+231.739303386022i</v>
      </c>
      <c r="AT42" s="190">
        <f t="shared" si="63"/>
        <v>47.299995618918878</v>
      </c>
      <c r="AU42" s="169">
        <f t="shared" si="64"/>
        <v>89.964403577689481</v>
      </c>
      <c r="AV42" s="225"/>
      <c r="AX42">
        <f t="shared" si="65"/>
        <v>0</v>
      </c>
      <c r="AY42">
        <f t="shared" si="66"/>
        <v>0</v>
      </c>
    </row>
    <row r="43" spans="1:51" x14ac:dyDescent="0.2">
      <c r="B43" s="209">
        <f>wz_esr/(2*PI())</f>
        <v>397887.35772973835</v>
      </c>
      <c r="C43" s="98" t="s">
        <v>69</v>
      </c>
      <c r="N43" s="170">
        <v>25</v>
      </c>
      <c r="O43" s="199">
        <f t="shared" si="41"/>
        <v>17.782794100389236</v>
      </c>
      <c r="P43" s="189" t="str">
        <f t="shared" si="32"/>
        <v>6.8875</v>
      </c>
      <c r="Q43" s="160" t="str">
        <f t="shared" si="33"/>
        <v>1+0.0279331476530412i</v>
      </c>
      <c r="R43" s="160">
        <f t="shared" si="42"/>
        <v>1.0003900542977258</v>
      </c>
      <c r="S43" s="160">
        <f t="shared" si="43"/>
        <v>2.7925886006192585E-2</v>
      </c>
      <c r="T43" s="160" t="str">
        <f t="shared" si="34"/>
        <v>1+0.000044693036244866i</v>
      </c>
      <c r="U43" s="160">
        <f t="shared" si="44"/>
        <v>1.0000000009987338</v>
      </c>
      <c r="V43" s="160">
        <f t="shared" si="45"/>
        <v>4.4693036215108373E-5</v>
      </c>
      <c r="W43" s="98" t="str">
        <f t="shared" si="35"/>
        <v>1-0.0001160657104697i</v>
      </c>
      <c r="X43" s="160">
        <f t="shared" si="46"/>
        <v>1.0000000067356245</v>
      </c>
      <c r="Y43" s="160">
        <f t="shared" si="47"/>
        <v>-1.1606570994851665E-4</v>
      </c>
      <c r="Z43" s="98" t="str">
        <f t="shared" si="36"/>
        <v>0.999999993466368+0.000133046598022259i</v>
      </c>
      <c r="AA43" s="160">
        <f t="shared" si="48"/>
        <v>1.0000000023170665</v>
      </c>
      <c r="AB43" s="160">
        <f t="shared" si="49"/>
        <v>1.330465981064996E-4</v>
      </c>
      <c r="AC43" s="171" t="str">
        <f t="shared" si="50"/>
        <v>6.88209074007572-0.193646394536782i</v>
      </c>
      <c r="AD43" s="190">
        <f t="shared" si="51"/>
        <v>16.757844976242019</v>
      </c>
      <c r="AE43" s="169">
        <f t="shared" si="52"/>
        <v>-1.611747768845849</v>
      </c>
      <c r="AF43" s="98" t="str">
        <f t="shared" si="37"/>
        <v>-0.0000816326530612245</v>
      </c>
      <c r="AG43" s="98" t="str">
        <f t="shared" si="38"/>
        <v>2.48269816340232E-06i</v>
      </c>
      <c r="AH43" s="98">
        <f t="shared" si="53"/>
        <v>2.4826981634023201E-6</v>
      </c>
      <c r="AI43" s="98">
        <f t="shared" si="54"/>
        <v>1.5707963267948966</v>
      </c>
      <c r="AJ43" s="98" t="str">
        <f t="shared" si="39"/>
        <v>1+0.0002750170497642i</v>
      </c>
      <c r="AK43" s="98">
        <f t="shared" si="55"/>
        <v>1.000000037817188</v>
      </c>
      <c r="AL43" s="98">
        <f t="shared" si="56"/>
        <v>2.7501704283061916E-4</v>
      </c>
      <c r="AM43" s="98" t="str">
        <f t="shared" si="40"/>
        <v>1+0.0277767220261842i</v>
      </c>
      <c r="AN43" s="98">
        <f t="shared" si="57"/>
        <v>1.0003856987614925</v>
      </c>
      <c r="AO43" s="98">
        <f t="shared" si="58"/>
        <v>2.7769581655791607E-2</v>
      </c>
      <c r="AP43" s="168" t="str">
        <f t="shared" si="59"/>
        <v>-0.904273022079192+32.8808679556913i</v>
      </c>
      <c r="AQ43" s="98">
        <f t="shared" si="60"/>
        <v>30.342148929223896</v>
      </c>
      <c r="AR43" s="169">
        <f t="shared" si="61"/>
        <v>91.5753225118724</v>
      </c>
      <c r="AS43" s="168" t="str">
        <f t="shared" si="62"/>
        <v>0.143972537108136+226.464226093918i</v>
      </c>
      <c r="AT43" s="190">
        <f t="shared" si="63"/>
        <v>47.099993905465915</v>
      </c>
      <c r="AU43" s="169">
        <f t="shared" si="64"/>
        <v>89.96357474302657</v>
      </c>
      <c r="AV43" s="225"/>
      <c r="AX43">
        <f t="shared" si="65"/>
        <v>0</v>
      </c>
      <c r="AY43">
        <f t="shared" si="66"/>
        <v>0</v>
      </c>
    </row>
    <row r="44" spans="1:51" x14ac:dyDescent="0.2">
      <c r="B44" s="211"/>
      <c r="N44" s="170">
        <v>26</v>
      </c>
      <c r="O44" s="199">
        <f t="shared" si="41"/>
        <v>18.197008586099841</v>
      </c>
      <c r="P44" s="189" t="str">
        <f t="shared" si="32"/>
        <v>6.8875</v>
      </c>
      <c r="Q44" s="160" t="str">
        <f t="shared" si="33"/>
        <v>1+0.0285837942457008i</v>
      </c>
      <c r="R44" s="160">
        <f t="shared" si="42"/>
        <v>1.0004084332378853</v>
      </c>
      <c r="S44" s="160">
        <f t="shared" si="43"/>
        <v>2.8576013422475517E-2</v>
      </c>
      <c r="T44" s="160" t="str">
        <f t="shared" si="34"/>
        <v>1+0.0000457340707931212i</v>
      </c>
      <c r="U44" s="160">
        <f t="shared" si="44"/>
        <v>1.0000000010458026</v>
      </c>
      <c r="V44" s="160">
        <f t="shared" si="45"/>
        <v>4.5734070761235331E-5</v>
      </c>
      <c r="W44" s="98" t="str">
        <f t="shared" si="35"/>
        <v>1-0.000118769228167732i</v>
      </c>
      <c r="X44" s="160">
        <f t="shared" si="46"/>
        <v>1.0000000070530648</v>
      </c>
      <c r="Y44" s="160">
        <f t="shared" si="47"/>
        <v>-1.1876922760927396E-4</v>
      </c>
      <c r="Z44" s="98" t="str">
        <f t="shared" si="36"/>
        <v>0.999999993158448+0.000136145651402973i</v>
      </c>
      <c r="AA44" s="160">
        <f t="shared" si="48"/>
        <v>1.0000000024262672</v>
      </c>
      <c r="AB44" s="160">
        <f t="shared" si="49"/>
        <v>1.3614565149323835E-4</v>
      </c>
      <c r="AC44" s="171" t="str">
        <f t="shared" si="50"/>
        <v>6.88183601762618-0.198149717575596i</v>
      </c>
      <c r="AD44" s="190">
        <f t="shared" si="51"/>
        <v>16.757685404722519</v>
      </c>
      <c r="AE44" s="169">
        <f t="shared" si="52"/>
        <v>-1.6492701418901279</v>
      </c>
      <c r="AF44" s="98" t="str">
        <f t="shared" si="37"/>
        <v>-0.0000816326530612245</v>
      </c>
      <c r="AG44" s="98" t="str">
        <f t="shared" si="38"/>
        <v>2.54052763255789E-06i</v>
      </c>
      <c r="AH44" s="98">
        <f t="shared" si="53"/>
        <v>2.5405276325578901E-6</v>
      </c>
      <c r="AI44" s="98">
        <f t="shared" si="54"/>
        <v>1.5707963267948966</v>
      </c>
      <c r="AJ44" s="98" t="str">
        <f t="shared" si="39"/>
        <v>1+0.000281423019781434i</v>
      </c>
      <c r="AK44" s="98">
        <f t="shared" si="55"/>
        <v>1.0000000395994573</v>
      </c>
      <c r="AL44" s="98">
        <f t="shared" si="56"/>
        <v>2.8142301235196834E-4</v>
      </c>
      <c r="AM44" s="98" t="str">
        <f t="shared" si="40"/>
        <v>1+0.0284237249979248i</v>
      </c>
      <c r="AN44" s="98">
        <f t="shared" si="57"/>
        <v>1.0004038725148747</v>
      </c>
      <c r="AO44" s="98">
        <f t="shared" si="58"/>
        <v>2.8416074120015334E-2</v>
      </c>
      <c r="AP44" s="168" t="str">
        <f t="shared" si="59"/>
        <v>-0.904273018855878+32.1324194772665i</v>
      </c>
      <c r="AQ44" s="98">
        <f t="shared" si="60"/>
        <v>30.142306706665099</v>
      </c>
      <c r="AR44" s="169">
        <f t="shared" si="61"/>
        <v>91.611996766542177</v>
      </c>
      <c r="AS44" s="168" t="str">
        <f t="shared" si="62"/>
        <v>0.143971213510998+221.309223135423i</v>
      </c>
      <c r="AT44" s="190">
        <f t="shared" si="63"/>
        <v>46.899992111387611</v>
      </c>
      <c r="AU44" s="169">
        <f t="shared" si="64"/>
        <v>89.962726624652063</v>
      </c>
      <c r="AV44" s="225"/>
      <c r="AX44">
        <f t="shared" si="65"/>
        <v>0</v>
      </c>
      <c r="AY44">
        <f t="shared" si="66"/>
        <v>0</v>
      </c>
    </row>
    <row r="45" spans="1:51" x14ac:dyDescent="0.2">
      <c r="A45" s="98" t="s">
        <v>247</v>
      </c>
      <c r="B45" s="211">
        <f>(Isl*(Rsl_int+R_sl)*Fsw)</f>
        <v>17595.599999999999</v>
      </c>
      <c r="C45" s="98" t="s">
        <v>180</v>
      </c>
      <c r="E45" s="98" t="s">
        <v>248</v>
      </c>
      <c r="N45" s="170">
        <v>27</v>
      </c>
      <c r="O45" s="199">
        <f t="shared" si="41"/>
        <v>18.62087136662868</v>
      </c>
      <c r="P45" s="189" t="str">
        <f t="shared" si="32"/>
        <v>6.8875</v>
      </c>
      <c r="Q45" s="160" t="str">
        <f t="shared" si="33"/>
        <v>1+0.0292495963444205i</v>
      </c>
      <c r="R45" s="160">
        <f t="shared" si="42"/>
        <v>1.0004276779889247</v>
      </c>
      <c r="S45" s="160">
        <f t="shared" si="43"/>
        <v>2.9241259234608033E-2</v>
      </c>
      <c r="T45" s="160" t="str">
        <f t="shared" si="34"/>
        <v>1+0.0000467993541510728i</v>
      </c>
      <c r="U45" s="160">
        <f t="shared" si="44"/>
        <v>1.0000000010950898</v>
      </c>
      <c r="V45" s="160">
        <f t="shared" si="45"/>
        <v>4.679935411690647E-5</v>
      </c>
      <c r="W45" s="98" t="str">
        <f t="shared" si="35"/>
        <v>1-0.000121535718882634i</v>
      </c>
      <c r="X45" s="160">
        <f t="shared" si="46"/>
        <v>1.0000000073854654</v>
      </c>
      <c r="Y45" s="160">
        <f t="shared" si="47"/>
        <v>-1.2153571828423543E-4</v>
      </c>
      <c r="Z45" s="98" t="str">
        <f t="shared" si="36"/>
        <v>0.999999992836015+0.00013931689101016i</v>
      </c>
      <c r="AA45" s="160">
        <f t="shared" si="48"/>
        <v>1.0000000025406133</v>
      </c>
      <c r="AB45" s="160">
        <f t="shared" si="49"/>
        <v>1.3931689110688116E-4</v>
      </c>
      <c r="AC45" s="171" t="str">
        <f t="shared" si="50"/>
        <v>6.88156931053902-0.202757416342618i</v>
      </c>
      <c r="AD45" s="190">
        <f t="shared" si="51"/>
        <v>16.757518319113036</v>
      </c>
      <c r="AE45" s="169">
        <f t="shared" si="52"/>
        <v>-1.68766508990923</v>
      </c>
      <c r="AF45" s="98" t="str">
        <f t="shared" si="37"/>
        <v>-0.0000816326530612245</v>
      </c>
      <c r="AG45" s="98" t="str">
        <f t="shared" si="38"/>
        <v>0.0000025997041230921i</v>
      </c>
      <c r="AH45" s="98">
        <f t="shared" si="53"/>
        <v>2.5997041230921001E-6</v>
      </c>
      <c r="AI45" s="98">
        <f t="shared" si="54"/>
        <v>1.5707963267948966</v>
      </c>
      <c r="AJ45" s="98" t="str">
        <f t="shared" si="39"/>
        <v>1+0.000287978204008829i</v>
      </c>
      <c r="AK45" s="98">
        <f t="shared" si="55"/>
        <v>1.0000000414657222</v>
      </c>
      <c r="AL45" s="98">
        <f t="shared" si="56"/>
        <v>2.8797819604801315E-4</v>
      </c>
      <c r="AM45" s="98" t="str">
        <f t="shared" si="40"/>
        <v>1+0.0290857986048918i</v>
      </c>
      <c r="AN45" s="98">
        <f t="shared" si="57"/>
        <v>1.000422902417015</v>
      </c>
      <c r="AO45" s="98">
        <f t="shared" si="58"/>
        <v>2.9077600728666827E-2</v>
      </c>
      <c r="AP45" s="168" t="str">
        <f t="shared" si="59"/>
        <v>-0.904273015480653+31.4010080329715i</v>
      </c>
      <c r="AQ45" s="98">
        <f t="shared" si="60"/>
        <v>29.942471913783525</v>
      </c>
      <c r="AR45" s="169">
        <f t="shared" si="61"/>
        <v>91.649523864893794</v>
      </c>
      <c r="AS45" s="168" t="str">
        <f t="shared" si="62"/>
        <v>0.143969827638858+216.271561259973i</v>
      </c>
      <c r="AT45" s="190">
        <f t="shared" si="63"/>
        <v>46.699990232896553</v>
      </c>
      <c r="AU45" s="169">
        <f t="shared" si="64"/>
        <v>89.961858774984563</v>
      </c>
      <c r="AV45" s="225"/>
      <c r="AX45">
        <f t="shared" si="65"/>
        <v>0</v>
      </c>
      <c r="AY45">
        <f t="shared" si="66"/>
        <v>0</v>
      </c>
    </row>
    <row r="46" spans="1:51" x14ac:dyDescent="0.2">
      <c r="A46" s="98" t="s">
        <v>250</v>
      </c>
      <c r="B46" s="211">
        <f>(R_cs*VIN_var*Acs)/Lm</f>
        <v>50666.666666666664</v>
      </c>
      <c r="C46" s="98" t="s">
        <v>180</v>
      </c>
      <c r="E46" s="98" t="s">
        <v>249</v>
      </c>
      <c r="N46" s="170">
        <v>28</v>
      </c>
      <c r="O46" s="199">
        <f t="shared" si="41"/>
        <v>19.054607179632477</v>
      </c>
      <c r="P46" s="189" t="str">
        <f t="shared" si="32"/>
        <v>6.8875</v>
      </c>
      <c r="Q46" s="160" t="str">
        <f t="shared" si="33"/>
        <v>1+0.0299309069662863i</v>
      </c>
      <c r="R46" s="160">
        <f t="shared" si="42"/>
        <v>1.000447829320362</v>
      </c>
      <c r="S46" s="160">
        <f t="shared" si="43"/>
        <v>2.9921973808130886E-2</v>
      </c>
      <c r="T46" s="160" t="str">
        <f t="shared" si="34"/>
        <v>1+0.000047889451146058i</v>
      </c>
      <c r="U46" s="160">
        <f t="shared" si="44"/>
        <v>1.0000000011466996</v>
      </c>
      <c r="V46" s="160">
        <f t="shared" si="45"/>
        <v>4.7889451109448118E-5</v>
      </c>
      <c r="W46" s="98" t="str">
        <f t="shared" si="35"/>
        <v>1-0.000124366649444403i</v>
      </c>
      <c r="X46" s="160">
        <f t="shared" si="46"/>
        <v>1.0000000077335316</v>
      </c>
      <c r="Y46" s="160">
        <f t="shared" si="47"/>
        <v>-1.2436664880320739E-4</v>
      </c>
      <c r="Z46" s="98" t="str">
        <f t="shared" si="36"/>
        <v>0.999999992498387+0.000142561998277038i</v>
      </c>
      <c r="AA46" s="160">
        <f t="shared" si="48"/>
        <v>1.0000000026603486</v>
      </c>
      <c r="AB46" s="160">
        <f t="shared" si="49"/>
        <v>1.4256199838067656E-4</v>
      </c>
      <c r="AC46" s="171" t="str">
        <f t="shared" si="50"/>
        <v>6.88129005592859-0.207471884932312i</v>
      </c>
      <c r="AD46" s="190">
        <f t="shared" si="51"/>
        <v>16.757343365891099</v>
      </c>
      <c r="AE46" s="169">
        <f t="shared" si="52"/>
        <v>-1.7269528353898926</v>
      </c>
      <c r="AF46" s="98" t="str">
        <f t="shared" si="37"/>
        <v>-0.0000816326530612245</v>
      </c>
      <c r="AG46" s="98" t="str">
        <f t="shared" si="38"/>
        <v>2.66025901116353E-06i</v>
      </c>
      <c r="AH46" s="98">
        <f t="shared" si="53"/>
        <v>2.6602590111635301E-6</v>
      </c>
      <c r="AI46" s="98">
        <f t="shared" si="54"/>
        <v>1.5707963267948966</v>
      </c>
      <c r="AJ46" s="98" t="str">
        <f t="shared" si="39"/>
        <v>1+0.000294686078091832i</v>
      </c>
      <c r="AK46" s="98">
        <f t="shared" si="55"/>
        <v>1.0000000434199414</v>
      </c>
      <c r="AL46" s="98">
        <f t="shared" si="56"/>
        <v>2.946860695616641E-4</v>
      </c>
      <c r="AM46" s="98" t="str">
        <f t="shared" si="40"/>
        <v>1+0.0297632938872751i</v>
      </c>
      <c r="AN46" s="98">
        <f t="shared" si="57"/>
        <v>1.0004428287828446</v>
      </c>
      <c r="AO46" s="98">
        <f t="shared" si="58"/>
        <v>2.9754509914620059E-2</v>
      </c>
      <c r="AP46" s="168" t="str">
        <f t="shared" si="59"/>
        <v>-0.904273011946359+30.6862458187768i</v>
      </c>
      <c r="AQ46" s="98">
        <f t="shared" si="60"/>
        <v>29.742644900136682</v>
      </c>
      <c r="AR46" s="169">
        <f t="shared" si="61"/>
        <v>91.687923571520699</v>
      </c>
      <c r="AS46" s="168" t="str">
        <f t="shared" si="62"/>
        <v>0.143968376566825+211.348569432811i</v>
      </c>
      <c r="AT46" s="190">
        <f t="shared" si="63"/>
        <v>46.499988266027785</v>
      </c>
      <c r="AU46" s="169">
        <f t="shared" si="64"/>
        <v>89.960970736130832</v>
      </c>
      <c r="AV46" s="225"/>
      <c r="AX46">
        <f t="shared" si="65"/>
        <v>0</v>
      </c>
      <c r="AY46">
        <f t="shared" si="66"/>
        <v>0</v>
      </c>
    </row>
    <row r="47" spans="1:51" x14ac:dyDescent="0.2">
      <c r="B47" s="211"/>
      <c r="N47" s="170">
        <v>29</v>
      </c>
      <c r="O47" s="199">
        <f t="shared" si="41"/>
        <v>19.498445997580465</v>
      </c>
      <c r="P47" s="189" t="str">
        <f t="shared" si="32"/>
        <v>6.8875</v>
      </c>
      <c r="Q47" s="160" t="str">
        <f t="shared" si="33"/>
        <v>1+0.030628087351208i</v>
      </c>
      <c r="R47" s="160">
        <f t="shared" si="42"/>
        <v>1.0004689299197618</v>
      </c>
      <c r="S47" s="160">
        <f t="shared" si="43"/>
        <v>3.0618515542082905E-2</v>
      </c>
      <c r="T47" s="160" t="str">
        <f t="shared" si="34"/>
        <v>1+0.0000490049397619328i</v>
      </c>
      <c r="U47" s="160">
        <f t="shared" si="44"/>
        <v>1.000000001200742</v>
      </c>
      <c r="V47" s="160">
        <f t="shared" si="45"/>
        <v>4.9004939722704607E-5</v>
      </c>
      <c r="W47" s="98" t="str">
        <f t="shared" si="35"/>
        <v>1-0.000127263520849895i</v>
      </c>
      <c r="X47" s="160">
        <f t="shared" si="46"/>
        <v>1.0000000080980018</v>
      </c>
      <c r="Y47" s="160">
        <f t="shared" si="47"/>
        <v>-1.2726352016284153E-4</v>
      </c>
      <c r="Z47" s="98" t="str">
        <f t="shared" si="36"/>
        <v>0.999999992144847+0.000145882693802435i</v>
      </c>
      <c r="AA47" s="160">
        <f t="shared" si="48"/>
        <v>1.0000000027857272</v>
      </c>
      <c r="AB47" s="160">
        <f t="shared" si="49"/>
        <v>1.4588269391348571E-4</v>
      </c>
      <c r="AC47" s="171" t="str">
        <f t="shared" si="50"/>
        <v>6.88099766456745-0.212295570558069i</v>
      </c>
      <c r="AD47" s="190">
        <f t="shared" si="51"/>
        <v>16.757160174931713</v>
      </c>
      <c r="AE47" s="169">
        <f t="shared" si="52"/>
        <v>-1.7671540645522132</v>
      </c>
      <c r="AF47" s="98" t="str">
        <f t="shared" si="37"/>
        <v>-0.0000816326530612245</v>
      </c>
      <c r="AG47" s="98" t="str">
        <f t="shared" si="38"/>
        <v>2.72222440377537E-06i</v>
      </c>
      <c r="AH47" s="98">
        <f t="shared" si="53"/>
        <v>2.7222244037753698E-6</v>
      </c>
      <c r="AI47" s="98">
        <f t="shared" si="54"/>
        <v>1.5707963267948966</v>
      </c>
      <c r="AJ47" s="98" t="str">
        <f t="shared" si="39"/>
        <v>1+0.000301550198634072i</v>
      </c>
      <c r="AK47" s="98">
        <f t="shared" si="55"/>
        <v>1.0000000454662601</v>
      </c>
      <c r="AL47" s="98">
        <f t="shared" si="56"/>
        <v>3.0155018949383245E-4</v>
      </c>
      <c r="AM47" s="98" t="str">
        <f t="shared" si="40"/>
        <v>1+0.0304565700620412i</v>
      </c>
      <c r="AN47" s="98">
        <f t="shared" si="57"/>
        <v>1.0004636938239908</v>
      </c>
      <c r="AO47" s="98">
        <f t="shared" si="58"/>
        <v>3.0447158101354559E-2</v>
      </c>
      <c r="AP47" s="168" t="str">
        <f t="shared" si="59"/>
        <v>-0.904273008245494+29.9877538582957i</v>
      </c>
      <c r="AQ47" s="98">
        <f t="shared" si="60"/>
        <v>29.542826031699306</v>
      </c>
      <c r="AR47" s="169">
        <f t="shared" si="61"/>
        <v>91.727216104205795</v>
      </c>
      <c r="AS47" s="168" t="str">
        <f t="shared" si="62"/>
        <v>0.143966857233194+206.537637418782i</v>
      </c>
      <c r="AT47" s="190">
        <f t="shared" si="63"/>
        <v>46.299986206631026</v>
      </c>
      <c r="AU47" s="169">
        <f t="shared" si="64"/>
        <v>89.960062039653579</v>
      </c>
      <c r="AV47" s="225"/>
      <c r="AX47">
        <f t="shared" si="65"/>
        <v>0</v>
      </c>
      <c r="AY47">
        <f t="shared" si="66"/>
        <v>0</v>
      </c>
    </row>
    <row r="48" spans="1:51" x14ac:dyDescent="0.2">
      <c r="A48" s="98" t="s">
        <v>245</v>
      </c>
      <c r="B48" s="211">
        <f>2*PI()*Fsw</f>
        <v>2764601.5351590179</v>
      </c>
      <c r="C48" s="98" t="s">
        <v>251</v>
      </c>
      <c r="N48" s="170">
        <v>30</v>
      </c>
      <c r="O48" s="199">
        <f t="shared" si="41"/>
        <v>19.952623149688804</v>
      </c>
      <c r="P48" s="189" t="str">
        <f t="shared" si="32"/>
        <v>6.8875</v>
      </c>
      <c r="Q48" s="160" t="str">
        <f t="shared" si="33"/>
        <v>1+0.031341507153454i</v>
      </c>
      <c r="R48" s="160">
        <f t="shared" si="42"/>
        <v>1.0004910244828036</v>
      </c>
      <c r="S48" s="160">
        <f t="shared" si="43"/>
        <v>3.1331251047033305E-2</v>
      </c>
      <c r="T48" s="160" t="str">
        <f t="shared" si="34"/>
        <v>1+0.0000501464114455264i</v>
      </c>
      <c r="U48" s="160">
        <f t="shared" si="44"/>
        <v>1.0000000012573311</v>
      </c>
      <c r="V48" s="160">
        <f t="shared" si="45"/>
        <v>5.0146411403492637E-5</v>
      </c>
      <c r="W48" s="98" t="str">
        <f t="shared" si="35"/>
        <v>1-0.000130227869058673i</v>
      </c>
      <c r="X48" s="160">
        <f t="shared" si="46"/>
        <v>1.000000008479649</v>
      </c>
      <c r="Y48" s="160">
        <f t="shared" si="47"/>
        <v>-1.3022786832248194E-4</v>
      </c>
      <c r="Z48" s="98" t="str">
        <f t="shared" si="36"/>
        <v>0.999999991774645+0.000149280738263071i</v>
      </c>
      <c r="AA48" s="160">
        <f t="shared" si="48"/>
        <v>1.0000000029170144</v>
      </c>
      <c r="AB48" s="160">
        <f t="shared" si="49"/>
        <v>1.4928073838206397E-4</v>
      </c>
      <c r="AC48" s="171" t="str">
        <f t="shared" si="50"/>
        <v>6.88069151966269-0.217230974601277i</v>
      </c>
      <c r="AD48" s="190">
        <f t="shared" si="51"/>
        <v>16.75696835873034</v>
      </c>
      <c r="AE48" s="169">
        <f t="shared" si="52"/>
        <v>-1.8082899376304526</v>
      </c>
      <c r="AF48" s="98" t="str">
        <f t="shared" si="37"/>
        <v>-0.0000816326530612245</v>
      </c>
      <c r="AG48" s="98" t="str">
        <f t="shared" si="38"/>
        <v>2.78563315579899E-06i</v>
      </c>
      <c r="AH48" s="98">
        <f t="shared" si="53"/>
        <v>2.7856331557989898E-6</v>
      </c>
      <c r="AI48" s="98">
        <f t="shared" si="54"/>
        <v>1.5707963267948966</v>
      </c>
      <c r="AJ48" s="98" t="str">
        <f t="shared" si="39"/>
        <v>1+0.000308574205083116i</v>
      </c>
      <c r="AK48" s="98">
        <f t="shared" si="55"/>
        <v>1.0000000476090189</v>
      </c>
      <c r="AL48" s="98">
        <f t="shared" si="56"/>
        <v>3.085741952891729E-4</v>
      </c>
      <c r="AM48" s="98" t="str">
        <f t="shared" si="40"/>
        <v>1+0.0311659947133947i</v>
      </c>
      <c r="AN48" s="98">
        <f t="shared" si="57"/>
        <v>1.000485541737848</v>
      </c>
      <c r="AO48" s="98">
        <f t="shared" si="58"/>
        <v>3.1155909880138936E-2</v>
      </c>
      <c r="AP48" s="168" t="str">
        <f t="shared" si="59"/>
        <v>-0.904273004370221+29.3051618018449i</v>
      </c>
      <c r="AQ48" s="98">
        <f t="shared" si="60"/>
        <v>29.343015691631308</v>
      </c>
      <c r="AR48" s="169">
        <f t="shared" si="61"/>
        <v>91.767422143965192</v>
      </c>
      <c r="AS48" s="168" t="str">
        <f t="shared" si="62"/>
        <v>0.1439652664328+201.836214398342i</v>
      </c>
      <c r="AT48" s="190">
        <f t="shared" si="63"/>
        <v>46.099984050361648</v>
      </c>
      <c r="AU48" s="169">
        <f t="shared" si="64"/>
        <v>89.959132206334743</v>
      </c>
      <c r="AV48" s="225"/>
      <c r="AX48">
        <f t="shared" si="65"/>
        <v>0</v>
      </c>
      <c r="AY48">
        <f t="shared" si="66"/>
        <v>0</v>
      </c>
    </row>
    <row r="49" spans="1:51" x14ac:dyDescent="0.2">
      <c r="A49" s="98" t="s">
        <v>246</v>
      </c>
      <c r="B49" s="211">
        <f>1/(PI()*(((VIN_var/VOUT)*(1+(B45/B46)))-0.5))</f>
        <v>0.60753813683362912</v>
      </c>
      <c r="N49" s="170">
        <v>31</v>
      </c>
      <c r="O49" s="199">
        <f t="shared" si="41"/>
        <v>20.4173794466953</v>
      </c>
      <c r="P49" s="189" t="str">
        <f t="shared" si="32"/>
        <v>6.8875</v>
      </c>
      <c r="Q49" s="160" t="str">
        <f t="shared" si="33"/>
        <v>1+0.0320715446376465i</v>
      </c>
      <c r="R49" s="160">
        <f t="shared" si="42"/>
        <v>1.0005141598075684</v>
      </c>
      <c r="S49" s="160">
        <f t="shared" si="43"/>
        <v>3.2060555326613192E-2</v>
      </c>
      <c r="T49" s="160" t="str">
        <f t="shared" si="34"/>
        <v>1+0.0000513144714202344i</v>
      </c>
      <c r="U49" s="160">
        <f t="shared" si="44"/>
        <v>1.0000000013165875</v>
      </c>
      <c r="V49" s="160">
        <f t="shared" si="45"/>
        <v>5.1314471375194408E-5</v>
      </c>
      <c r="W49" s="98" t="str">
        <f t="shared" si="35"/>
        <v>1-0.000133261265807395i</v>
      </c>
      <c r="X49" s="160">
        <f t="shared" si="46"/>
        <v>1.0000000088792824</v>
      </c>
      <c r="Y49" s="160">
        <f t="shared" si="47"/>
        <v>-1.3326126501855205E-4</v>
      </c>
      <c r="Z49" s="98" t="str">
        <f t="shared" si="36"/>
        <v>0.999999991386996+0.000152757933347097i</v>
      </c>
      <c r="AA49" s="160">
        <f t="shared" si="48"/>
        <v>1.0000000030544891</v>
      </c>
      <c r="AB49" s="160">
        <f t="shared" si="49"/>
        <v>1.5275793347460027E-4</v>
      </c>
      <c r="AC49" s="171" t="str">
        <f t="shared" si="50"/>
        <v>6.88037097557647-0.222280653671496i</v>
      </c>
      <c r="AD49" s="190">
        <f t="shared" si="51"/>
        <v>16.756767511590045</v>
      </c>
      <c r="AE49" s="169">
        <f t="shared" si="52"/>
        <v>-1.8503820993562359</v>
      </c>
      <c r="AF49" s="98" t="str">
        <f t="shared" si="37"/>
        <v>-0.0000816326530612245</v>
      </c>
      <c r="AG49" s="98" t="str">
        <f t="shared" si="38"/>
        <v>2.85051888739403E-06i</v>
      </c>
      <c r="AH49" s="98">
        <f t="shared" si="53"/>
        <v>2.8505188873940301E-6</v>
      </c>
      <c r="AI49" s="98">
        <f t="shared" si="54"/>
        <v>1.5707963267948966</v>
      </c>
      <c r="AJ49" s="98" t="str">
        <f t="shared" si="39"/>
        <v>1+0.000315761821660155i</v>
      </c>
      <c r="AK49" s="98">
        <f t="shared" si="55"/>
        <v>1.0000000498527628</v>
      </c>
      <c r="AL49" s="98">
        <f t="shared" si="56"/>
        <v>3.1576181116575594E-4</v>
      </c>
      <c r="AM49" s="98" t="str">
        <f t="shared" si="40"/>
        <v>1+0.0318919439876757i</v>
      </c>
      <c r="AN49" s="98">
        <f t="shared" si="57"/>
        <v>1.000508418800818</v>
      </c>
      <c r="AO49" s="98">
        <f t="shared" si="58"/>
        <v>3.1881138190705142E-2</v>
      </c>
      <c r="AP49" s="168" t="str">
        <f t="shared" si="59"/>
        <v>-0.904273000312302+28.6381077300811i</v>
      </c>
      <c r="AQ49" s="98">
        <f t="shared" si="60"/>
        <v>29.143214281081896</v>
      </c>
      <c r="AR49" s="169">
        <f t="shared" si="61"/>
        <v>91.808562845289529</v>
      </c>
      <c r="AS49" s="168" t="str">
        <f t="shared" si="62"/>
        <v>0.143963600810935+197.241807615089i</v>
      </c>
      <c r="AT49" s="190">
        <f t="shared" si="63"/>
        <v>45.899981792671937</v>
      </c>
      <c r="AU49" s="169">
        <f t="shared" si="64"/>
        <v>89.958180745933305</v>
      </c>
      <c r="AV49" s="225"/>
      <c r="AX49">
        <f t="shared" si="65"/>
        <v>0</v>
      </c>
      <c r="AY49">
        <f t="shared" si="66"/>
        <v>0</v>
      </c>
    </row>
    <row r="50" spans="1:51" x14ac:dyDescent="0.2">
      <c r="A50" s="98" t="s">
        <v>544</v>
      </c>
      <c r="B50" s="209">
        <f>2*Fsw*((1-1/(B20/B17))/Dc_VIN_nom)^2</f>
        <v>880000.00000000081</v>
      </c>
      <c r="C50" s="98" t="s">
        <v>251</v>
      </c>
      <c r="E50" s="98" t="s">
        <v>545</v>
      </c>
      <c r="N50" s="170">
        <v>32</v>
      </c>
      <c r="O50" s="199">
        <f t="shared" si="41"/>
        <v>20.8929613085404</v>
      </c>
      <c r="P50" s="189" t="str">
        <f t="shared" si="32"/>
        <v>6.8875</v>
      </c>
      <c r="Q50" s="160" t="str">
        <f t="shared" si="33"/>
        <v>1+0.0328185868793232i</v>
      </c>
      <c r="R50" s="160">
        <f t="shared" si="42"/>
        <v>1.0005383848932312</v>
      </c>
      <c r="S50" s="160">
        <f t="shared" si="43"/>
        <v>3.2806811962584434E-2</v>
      </c>
      <c r="T50" s="160" t="str">
        <f t="shared" si="34"/>
        <v>1+0.0000525097390069172i</v>
      </c>
      <c r="U50" s="160">
        <f t="shared" si="44"/>
        <v>1.0000000013786363</v>
      </c>
      <c r="V50" s="160">
        <f t="shared" si="45"/>
        <v>5.2509738958655979E-5</v>
      </c>
      <c r="W50" s="98" t="str">
        <f t="shared" si="35"/>
        <v>1-0.000136365319443171i</v>
      </c>
      <c r="X50" s="160">
        <f t="shared" si="46"/>
        <v>1.0000000092977501</v>
      </c>
      <c r="Y50" s="160">
        <f t="shared" si="47"/>
        <v>-1.3636531859791056E-4</v>
      </c>
      <c r="Z50" s="98" t="str">
        <f t="shared" si="36"/>
        <v>0.999999990981078+0.000156316122709376i</v>
      </c>
      <c r="AA50" s="160">
        <f t="shared" si="48"/>
        <v>1.0000000031984433</v>
      </c>
      <c r="AB50" s="160">
        <f t="shared" si="49"/>
        <v>1.5631612284599817E-4</v>
      </c>
      <c r="AC50" s="171" t="str">
        <f t="shared" si="50"/>
        <v>6.88003535648815-0.227447220677056i</v>
      </c>
      <c r="AD50" s="190">
        <f t="shared" si="51"/>
        <v>16.756557208770928</v>
      </c>
      <c r="AE50" s="169">
        <f t="shared" si="52"/>
        <v>-1.8934526896462669</v>
      </c>
      <c r="AF50" s="98" t="str">
        <f t="shared" si="37"/>
        <v>-0.0000816326530612245</v>
      </c>
      <c r="AG50" s="98" t="str">
        <f t="shared" si="38"/>
        <v>2.91691600183424E-06i</v>
      </c>
      <c r="AH50" s="98">
        <f t="shared" si="53"/>
        <v>2.9169160018342401E-6</v>
      </c>
      <c r="AI50" s="98">
        <f t="shared" si="54"/>
        <v>1.5707963267948966</v>
      </c>
      <c r="AJ50" s="98" t="str">
        <f t="shared" si="39"/>
        <v>1+0.000323116859334644i</v>
      </c>
      <c r="AK50" s="98">
        <f t="shared" si="55"/>
        <v>1.000000052202251</v>
      </c>
      <c r="AL50" s="98">
        <f t="shared" si="56"/>
        <v>3.2311684808969279E-4</v>
      </c>
      <c r="AM50" s="98" t="str">
        <f t="shared" si="40"/>
        <v>1+0.0326348027927991i</v>
      </c>
      <c r="AN50" s="98">
        <f t="shared" si="57"/>
        <v>1.0005323734659088</v>
      </c>
      <c r="AO50" s="98">
        <f t="shared" si="58"/>
        <v>3.2623224505452478E-2</v>
      </c>
      <c r="AP50" s="168" t="str">
        <f t="shared" si="59"/>
        <v>-0.904272996063151+27.9862379621058i</v>
      </c>
      <c r="AQ50" s="98">
        <f t="shared" si="60"/>
        <v>28.943422220030563</v>
      </c>
      <c r="AR50" s="169">
        <f t="shared" si="61"/>
        <v>91.850659846585074</v>
      </c>
      <c r="AS50" s="168" t="str">
        <f t="shared" si="62"/>
        <v>0.143961856855731+192.751981054067i</v>
      </c>
      <c r="AT50" s="190">
        <f t="shared" si="63"/>
        <v>45.699979428801505</v>
      </c>
      <c r="AU50" s="169">
        <f t="shared" si="64"/>
        <v>89.957207156938807</v>
      </c>
      <c r="AV50" s="225"/>
      <c r="AX50">
        <f t="shared" si="65"/>
        <v>0</v>
      </c>
      <c r="AY50">
        <f t="shared" si="66"/>
        <v>0</v>
      </c>
    </row>
    <row r="51" spans="1:51" x14ac:dyDescent="0.2">
      <c r="N51" s="170">
        <v>33</v>
      </c>
      <c r="O51" s="199">
        <f t="shared" si="41"/>
        <v>21.379620895022335</v>
      </c>
      <c r="P51" s="189" t="str">
        <f t="shared" si="32"/>
        <v>6.8875</v>
      </c>
      <c r="Q51" s="160" t="str">
        <f t="shared" si="33"/>
        <v>1+0.0335830299701685i</v>
      </c>
      <c r="R51" s="160">
        <f t="shared" si="42"/>
        <v>1.0005637510433691</v>
      </c>
      <c r="S51" s="160">
        <f t="shared" si="43"/>
        <v>3.3570413303475682E-2</v>
      </c>
      <c r="T51" s="160" t="str">
        <f t="shared" si="34"/>
        <v>1+0.0000537328479522696i</v>
      </c>
      <c r="U51" s="160">
        <f t="shared" si="44"/>
        <v>1.0000000014436095</v>
      </c>
      <c r="V51" s="160">
        <f t="shared" si="45"/>
        <v>5.3732847900556766E-5</v>
      </c>
      <c r="W51" s="98" t="str">
        <f t="shared" si="35"/>
        <v>1-0.000139541675776323i</v>
      </c>
      <c r="X51" s="160">
        <f t="shared" si="46"/>
        <v>1.0000000097359396</v>
      </c>
      <c r="Y51" s="160">
        <f t="shared" si="47"/>
        <v>-1.3954167487061013E-4</v>
      </c>
      <c r="Z51" s="98" t="str">
        <f t="shared" si="36"/>
        <v>0.999999990556029+0.000159957192949002i</v>
      </c>
      <c r="AA51" s="160">
        <f t="shared" si="48"/>
        <v>1.0000000033491807</v>
      </c>
      <c r="AB51" s="160">
        <f t="shared" si="49"/>
        <v>1.5995719309539532E-4</v>
      </c>
      <c r="AC51" s="171" t="str">
        <f t="shared" si="50"/>
        <v>6.87968395499534-0.232733345905311i</v>
      </c>
      <c r="AD51" s="190">
        <f t="shared" si="51"/>
        <v>16.756337005600013</v>
      </c>
      <c r="AE51" s="169">
        <f t="shared" si="52"/>
        <v>-1.9375243544964664</v>
      </c>
      <c r="AF51" s="98" t="str">
        <f t="shared" si="37"/>
        <v>-0.0000816326530612245</v>
      </c>
      <c r="AG51" s="98" t="str">
        <f t="shared" si="38"/>
        <v>2.98485970374858E-06i</v>
      </c>
      <c r="AH51" s="98">
        <f t="shared" si="53"/>
        <v>2.9848597037485798E-6</v>
      </c>
      <c r="AI51" s="98">
        <f t="shared" si="54"/>
        <v>1.5707963267948966</v>
      </c>
      <c r="AJ51" s="98" t="str">
        <f t="shared" si="39"/>
        <v>1+0.000330643217844907i</v>
      </c>
      <c r="AK51" s="98">
        <f t="shared" si="55"/>
        <v>1.0000000546624672</v>
      </c>
      <c r="AL51" s="98">
        <f t="shared" si="56"/>
        <v>3.3064320579572474E-4</v>
      </c>
      <c r="AM51" s="98" t="str">
        <f t="shared" si="40"/>
        <v>1+0.0333949650023356i</v>
      </c>
      <c r="AN51" s="98">
        <f t="shared" si="57"/>
        <v>1.0005574564648985</v>
      </c>
      <c r="AO51" s="98">
        <f t="shared" si="58"/>
        <v>3.3382559017209233E-2</v>
      </c>
      <c r="AP51" s="168" t="str">
        <f t="shared" si="59"/>
        <v>-0.904272991613739+27.3492068679394i</v>
      </c>
      <c r="AQ51" s="98">
        <f t="shared" si="60"/>
        <v>28.74363994816742</v>
      </c>
      <c r="AR51" s="169">
        <f t="shared" si="61"/>
        <v>91.893735280815719</v>
      </c>
      <c r="AS51" s="168" t="str">
        <f t="shared" si="62"/>
        <v>0.143960030891373+188.364354150161i</v>
      </c>
      <c r="AT51" s="190">
        <f t="shared" si="63"/>
        <v>45.49997695376743</v>
      </c>
      <c r="AU51" s="169">
        <f t="shared" si="64"/>
        <v>89.956210926319258</v>
      </c>
      <c r="AV51" s="225"/>
      <c r="AX51">
        <f t="shared" si="65"/>
        <v>0</v>
      </c>
      <c r="AY51">
        <f t="shared" si="66"/>
        <v>0</v>
      </c>
    </row>
    <row r="52" spans="1:51" x14ac:dyDescent="0.2">
      <c r="N52" s="170">
        <v>34</v>
      </c>
      <c r="O52" s="199">
        <f t="shared" si="41"/>
        <v>21.877616239495538</v>
      </c>
      <c r="P52" s="189" t="str">
        <f t="shared" si="32"/>
        <v>6.8875</v>
      </c>
      <c r="Q52" s="160" t="str">
        <f t="shared" si="33"/>
        <v>1+0.034365279228028i</v>
      </c>
      <c r="R52" s="160">
        <f t="shared" si="42"/>
        <v>1.0005903119740966</v>
      </c>
      <c r="S52" s="160">
        <f t="shared" si="43"/>
        <v>3.435176065682144E-2</v>
      </c>
      <c r="T52" s="160" t="str">
        <f t="shared" si="34"/>
        <v>1+0.0000549844467648448i</v>
      </c>
      <c r="U52" s="160">
        <f t="shared" si="44"/>
        <v>1.0000000015116446</v>
      </c>
      <c r="V52" s="160">
        <f t="shared" si="45"/>
        <v>5.4984446709433503E-5</v>
      </c>
      <c r="W52" s="98" t="str">
        <f t="shared" si="35"/>
        <v>1-0.000142792018953025i</v>
      </c>
      <c r="X52" s="160">
        <f t="shared" si="46"/>
        <v>1.0000000101947804</v>
      </c>
      <c r="Y52" s="160">
        <f t="shared" si="47"/>
        <v>-1.4279201798253618E-4</v>
      </c>
      <c r="Z52" s="98" t="str">
        <f t="shared" si="36"/>
        <v>0.999999990110949+0.000163683074609615i</v>
      </c>
      <c r="AA52" s="160">
        <f t="shared" si="48"/>
        <v>1.0000000035070236</v>
      </c>
      <c r="AB52" s="160">
        <f t="shared" si="49"/>
        <v>1.6368307476647816E-4</v>
      </c>
      <c r="AC52" s="171" t="str">
        <f t="shared" si="50"/>
        <v>6.87931603065129-0.238141758111722i</v>
      </c>
      <c r="AD52" s="190">
        <f t="shared" si="51"/>
        <v>16.75610643653987</v>
      </c>
      <c r="AE52" s="169">
        <f t="shared" si="52"/>
        <v>-1.9826202570845037</v>
      </c>
      <c r="AF52" s="98" t="str">
        <f t="shared" si="37"/>
        <v>-0.0000816326530612245</v>
      </c>
      <c r="AG52" s="98" t="str">
        <f t="shared" si="38"/>
        <v>3.05438601778713E-06i</v>
      </c>
      <c r="AH52" s="98">
        <f t="shared" si="53"/>
        <v>3.0543860177871299E-6</v>
      </c>
      <c r="AI52" s="98">
        <f t="shared" si="54"/>
        <v>1.5707963267948966</v>
      </c>
      <c r="AJ52" s="98" t="str">
        <f t="shared" si="39"/>
        <v>1+0.000338344887765852i</v>
      </c>
      <c r="AK52" s="98">
        <f t="shared" si="55"/>
        <v>1.0000000572386298</v>
      </c>
      <c r="AL52" s="98">
        <f t="shared" si="56"/>
        <v>3.3834487485492068E-4</v>
      </c>
      <c r="AM52" s="98" t="str">
        <f t="shared" si="40"/>
        <v>1+0.0341728336643511i</v>
      </c>
      <c r="AN52" s="98">
        <f t="shared" si="57"/>
        <v>1.0005837209152721</v>
      </c>
      <c r="AO52" s="98">
        <f t="shared" si="58"/>
        <v>3.4159540830592049E-2</v>
      </c>
      <c r="AP52" s="168" t="str">
        <f t="shared" si="59"/>
        <v>-0.904272986954629+26.726676685264i</v>
      </c>
      <c r="AQ52" s="98">
        <f t="shared" si="60"/>
        <v>28.543867925814315</v>
      </c>
      <c r="AR52" s="169">
        <f t="shared" si="61"/>
        <v>91.937811786348661</v>
      </c>
      <c r="AS52" s="168" t="str">
        <f t="shared" si="62"/>
        <v>0.143958119070436+184.076600525897i</v>
      </c>
      <c r="AT52" s="190">
        <f t="shared" si="63"/>
        <v>45.299974362354185</v>
      </c>
      <c r="AU52" s="169">
        <f t="shared" si="64"/>
        <v>89.95519152926417</v>
      </c>
      <c r="AV52" s="225"/>
      <c r="AX52">
        <f t="shared" si="65"/>
        <v>0</v>
      </c>
      <c r="AY52">
        <f t="shared" si="66"/>
        <v>0</v>
      </c>
    </row>
    <row r="53" spans="1:51" ht="16" x14ac:dyDescent="0.2">
      <c r="A53" s="212" t="s">
        <v>261</v>
      </c>
      <c r="N53" s="170">
        <v>35</v>
      </c>
      <c r="O53" s="199">
        <f t="shared" si="41"/>
        <v>22.387211385683404</v>
      </c>
      <c r="P53" s="189" t="str">
        <f t="shared" si="32"/>
        <v>6.8875</v>
      </c>
      <c r="Q53" s="160" t="str">
        <f t="shared" si="33"/>
        <v>1+0.0351657494118125i</v>
      </c>
      <c r="R53" s="160">
        <f t="shared" si="42"/>
        <v>1.0006181239272525</v>
      </c>
      <c r="S53" s="160">
        <f t="shared" si="43"/>
        <v>3.5151264485026562E-2</v>
      </c>
      <c r="T53" s="160" t="str">
        <f t="shared" si="34"/>
        <v>1+0.0000562651990589i</v>
      </c>
      <c r="U53" s="160">
        <f t="shared" si="44"/>
        <v>1.0000000015828863</v>
      </c>
      <c r="V53" s="160">
        <f t="shared" si="45"/>
        <v>5.6265198999525724E-5</v>
      </c>
      <c r="W53" s="98" t="str">
        <f t="shared" si="35"/>
        <v>1-0.000146118072348251i</v>
      </c>
      <c r="X53" s="160">
        <f t="shared" si="46"/>
        <v>1.0000000106752456</v>
      </c>
      <c r="Y53" s="160">
        <f t="shared" si="47"/>
        <v>-1.4611807130835347E-4</v>
      </c>
      <c r="Z53" s="98" t="str">
        <f t="shared" si="36"/>
        <v>0.999999989644892+0.000167495743202987i</v>
      </c>
      <c r="AA53" s="160">
        <f t="shared" si="48"/>
        <v>1.000000003672304</v>
      </c>
      <c r="AB53" s="160">
        <f t="shared" si="49"/>
        <v>1.6749574337106897E-4</v>
      </c>
      <c r="AC53" s="171" t="str">
        <f t="shared" si="50"/>
        <v>6.87893080843592-0.243675245616803i</v>
      </c>
      <c r="AD53" s="190">
        <f t="shared" si="51"/>
        <v>16.755865014214297</v>
      </c>
      <c r="AE53" s="169">
        <f t="shared" si="52"/>
        <v>-2.0287640890821153</v>
      </c>
      <c r="AF53" s="98" t="str">
        <f t="shared" si="37"/>
        <v>-0.0000816326530612245</v>
      </c>
      <c r="AG53" s="98" t="str">
        <f t="shared" si="38"/>
        <v>3.12553180772188E-06i</v>
      </c>
      <c r="AH53" s="98">
        <f t="shared" si="53"/>
        <v>3.1255318077218799E-6</v>
      </c>
      <c r="AI53" s="98">
        <f t="shared" si="54"/>
        <v>1.5707963267948966</v>
      </c>
      <c r="AJ53" s="98" t="str">
        <f t="shared" si="39"/>
        <v>1+0.000346225952624815i</v>
      </c>
      <c r="AK53" s="98">
        <f t="shared" si="55"/>
        <v>1.0000000599362033</v>
      </c>
      <c r="AL53" s="98">
        <f t="shared" si="56"/>
        <v>3.4622593879050283E-4</v>
      </c>
      <c r="AM53" s="98" t="str">
        <f t="shared" si="40"/>
        <v>1+0.0349688212151064i</v>
      </c>
      <c r="AN53" s="98">
        <f t="shared" si="57"/>
        <v>1.0006112224321562</v>
      </c>
      <c r="AO53" s="98">
        <f t="shared" si="58"/>
        <v>3.4954578156982385E-2</v>
      </c>
      <c r="AP53" s="168" t="str">
        <f t="shared" si="59"/>
        <v>-0.904272982075943+26.1183173403363i</v>
      </c>
      <c r="AQ53" s="98">
        <f t="shared" si="60"/>
        <v>28.344106634888139</v>
      </c>
      <c r="AR53" s="169">
        <f t="shared" si="61"/>
        <v>91.982912518004611</v>
      </c>
      <c r="AS53" s="168" t="str">
        <f t="shared" si="62"/>
        <v>0.143956117365626+179.886446757957i</v>
      </c>
      <c r="AT53" s="190">
        <f t="shared" si="63"/>
        <v>45.099971649102415</v>
      </c>
      <c r="AU53" s="169">
        <f t="shared" si="64"/>
        <v>89.954148428922494</v>
      </c>
      <c r="AV53" s="225"/>
      <c r="AX53">
        <f t="shared" si="65"/>
        <v>0</v>
      </c>
      <c r="AY53">
        <f t="shared" si="66"/>
        <v>0</v>
      </c>
    </row>
    <row r="54" spans="1:51" x14ac:dyDescent="0.2">
      <c r="A54" s="98" t="s">
        <v>226</v>
      </c>
      <c r="N54" s="170">
        <v>36</v>
      </c>
      <c r="O54" s="199">
        <f t="shared" si="41"/>
        <v>22.908676527677727</v>
      </c>
      <c r="P54" s="189" t="str">
        <f t="shared" si="32"/>
        <v>6.8875</v>
      </c>
      <c r="Q54" s="160" t="str">
        <f t="shared" si="33"/>
        <v>1+0.0359848649414088i</v>
      </c>
      <c r="R54" s="160">
        <f t="shared" si="42"/>
        <v>1.0006472457888702</v>
      </c>
      <c r="S54" s="160">
        <f t="shared" si="43"/>
        <v>3.5969344604884108E-2</v>
      </c>
      <c r="T54" s="160" t="str">
        <f t="shared" si="34"/>
        <v>1+0.000057575783906254i</v>
      </c>
      <c r="U54" s="160">
        <f t="shared" si="44"/>
        <v>1.0000000016574855</v>
      </c>
      <c r="V54" s="160">
        <f t="shared" si="45"/>
        <v>5.7575783842633315E-5</v>
      </c>
      <c r="W54" s="98" t="str">
        <f t="shared" si="35"/>
        <v>1-0.000149521599479538i</v>
      </c>
      <c r="X54" s="160">
        <f t="shared" si="46"/>
        <v>1.0000000111783542</v>
      </c>
      <c r="Y54" s="160">
        <f t="shared" si="47"/>
        <v>-1.4952159836526774E-4</v>
      </c>
      <c r="Z54" s="98" t="str">
        <f t="shared" si="36"/>
        <v>0.999999989156871+0.000171397220256473i</v>
      </c>
      <c r="AA54" s="160">
        <f t="shared" si="48"/>
        <v>1.0000000038453747</v>
      </c>
      <c r="AB54" s="160">
        <f t="shared" si="49"/>
        <v>1.7139722043657603E-4</v>
      </c>
      <c r="AC54" s="171" t="str">
        <f t="shared" si="50"/>
        <v>6.87852747715746-0.249336657409904i</v>
      </c>
      <c r="AD54" s="190">
        <f t="shared" si="51"/>
        <v>16.755612228388838</v>
      </c>
      <c r="AE54" s="169">
        <f t="shared" si="52"/>
        <v>-2.0759800821788392</v>
      </c>
      <c r="AF54" s="98" t="str">
        <f t="shared" si="37"/>
        <v>-0.0000816326530612245</v>
      </c>
      <c r="AG54" s="98" t="str">
        <f t="shared" si="38"/>
        <v>0.0000031983347959924i</v>
      </c>
      <c r="AH54" s="98">
        <f t="shared" si="53"/>
        <v>3.1983347959924E-6</v>
      </c>
      <c r="AI54" s="98">
        <f t="shared" si="54"/>
        <v>1.5707963267948966</v>
      </c>
      <c r="AJ54" s="98" t="str">
        <f t="shared" si="39"/>
        <v>1+0.000354290591066702i</v>
      </c>
      <c r="AK54" s="98">
        <f t="shared" si="55"/>
        <v>1.0000000627609096</v>
      </c>
      <c r="AL54" s="98">
        <f t="shared" si="56"/>
        <v>3.5429057624296946E-4</v>
      </c>
      <c r="AM54" s="98" t="str">
        <f t="shared" si="40"/>
        <v>1+0.0357833496977369i</v>
      </c>
      <c r="AN54" s="98">
        <f t="shared" si="57"/>
        <v>1.0006400192454781</v>
      </c>
      <c r="AO54" s="98">
        <f t="shared" si="58"/>
        <v>3.5768088513151969E-2</v>
      </c>
      <c r="AP54" s="168" t="str">
        <f t="shared" si="59"/>
        <v>-0.904272976967331+25.5238062729791i</v>
      </c>
      <c r="AQ54" s="98">
        <f t="shared" si="60"/>
        <v>28.144356579909356</v>
      </c>
      <c r="AR54" s="169">
        <f t="shared" si="61"/>
        <v>92.029061158313965</v>
      </c>
      <c r="AS54" s="168" t="str">
        <f t="shared" si="62"/>
        <v>0.143954021561787+175.791671171794i</v>
      </c>
      <c r="AT54" s="190">
        <f t="shared" si="63"/>
        <v>44.899968808298205</v>
      </c>
      <c r="AU54" s="169">
        <f t="shared" si="64"/>
        <v>89.953081076135149</v>
      </c>
      <c r="AV54" s="225"/>
      <c r="AX54">
        <f t="shared" si="65"/>
        <v>0</v>
      </c>
      <c r="AY54">
        <f t="shared" si="66"/>
        <v>0</v>
      </c>
    </row>
    <row r="55" spans="1:51" x14ac:dyDescent="0.2">
      <c r="A55" s="98" t="s">
        <v>224</v>
      </c>
      <c r="B55" s="187">
        <f>RFBT</f>
        <v>47000</v>
      </c>
      <c r="C55" s="206" t="s">
        <v>36</v>
      </c>
      <c r="E55" s="98" t="s">
        <v>227</v>
      </c>
      <c r="N55" s="170">
        <v>37</v>
      </c>
      <c r="O55" s="199">
        <f t="shared" si="41"/>
        <v>23.442288153199236</v>
      </c>
      <c r="P55" s="189" t="str">
        <f t="shared" si="32"/>
        <v>6.8875</v>
      </c>
      <c r="Q55" s="160" t="str">
        <f t="shared" si="33"/>
        <v>1+0.036823060122713i</v>
      </c>
      <c r="R55" s="160">
        <f t="shared" si="42"/>
        <v>1.0006777392131798</v>
      </c>
      <c r="S55" s="160">
        <f t="shared" si="43"/>
        <v>3.6806430390766302E-2</v>
      </c>
      <c r="T55" s="160" t="str">
        <f t="shared" si="34"/>
        <v>1+0.0000589168961963408i</v>
      </c>
      <c r="U55" s="160">
        <f t="shared" si="44"/>
        <v>1.0000000017356003</v>
      </c>
      <c r="V55" s="160">
        <f t="shared" si="45"/>
        <v>5.8916896128170011E-5</v>
      </c>
      <c r="W55" s="98" t="str">
        <f t="shared" si="35"/>
        <v>1-0.000153004404942021i</v>
      </c>
      <c r="X55" s="160">
        <f t="shared" si="46"/>
        <v>1.0000000117051739</v>
      </c>
      <c r="Y55" s="160">
        <f t="shared" si="47"/>
        <v>-1.530044037480589E-4</v>
      </c>
      <c r="Z55" s="98" t="str">
        <f t="shared" si="36"/>
        <v>0.99999998864585+0.00017538957438485i</v>
      </c>
      <c r="AA55" s="160">
        <f t="shared" si="48"/>
        <v>1.0000000040266015</v>
      </c>
      <c r="AB55" s="160">
        <f t="shared" si="49"/>
        <v>1.753895745778339E-4</v>
      </c>
      <c r="AC55" s="171" t="str">
        <f t="shared" si="50"/>
        <v>6.87810518778167-0.255128904258675i</v>
      </c>
      <c r="AD55" s="190">
        <f t="shared" si="51"/>
        <v>16.755347544904119</v>
      </c>
      <c r="AE55" s="169">
        <f t="shared" si="52"/>
        <v>-2.1242930198183889</v>
      </c>
      <c r="AF55" s="98" t="str">
        <f t="shared" si="37"/>
        <v>-0.0000816326530612245</v>
      </c>
      <c r="AG55" s="98" t="str">
        <f t="shared" si="38"/>
        <v>3.27283358370672E-06i</v>
      </c>
      <c r="AH55" s="98">
        <f t="shared" si="53"/>
        <v>3.27283358370672E-6</v>
      </c>
      <c r="AI55" s="98">
        <f t="shared" si="54"/>
        <v>1.5707963267948966</v>
      </c>
      <c r="AJ55" s="98" t="str">
        <f t="shared" si="39"/>
        <v>1+0.000362543079069563i</v>
      </c>
      <c r="AK55" s="98">
        <f t="shared" si="55"/>
        <v>1.00000006571874</v>
      </c>
      <c r="AL55" s="98">
        <f t="shared" si="56"/>
        <v>3.6254306318564753E-4</v>
      </c>
      <c r="AM55" s="98" t="str">
        <f t="shared" si="40"/>
        <v>1+0.0366168509860258i</v>
      </c>
      <c r="AN55" s="98">
        <f t="shared" si="57"/>
        <v>1.0006701723225955</v>
      </c>
      <c r="AO55" s="98">
        <f t="shared" si="58"/>
        <v>3.6600498923556352E-2</v>
      </c>
      <c r="AP55" s="168" t="str">
        <f t="shared" si="59"/>
        <v>-0.904272971617959+24.9428282655551i</v>
      </c>
      <c r="AQ55" s="98">
        <f t="shared" si="60"/>
        <v>27.94461828905667</v>
      </c>
      <c r="AR55" s="169">
        <f t="shared" si="61"/>
        <v>92.076281928980592</v>
      </c>
      <c r="AS55" s="168" t="str">
        <f t="shared" si="62"/>
        <v>0.143951827247149+171.790102663661i</v>
      </c>
      <c r="AT55" s="190">
        <f t="shared" si="63"/>
        <v>44.699965833960761</v>
      </c>
      <c r="AU55" s="169">
        <f t="shared" si="64"/>
        <v>89.951988909162225</v>
      </c>
      <c r="AV55" s="225"/>
      <c r="AX55">
        <f t="shared" si="65"/>
        <v>0</v>
      </c>
      <c r="AY55">
        <f t="shared" si="66"/>
        <v>0</v>
      </c>
    </row>
    <row r="56" spans="1:51" x14ac:dyDescent="0.2">
      <c r="A56" s="98" t="s">
        <v>225</v>
      </c>
      <c r="B56" s="187">
        <f>RFBB</f>
        <v>2000</v>
      </c>
      <c r="C56" s="206" t="s">
        <v>36</v>
      </c>
      <c r="E56" s="98" t="s">
        <v>228</v>
      </c>
      <c r="N56" s="170">
        <v>38</v>
      </c>
      <c r="O56" s="199">
        <f t="shared" si="41"/>
        <v>23.988329190194907</v>
      </c>
      <c r="P56" s="189" t="str">
        <f t="shared" si="32"/>
        <v>6.8875</v>
      </c>
      <c r="Q56" s="160" t="str">
        <f t="shared" si="33"/>
        <v>1+0.037680779377905i</v>
      </c>
      <c r="R56" s="160">
        <f t="shared" si="42"/>
        <v>1.0007096687523942</v>
      </c>
      <c r="S56" s="160">
        <f t="shared" si="43"/>
        <v>3.7662960981505005E-2</v>
      </c>
      <c r="T56" s="160" t="str">
        <f t="shared" si="34"/>
        <v>1+0.000060289247004648i</v>
      </c>
      <c r="U56" s="160">
        <f t="shared" si="44"/>
        <v>1.0000000018173967</v>
      </c>
      <c r="V56" s="160">
        <f t="shared" si="45"/>
        <v>6.0289246931601684E-5</v>
      </c>
      <c r="W56" s="98" t="str">
        <f t="shared" si="35"/>
        <v>1-0.000156568335365256i</v>
      </c>
      <c r="X56" s="160">
        <f t="shared" si="46"/>
        <v>1.0000000122568218</v>
      </c>
      <c r="Y56" s="160">
        <f t="shared" si="47"/>
        <v>-1.5656833408590255E-4</v>
      </c>
      <c r="Z56" s="98" t="str">
        <f t="shared" si="36"/>
        <v>0.999999988110745+0.000179474922387121i</v>
      </c>
      <c r="AA56" s="160">
        <f t="shared" si="48"/>
        <v>1.000000004216369</v>
      </c>
      <c r="AB56" s="160">
        <f t="shared" si="49"/>
        <v>1.7947492259390706E-4</v>
      </c>
      <c r="AC56" s="171" t="str">
        <f t="shared" si="50"/>
        <v>6.87766305168565-0.261054959822929i</v>
      </c>
      <c r="AD56" s="190">
        <f t="shared" si="51"/>
        <v>16.755070404560048</v>
      </c>
      <c r="AE56" s="169">
        <f t="shared" si="52"/>
        <v>-2.1737282491485135</v>
      </c>
      <c r="AF56" s="98" t="str">
        <f t="shared" si="37"/>
        <v>-0.0000816326530612245</v>
      </c>
      <c r="AG56" s="98" t="str">
        <f t="shared" si="38"/>
        <v>3.34906767110819E-06i</v>
      </c>
      <c r="AH56" s="98">
        <f t="shared" si="53"/>
        <v>3.3490676711081898E-6</v>
      </c>
      <c r="AI56" s="98">
        <f t="shared" si="54"/>
        <v>1.5707963267948966</v>
      </c>
      <c r="AJ56" s="98" t="str">
        <f t="shared" si="39"/>
        <v>1+0.00037098779221177i</v>
      </c>
      <c r="AK56" s="98">
        <f t="shared" si="55"/>
        <v>1.0000000688159687</v>
      </c>
      <c r="AL56" s="98">
        <f t="shared" si="56"/>
        <v>3.7098777519184797E-4</v>
      </c>
      <c r="AM56" s="98" t="str">
        <f t="shared" si="40"/>
        <v>1+0.0374697670133887i</v>
      </c>
      <c r="AN56" s="98">
        <f t="shared" si="57"/>
        <v>1.0007017454966478</v>
      </c>
      <c r="AO56" s="98">
        <f t="shared" si="58"/>
        <v>3.7452246126313732E-2</v>
      </c>
      <c r="AP56" s="168" t="str">
        <f t="shared" si="59"/>
        <v>-0.904272966016482+24.3750752758348i</v>
      </c>
      <c r="AQ56" s="98">
        <f t="shared" si="60"/>
        <v>27.7448923152707</v>
      </c>
      <c r="AR56" s="169">
        <f t="shared" si="61"/>
        <v>92.124599602553531</v>
      </c>
      <c r="AS56" s="168" t="str">
        <f t="shared" si="62"/>
        <v>0.143949529804172+167.879619549478i</v>
      </c>
      <c r="AT56" s="190">
        <f t="shared" si="63"/>
        <v>44.499962719830755</v>
      </c>
      <c r="AU56" s="169">
        <f t="shared" si="64"/>
        <v>89.95087135340502</v>
      </c>
      <c r="AV56" s="225"/>
      <c r="AX56">
        <f t="shared" si="65"/>
        <v>0</v>
      </c>
      <c r="AY56">
        <f t="shared" si="66"/>
        <v>0</v>
      </c>
    </row>
    <row r="57" spans="1:51" x14ac:dyDescent="0.2">
      <c r="A57" s="98" t="s">
        <v>214</v>
      </c>
      <c r="B57" s="187">
        <f>RCOMP</f>
        <v>11300</v>
      </c>
      <c r="C57" s="206" t="s">
        <v>36</v>
      </c>
      <c r="E57" s="98" t="s">
        <v>221</v>
      </c>
      <c r="N57" s="170">
        <v>39</v>
      </c>
      <c r="O57" s="199">
        <f t="shared" si="41"/>
        <v>24.547089156850316</v>
      </c>
      <c r="P57" s="189" t="str">
        <f t="shared" si="32"/>
        <v>6.8875</v>
      </c>
      <c r="Q57" s="160" t="str">
        <f t="shared" si="33"/>
        <v>1+0.0385584774810873i</v>
      </c>
      <c r="R57" s="160">
        <f t="shared" si="42"/>
        <v>1.0007431019925441</v>
      </c>
      <c r="S57" s="160">
        <f t="shared" si="43"/>
        <v>3.8539385490974763E-2</v>
      </c>
      <c r="T57" s="160" t="str">
        <f t="shared" si="34"/>
        <v>1+0.0000616935639697396i</v>
      </c>
      <c r="U57" s="160">
        <f t="shared" si="44"/>
        <v>1.0000000019030479</v>
      </c>
      <c r="V57" s="160">
        <f t="shared" si="45"/>
        <v>6.1693563891469062E-5</v>
      </c>
      <c r="W57" s="98" t="str">
        <f t="shared" si="35"/>
        <v>1-0.000160215280392329i</v>
      </c>
      <c r="X57" s="160">
        <f t="shared" si="46"/>
        <v>1.0000000128344679</v>
      </c>
      <c r="Y57" s="160">
        <f t="shared" si="47"/>
        <v>-1.6021527902147708E-4</v>
      </c>
      <c r="Z57" s="98" t="str">
        <f t="shared" si="36"/>
        <v>0.999999987550422+0.000183655430368873i</v>
      </c>
      <c r="AA57" s="160">
        <f t="shared" si="48"/>
        <v>1.0000000044150805</v>
      </c>
      <c r="AB57" s="160">
        <f t="shared" si="49"/>
        <v>1.8365543059044819E-4</v>
      </c>
      <c r="AC57" s="171" t="str">
        <f t="shared" si="50"/>
        <v>6.8772001388329-0.267117861771539i</v>
      </c>
      <c r="AD57" s="190">
        <f t="shared" si="51"/>
        <v>16.754780221948501</v>
      </c>
      <c r="AE57" s="169">
        <f t="shared" si="52"/>
        <v>-2.224311693185407</v>
      </c>
      <c r="AF57" s="98" t="str">
        <f t="shared" si="37"/>
        <v>-0.0000816326530612245</v>
      </c>
      <c r="AG57" s="98" t="str">
        <f t="shared" si="38"/>
        <v>3.42707747851904E-06i</v>
      </c>
      <c r="AH57" s="98">
        <f t="shared" si="53"/>
        <v>3.4270774785190402E-6</v>
      </c>
      <c r="AI57" s="98">
        <f t="shared" si="54"/>
        <v>1.5707963267948966</v>
      </c>
      <c r="AJ57" s="98" t="str">
        <f t="shared" si="39"/>
        <v>1+0.000379629207992012i</v>
      </c>
      <c r="AK57" s="98">
        <f t="shared" si="55"/>
        <v>1.0000000720591651</v>
      </c>
      <c r="AL57" s="98">
        <f t="shared" si="56"/>
        <v>3.7962918975483704E-4</v>
      </c>
      <c r="AM57" s="98" t="str">
        <f t="shared" si="40"/>
        <v>1+0.0383425500071932i</v>
      </c>
      <c r="AN57" s="98">
        <f t="shared" si="57"/>
        <v>1.0007348056008916</v>
      </c>
      <c r="AO57" s="98">
        <f t="shared" si="58"/>
        <v>3.8323776782884594E-2</v>
      </c>
      <c r="AP57" s="168" t="str">
        <f t="shared" si="59"/>
        <v>-0.904272960151012+23.8202462736677i</v>
      </c>
      <c r="AQ57" s="98">
        <f t="shared" si="60"/>
        <v>27.545179237408156</v>
      </c>
      <c r="AR57" s="169">
        <f t="shared" si="61"/>
        <v>92.174039514307822</v>
      </c>
      <c r="AS57" s="168" t="str">
        <f t="shared" si="62"/>
        <v>0.143947124400209+164.058148439875i</v>
      </c>
      <c r="AT57" s="190">
        <f t="shared" si="63"/>
        <v>44.299959459356671</v>
      </c>
      <c r="AU57" s="169">
        <f t="shared" si="64"/>
        <v>89.949727821122423</v>
      </c>
      <c r="AV57" s="225"/>
      <c r="AX57">
        <f t="shared" si="65"/>
        <v>0</v>
      </c>
      <c r="AY57">
        <f t="shared" si="66"/>
        <v>0</v>
      </c>
    </row>
    <row r="58" spans="1:51" x14ac:dyDescent="0.2">
      <c r="A58" s="98" t="s">
        <v>219</v>
      </c>
      <c r="B58" s="187">
        <f>CCOMP</f>
        <v>2.2000000000000002E-8</v>
      </c>
      <c r="C58" s="206" t="s">
        <v>193</v>
      </c>
      <c r="E58" s="98" t="s">
        <v>222</v>
      </c>
      <c r="N58" s="170">
        <v>40</v>
      </c>
      <c r="O58" s="199">
        <f t="shared" si="41"/>
        <v>25.118864315095799</v>
      </c>
      <c r="P58" s="189" t="str">
        <f t="shared" si="32"/>
        <v>6.8875</v>
      </c>
      <c r="Q58" s="160" t="str">
        <f t="shared" si="33"/>
        <v>1+0.039456619799412i</v>
      </c>
      <c r="R58" s="160">
        <f t="shared" si="42"/>
        <v>1.0007781096956485</v>
      </c>
      <c r="S58" s="160">
        <f t="shared" si="43"/>
        <v>3.9436163222385072E-2</v>
      </c>
      <c r="T58" s="160" t="str">
        <f t="shared" si="34"/>
        <v>1+0.0000631305916790592i</v>
      </c>
      <c r="U58" s="160">
        <f t="shared" si="44"/>
        <v>1.0000000019927358</v>
      </c>
      <c r="V58" s="160">
        <f t="shared" si="45"/>
        <v>6.3130591595190804E-5</v>
      </c>
      <c r="W58" s="98" t="str">
        <f t="shared" si="35"/>
        <v>1-0.000163947173681767i</v>
      </c>
      <c r="X58" s="160">
        <f t="shared" si="46"/>
        <v>1.0000000134393379</v>
      </c>
      <c r="Y58" s="160">
        <f t="shared" si="47"/>
        <v>-1.6394717221287271E-4</v>
      </c>
      <c r="Z58" s="98" t="str">
        <f t="shared" si="36"/>
        <v>0.999999986963691+0.000187933314890774i</v>
      </c>
      <c r="AA58" s="160">
        <f t="shared" si="48"/>
        <v>1.0000000046231563</v>
      </c>
      <c r="AB58" s="160">
        <f t="shared" si="49"/>
        <v>1.8793331512819618E-4</v>
      </c>
      <c r="AC58" s="171" t="str">
        <f t="shared" si="50"/>
        <v>6.87671547586635-0.273320712900801i</v>
      </c>
      <c r="AD58" s="190">
        <f t="shared" si="51"/>
        <v>16.754476384232312</v>
      </c>
      <c r="AE58" s="169">
        <f t="shared" si="52"/>
        <v>-2.2760698631927809</v>
      </c>
      <c r="AF58" s="98" t="str">
        <f t="shared" si="37"/>
        <v>-0.0000816326530612245</v>
      </c>
      <c r="AG58" s="98" t="str">
        <f t="shared" si="38"/>
        <v>3.50690436777173E-06i</v>
      </c>
      <c r="AH58" s="98">
        <f t="shared" si="53"/>
        <v>3.5069043677717301E-6</v>
      </c>
      <c r="AI58" s="98">
        <f t="shared" si="54"/>
        <v>1.5707963267948966</v>
      </c>
      <c r="AJ58" s="98" t="str">
        <f t="shared" si="39"/>
        <v>1+0.00038847190820332i</v>
      </c>
      <c r="AK58" s="98">
        <f t="shared" si="55"/>
        <v>1.000000075455209</v>
      </c>
      <c r="AL58" s="98">
        <f t="shared" si="56"/>
        <v>3.8847188866183502E-4</v>
      </c>
      <c r="AM58" s="98" t="str">
        <f t="shared" si="40"/>
        <v>1+0.0392356627285353i</v>
      </c>
      <c r="AN58" s="98">
        <f t="shared" si="57"/>
        <v>1.0007694226092978</v>
      </c>
      <c r="AO58" s="98">
        <f t="shared" si="58"/>
        <v>3.921554769145854E-2</v>
      </c>
      <c r="AP58" s="168" t="str">
        <f t="shared" si="59"/>
        <v>-0.90427295400911+23.278047081373i</v>
      </c>
      <c r="AQ58" s="98">
        <f t="shared" si="60"/>
        <v>27.345479661449819</v>
      </c>
      <c r="AR58" s="169">
        <f t="shared" si="61"/>
        <v>92.224627574334761</v>
      </c>
      <c r="AS58" s="168" t="str">
        <f t="shared" si="62"/>
        <v>0.143944605977453+160.32366314087i</v>
      </c>
      <c r="AT58" s="190">
        <f t="shared" si="63"/>
        <v>44.099956045682134</v>
      </c>
      <c r="AU58" s="169">
        <f t="shared" si="64"/>
        <v>89.948557711141987</v>
      </c>
      <c r="AV58" s="225"/>
      <c r="AX58">
        <f t="shared" si="65"/>
        <v>0</v>
      </c>
      <c r="AY58">
        <f t="shared" si="66"/>
        <v>0</v>
      </c>
    </row>
    <row r="59" spans="1:51" x14ac:dyDescent="0.2">
      <c r="A59" s="98" t="s">
        <v>220</v>
      </c>
      <c r="B59" s="187">
        <f>CHF</f>
        <v>2.1999999999999999E-10</v>
      </c>
      <c r="C59" s="206" t="s">
        <v>193</v>
      </c>
      <c r="E59" s="98" t="s">
        <v>223</v>
      </c>
      <c r="N59" s="170">
        <v>41</v>
      </c>
      <c r="O59" s="199">
        <f t="shared" si="41"/>
        <v>25.703957827688647</v>
      </c>
      <c r="P59" s="189" t="str">
        <f t="shared" si="32"/>
        <v>6.8875</v>
      </c>
      <c r="Q59" s="160" t="str">
        <f t="shared" si="33"/>
        <v>1+0.0403756825398242i</v>
      </c>
      <c r="R59" s="160">
        <f t="shared" si="42"/>
        <v>1.0008147659485029</v>
      </c>
      <c r="S59" s="160">
        <f t="shared" si="43"/>
        <v>4.0353763886284484E-2</v>
      </c>
      <c r="T59" s="160" t="str">
        <f t="shared" si="34"/>
        <v>1+0.0000646010920637188i</v>
      </c>
      <c r="U59" s="160">
        <f t="shared" si="44"/>
        <v>1.0000000020866504</v>
      </c>
      <c r="V59" s="160">
        <f t="shared" si="45"/>
        <v>6.46010919738522E-5</v>
      </c>
      <c r="W59" s="98" t="str">
        <f t="shared" si="35"/>
        <v>1-0.000167765993932788i</v>
      </c>
      <c r="X59" s="160">
        <f t="shared" si="46"/>
        <v>1.0000000140727143</v>
      </c>
      <c r="Y59" s="160">
        <f t="shared" si="47"/>
        <v>-1.6776599235883942E-4</v>
      </c>
      <c r="Z59" s="98" t="str">
        <f t="shared" si="36"/>
        <v>0.999999986349309+0.000192310844143821i</v>
      </c>
      <c r="AA59" s="160">
        <f t="shared" si="48"/>
        <v>1.0000000048410396</v>
      </c>
      <c r="AB59" s="160">
        <f t="shared" si="49"/>
        <v>1.9231084439822341E-4</v>
      </c>
      <c r="AC59" s="171" t="str">
        <f t="shared" si="50"/>
        <v>6.87620804411562-0.279666682252614i</v>
      </c>
      <c r="AD59" s="190">
        <f t="shared" si="51"/>
        <v>16.754158249867871</v>
      </c>
      <c r="AE59" s="169">
        <f t="shared" si="52"/>
        <v>-2.3290298712761075</v>
      </c>
      <c r="AF59" s="98" t="str">
        <f t="shared" si="37"/>
        <v>-0.0000816326530612245</v>
      </c>
      <c r="AG59" s="98" t="str">
        <f t="shared" si="38"/>
        <v>3.58859066413958E-06i</v>
      </c>
      <c r="AH59" s="98">
        <f t="shared" si="53"/>
        <v>3.5885906641395799E-6</v>
      </c>
      <c r="AI59" s="98">
        <f t="shared" si="54"/>
        <v>1.5707963267948966</v>
      </c>
      <c r="AJ59" s="98" t="str">
        <f t="shared" si="39"/>
        <v>1+0.000397520581362389i</v>
      </c>
      <c r="AK59" s="98">
        <f t="shared" si="55"/>
        <v>1.0000000790113031</v>
      </c>
      <c r="AL59" s="98">
        <f t="shared" si="56"/>
        <v>3.9752056042331073E-4</v>
      </c>
      <c r="AM59" s="98" t="str">
        <f t="shared" si="40"/>
        <v>1+0.0401495787176012i</v>
      </c>
      <c r="AN59" s="98">
        <f t="shared" si="57"/>
        <v>1.0008056697837002</v>
      </c>
      <c r="AO59" s="98">
        <f t="shared" si="58"/>
        <v>4.0128026004053317E-2</v>
      </c>
      <c r="AP59" s="168" t="str">
        <f t="shared" si="59"/>
        <v>-0.904272947577747+22.7481902177619i</v>
      </c>
      <c r="AQ59" s="98">
        <f t="shared" si="60"/>
        <v>27.145794221763431</v>
      </c>
      <c r="AR59" s="169">
        <f t="shared" si="61"/>
        <v>92.276390279841536</v>
      </c>
      <c r="AS59" s="168" t="str">
        <f t="shared" si="62"/>
        <v>0.143941969242593+156.674183579546i</v>
      </c>
      <c r="AT59" s="190">
        <f t="shared" si="63"/>
        <v>43.899952471631281</v>
      </c>
      <c r="AU59" s="169">
        <f t="shared" si="64"/>
        <v>89.947360408565444</v>
      </c>
      <c r="AV59" s="225"/>
      <c r="AX59">
        <f t="shared" si="65"/>
        <v>0</v>
      </c>
      <c r="AY59">
        <f t="shared" si="66"/>
        <v>0</v>
      </c>
    </row>
    <row r="60" spans="1:51" x14ac:dyDescent="0.2">
      <c r="N60" s="170">
        <v>42</v>
      </c>
      <c r="O60" s="199">
        <f t="shared" si="41"/>
        <v>26.302679918953825</v>
      </c>
      <c r="P60" s="189" t="str">
        <f t="shared" si="32"/>
        <v>6.8875</v>
      </c>
      <c r="Q60" s="160" t="str">
        <f t="shared" si="33"/>
        <v>1+0.0413161530015545i</v>
      </c>
      <c r="R60" s="160">
        <f t="shared" si="42"/>
        <v>1.0008531483183973</v>
      </c>
      <c r="S60" s="160">
        <f t="shared" si="43"/>
        <v>4.1292667822274524E-2</v>
      </c>
      <c r="T60" s="160" t="str">
        <f t="shared" si="34"/>
        <v>1+0.0000661058448024872i</v>
      </c>
      <c r="U60" s="160">
        <f t="shared" si="44"/>
        <v>1.0000000021849913</v>
      </c>
      <c r="V60" s="160">
        <f t="shared" si="45"/>
        <v>6.6105844706193398E-5</v>
      </c>
      <c r="W60" s="98" t="str">
        <f t="shared" si="35"/>
        <v>1-0.000171673765934437i</v>
      </c>
      <c r="X60" s="160">
        <f t="shared" si="46"/>
        <v>1.0000000147359409</v>
      </c>
      <c r="Y60" s="160">
        <f t="shared" si="47"/>
        <v>-1.7167376424792071E-4</v>
      </c>
      <c r="Z60" s="98" t="str">
        <f t="shared" si="36"/>
        <v>0.999999985705972+0.000196790339151968i</v>
      </c>
      <c r="AA60" s="160">
        <f t="shared" si="48"/>
        <v>1.0000000050691911</v>
      </c>
      <c r="AB60" s="160">
        <f t="shared" si="49"/>
        <v>1.96790339424565E-4</v>
      </c>
      <c r="AC60" s="171" t="str">
        <f t="shared" si="50"/>
        <v>6.87567677751526-0.286159006230637i</v>
      </c>
      <c r="AD60" s="190">
        <f t="shared" si="51"/>
        <v>16.753825147269218</v>
      </c>
      <c r="AE60" s="169">
        <f t="shared" si="52"/>
        <v>-2.3832194431916847</v>
      </c>
      <c r="AF60" s="98" t="str">
        <f t="shared" si="37"/>
        <v>-0.0000816326530612245</v>
      </c>
      <c r="AG60" s="98" t="str">
        <f t="shared" si="38"/>
        <v>3.67217967877817E-06i</v>
      </c>
      <c r="AH60" s="98">
        <f t="shared" si="53"/>
        <v>3.67217967877817E-6</v>
      </c>
      <c r="AI60" s="98">
        <f t="shared" si="54"/>
        <v>1.5707963267948966</v>
      </c>
      <c r="AJ60" s="98" t="str">
        <f t="shared" si="39"/>
        <v>1+0.000406780025195503i</v>
      </c>
      <c r="AK60" s="98">
        <f t="shared" si="55"/>
        <v>1.0000000827349911</v>
      </c>
      <c r="AL60" s="98">
        <f t="shared" si="56"/>
        <v>4.0678000275887649E-4</v>
      </c>
      <c r="AM60" s="98" t="str">
        <f t="shared" si="40"/>
        <v>1+0.0410847825447458i</v>
      </c>
      <c r="AN60" s="98">
        <f t="shared" si="57"/>
        <v>1.0008436238277931</v>
      </c>
      <c r="AO60" s="98">
        <f t="shared" si="58"/>
        <v>4.1061689447325009E-2</v>
      </c>
      <c r="AP60" s="168" t="str">
        <f t="shared" si="59"/>
        <v>-0.90427294084329+22.230394745712i</v>
      </c>
      <c r="AQ60" s="98">
        <f t="shared" si="60"/>
        <v>26.946123582425365</v>
      </c>
      <c r="AR60" s="169">
        <f t="shared" si="61"/>
        <v>92.329354727660188</v>
      </c>
      <c r="AS60" s="168" t="str">
        <f t="shared" si="62"/>
        <v>0.143939208656081+153.107774754202i</v>
      </c>
      <c r="AT60" s="190">
        <f t="shared" si="63"/>
        <v>43.699948729694569</v>
      </c>
      <c r="AU60" s="169">
        <f t="shared" si="64"/>
        <v>89.946135284468511</v>
      </c>
      <c r="AV60" s="225"/>
      <c r="AX60">
        <f t="shared" si="65"/>
        <v>0</v>
      </c>
      <c r="AY60">
        <f t="shared" si="66"/>
        <v>0</v>
      </c>
    </row>
    <row r="61" spans="1:51" x14ac:dyDescent="0.2">
      <c r="A61" s="98" t="s">
        <v>264</v>
      </c>
      <c r="B61" s="211">
        <f>-(RFBB*gm_ea)/(RFBB+RFBT)</f>
        <v>-8.163265306122449E-5</v>
      </c>
      <c r="C61" s="98" t="s">
        <v>180</v>
      </c>
      <c r="N61" s="170">
        <v>43</v>
      </c>
      <c r="O61" s="199">
        <f t="shared" si="41"/>
        <v>26.915348039269158</v>
      </c>
      <c r="P61" s="189" t="str">
        <f t="shared" si="32"/>
        <v>6.8875</v>
      </c>
      <c r="Q61" s="160" t="str">
        <f t="shared" si="33"/>
        <v>1+0.0422785298344902i</v>
      </c>
      <c r="R61" s="160">
        <f t="shared" si="42"/>
        <v>1.0008933380160774</v>
      </c>
      <c r="S61" s="160">
        <f t="shared" si="43"/>
        <v>4.2253366224419463E-2</v>
      </c>
      <c r="T61" s="160" t="str">
        <f t="shared" si="34"/>
        <v>1+0.0000676456477351844i</v>
      </c>
      <c r="U61" s="160">
        <f t="shared" si="44"/>
        <v>1.0000000022879667</v>
      </c>
      <c r="V61" s="160">
        <f t="shared" si="45"/>
        <v>6.7645647632003737E-5</v>
      </c>
      <c r="W61" s="98" t="str">
        <f t="shared" si="35"/>
        <v>1-0.000175672561639156i</v>
      </c>
      <c r="X61" s="160">
        <f t="shared" si="46"/>
        <v>1.0000000154304243</v>
      </c>
      <c r="Y61" s="160">
        <f t="shared" si="47"/>
        <v>-1.7567255983202124E-4</v>
      </c>
      <c r="Z61" s="98" t="str">
        <f t="shared" si="36"/>
        <v>0.999999985032315+0.000201374175002762i</v>
      </c>
      <c r="AA61" s="160">
        <f t="shared" si="48"/>
        <v>1.0000000053080944</v>
      </c>
      <c r="AB61" s="160">
        <f t="shared" si="49"/>
        <v>2.0137417529485501E-4</v>
      </c>
      <c r="AC61" s="171" t="str">
        <f t="shared" si="50"/>
        <v>6.87512056042994-0.292800989712421i</v>
      </c>
      <c r="AD61" s="190">
        <f t="shared" si="51"/>
        <v>16.75347637341072</v>
      </c>
      <c r="AE61" s="169">
        <f t="shared" si="52"/>
        <v>-2.438666931370066</v>
      </c>
      <c r="AF61" s="98" t="str">
        <f t="shared" si="37"/>
        <v>-0.0000816326530612245</v>
      </c>
      <c r="AG61" s="98" t="str">
        <f t="shared" si="38"/>
        <v>3.75771573168949E-06i</v>
      </c>
      <c r="AH61" s="98">
        <f t="shared" si="53"/>
        <v>3.7577157316894899E-6</v>
      </c>
      <c r="AI61" s="98">
        <f t="shared" si="54"/>
        <v>1.5707963267948966</v>
      </c>
      <c r="AJ61" s="98" t="str">
        <f t="shared" si="39"/>
        <v>1+0.000416255149182348i</v>
      </c>
      <c r="AK61" s="98">
        <f t="shared" si="55"/>
        <v>1.0000000866341709</v>
      </c>
      <c r="AL61" s="98">
        <f t="shared" si="56"/>
        <v>4.1625512514106963E-4</v>
      </c>
      <c r="AM61" s="98" t="str">
        <f t="shared" si="40"/>
        <v>1+0.0420417700674171i</v>
      </c>
      <c r="AN61" s="98">
        <f t="shared" si="57"/>
        <v>1.0008833650482964</v>
      </c>
      <c r="AO61" s="98">
        <f t="shared" si="58"/>
        <v>4.2017026547077174E-2</v>
      </c>
      <c r="AP61" s="168" t="str">
        <f t="shared" si="59"/>
        <v>-0.904272933791445+21.72438612321i</v>
      </c>
      <c r="AQ61" s="98">
        <f t="shared" si="60"/>
        <v>26.746468438602285</v>
      </c>
      <c r="AR61" s="169">
        <f t="shared" si="61"/>
        <v>92.383548626965393</v>
      </c>
      <c r="AS61" s="168" t="str">
        <f t="shared" si="62"/>
        <v>0.143936318420808+149.622545708384i</v>
      </c>
      <c r="AT61" s="190">
        <f t="shared" si="63"/>
        <v>43.499944812012991</v>
      </c>
      <c r="AU61" s="169">
        <f t="shared" si="64"/>
        <v>89.944881695595328</v>
      </c>
      <c r="AV61" s="225"/>
      <c r="AX61">
        <f t="shared" si="65"/>
        <v>0</v>
      </c>
      <c r="AY61">
        <f t="shared" si="66"/>
        <v>0</v>
      </c>
    </row>
    <row r="62" spans="1:51" x14ac:dyDescent="0.2">
      <c r="A62" s="98" t="s">
        <v>263</v>
      </c>
      <c r="B62" s="211">
        <f>1/(RCOMP*CCOMP)</f>
        <v>4022.5261464199511</v>
      </c>
      <c r="E62" s="98" t="s">
        <v>278</v>
      </c>
      <c r="N62" s="170">
        <v>44</v>
      </c>
      <c r="O62" s="199">
        <f t="shared" si="41"/>
        <v>27.542287033381665</v>
      </c>
      <c r="P62" s="189" t="str">
        <f t="shared" si="32"/>
        <v>6.8875</v>
      </c>
      <c r="Q62" s="160" t="str">
        <f t="shared" si="33"/>
        <v>1+0.0432633233035667i</v>
      </c>
      <c r="R62" s="160">
        <f t="shared" si="42"/>
        <v>1.0009354200662843</v>
      </c>
      <c r="S62" s="160">
        <f t="shared" si="43"/>
        <v>4.3236361370339309E-2</v>
      </c>
      <c r="T62" s="160" t="str">
        <f t="shared" si="34"/>
        <v>1+0.0000692213172857068i</v>
      </c>
      <c r="U62" s="160">
        <f t="shared" si="44"/>
        <v>1.0000000023957953</v>
      </c>
      <c r="V62" s="160">
        <f t="shared" si="45"/>
        <v>6.9221317175146722E-5</v>
      </c>
      <c r="W62" s="98" t="str">
        <f t="shared" si="35"/>
        <v>1-0.000179764501261358i</v>
      </c>
      <c r="X62" s="160">
        <f t="shared" si="46"/>
        <v>1.0000000161576379</v>
      </c>
      <c r="Y62" s="160">
        <f t="shared" si="47"/>
        <v>-1.7976449932497821E-4</v>
      </c>
      <c r="Z62" s="98" t="str">
        <f t="shared" si="36"/>
        <v>0.99999998432691+0.000206064782106645i</v>
      </c>
      <c r="AA62" s="160">
        <f t="shared" si="48"/>
        <v>1.0000000055582572</v>
      </c>
      <c r="AB62" s="160">
        <f t="shared" si="49"/>
        <v>2.0606478241962822E-4</v>
      </c>
      <c r="AC62" s="171" t="str">
        <f t="shared" si="50"/>
        <v>6.87453822538268-0.299596007155337i</v>
      </c>
      <c r="AD62" s="190">
        <f t="shared" si="51"/>
        <v>16.753111192365562</v>
      </c>
      <c r="AE62" s="169">
        <f t="shared" si="52"/>
        <v>-2.4954013281529681</v>
      </c>
      <c r="AF62" s="98" t="str">
        <f t="shared" si="37"/>
        <v>-0.0000816326530612245</v>
      </c>
      <c r="AG62" s="98" t="str">
        <f t="shared" si="38"/>
        <v>0.000003845244175221i</v>
      </c>
      <c r="AH62" s="98">
        <f t="shared" si="53"/>
        <v>3.8452441752210001E-6</v>
      </c>
      <c r="AI62" s="98">
        <f t="shared" si="54"/>
        <v>1.5707963267948966</v>
      </c>
      <c r="AJ62" s="98" t="str">
        <f t="shared" si="39"/>
        <v>1+0.000425950977159077i</v>
      </c>
      <c r="AK62" s="98">
        <f t="shared" si="55"/>
        <v>1.0000000907171134</v>
      </c>
      <c r="AL62" s="98">
        <f t="shared" si="56"/>
        <v>4.2595095139838322E-4</v>
      </c>
      <c r="AM62" s="98" t="str">
        <f t="shared" si="40"/>
        <v>1+0.0430210486930668i</v>
      </c>
      <c r="AN62" s="98">
        <f t="shared" si="57"/>
        <v>1.000924977523616</v>
      </c>
      <c r="AO62" s="98">
        <f t="shared" si="58"/>
        <v>4.2994536856457738E-2</v>
      </c>
      <c r="AP62" s="168" t="str">
        <f t="shared" si="59"/>
        <v>-0.904272926407257+21.2298960577866i</v>
      </c>
      <c r="AQ62" s="98">
        <f t="shared" si="60"/>
        <v>26.546829517996876</v>
      </c>
      <c r="AR62" s="169">
        <f t="shared" si="61"/>
        <v>92.439000312199965</v>
      </c>
      <c r="AS62" s="168" t="str">
        <f t="shared" si="62"/>
        <v>0.143933292470348+146.216648528285i</v>
      </c>
      <c r="AT62" s="190">
        <f t="shared" si="63"/>
        <v>43.299940710362421</v>
      </c>
      <c r="AU62" s="169">
        <f t="shared" si="64"/>
        <v>89.943598984047014</v>
      </c>
      <c r="AV62" s="225"/>
      <c r="AX62">
        <f t="shared" si="65"/>
        <v>0</v>
      </c>
      <c r="AY62">
        <f t="shared" si="66"/>
        <v>0</v>
      </c>
    </row>
    <row r="63" spans="1:51" x14ac:dyDescent="0.2">
      <c r="A63" s="98" t="s">
        <v>268</v>
      </c>
      <c r="B63" s="211">
        <f>(CCOMP+CHF)</f>
        <v>2.2220000000000003E-8</v>
      </c>
      <c r="E63" s="98" t="s">
        <v>279</v>
      </c>
      <c r="N63" s="170">
        <v>45</v>
      </c>
      <c r="O63" s="199">
        <f t="shared" si="41"/>
        <v>28.183829312644548</v>
      </c>
      <c r="P63" s="189" t="str">
        <f t="shared" si="32"/>
        <v>6.8875</v>
      </c>
      <c r="Q63" s="160" t="str">
        <f t="shared" si="33"/>
        <v>1+0.0442710555593165i</v>
      </c>
      <c r="R63" s="160">
        <f t="shared" si="42"/>
        <v>1.0009794834862182</v>
      </c>
      <c r="S63" s="160">
        <f t="shared" si="43"/>
        <v>4.4242166853958924E-2</v>
      </c>
      <c r="T63" s="160" t="str">
        <f t="shared" si="34"/>
        <v>1+0.0000708336888949064i</v>
      </c>
      <c r="U63" s="160">
        <f t="shared" si="44"/>
        <v>1.0000000025087057</v>
      </c>
      <c r="V63" s="160">
        <f t="shared" si="45"/>
        <v>7.0833688776439154E-5</v>
      </c>
      <c r="W63" s="98" t="str">
        <f t="shared" si="35"/>
        <v>1-0.000183951754401592i</v>
      </c>
      <c r="X63" s="160">
        <f t="shared" si="46"/>
        <v>1.0000000169191239</v>
      </c>
      <c r="Y63" s="160">
        <f t="shared" si="47"/>
        <v>-1.8395175232672367E-4</v>
      </c>
      <c r="Z63" s="98" t="str">
        <f t="shared" si="36"/>
        <v>0.99999998358826+0.00021086464748559i</v>
      </c>
      <c r="AA63" s="160">
        <f t="shared" si="48"/>
        <v>1.0000000058202099</v>
      </c>
      <c r="AB63" s="160">
        <f t="shared" si="49"/>
        <v>2.1086464782095756E-4</v>
      </c>
      <c r="AC63" s="171" t="str">
        <f t="shared" si="50"/>
        <v>6.87392855068236-0.306547503693927i</v>
      </c>
      <c r="AD63" s="190">
        <f t="shared" si="51"/>
        <v>16.752728833777503</v>
      </c>
      <c r="AE63" s="169">
        <f t="shared" si="52"/>
        <v>-2.5534522792422014</v>
      </c>
      <c r="AF63" s="98" t="str">
        <f t="shared" si="37"/>
        <v>-0.0000816326530612245</v>
      </c>
      <c r="AG63" s="98" t="str">
        <f t="shared" si="38"/>
        <v>3.93481141811204E-06i</v>
      </c>
      <c r="AH63" s="98">
        <f t="shared" si="53"/>
        <v>3.9348114181120401E-6</v>
      </c>
      <c r="AI63" s="98">
        <f t="shared" si="54"/>
        <v>1.5707963267948966</v>
      </c>
      <c r="AJ63" s="98" t="str">
        <f t="shared" si="39"/>
        <v>1+0.000435872649982023i</v>
      </c>
      <c r="AK63" s="98">
        <f t="shared" si="55"/>
        <v>1.000000094992479</v>
      </c>
      <c r="AL63" s="98">
        <f t="shared" si="56"/>
        <v>4.3587262237894245E-4</v>
      </c>
      <c r="AM63" s="98" t="str">
        <f t="shared" si="40"/>
        <v>1+0.0440231376481844i</v>
      </c>
      <c r="AN63" s="98">
        <f t="shared" si="57"/>
        <v>1.0009685492803413</v>
      </c>
      <c r="AO63" s="98">
        <f t="shared" si="58"/>
        <v>4.3994731187819089E-2</v>
      </c>
      <c r="AP63" s="168" t="str">
        <f t="shared" si="59"/>
        <v>-0.90427291867507+20.7466623642636i</v>
      </c>
      <c r="AQ63" s="98">
        <f t="shared" si="60"/>
        <v>26.347207582359186</v>
      </c>
      <c r="AR63" s="169">
        <f t="shared" si="61"/>
        <v>92.495738756207004</v>
      </c>
      <c r="AS63" s="168" t="str">
        <f t="shared" si="62"/>
        <v>0.143930124456321+142.888277362957i</v>
      </c>
      <c r="AT63" s="190">
        <f t="shared" si="63"/>
        <v>43.099936416136714</v>
      </c>
      <c r="AU63" s="169">
        <f t="shared" si="64"/>
        <v>89.94228647696481</v>
      </c>
      <c r="AV63" s="225"/>
      <c r="AX63">
        <f t="shared" si="65"/>
        <v>0</v>
      </c>
      <c r="AY63">
        <f t="shared" si="66"/>
        <v>0</v>
      </c>
    </row>
    <row r="64" spans="1:51" x14ac:dyDescent="0.2">
      <c r="A64" s="98" t="s">
        <v>269</v>
      </c>
      <c r="B64" s="211">
        <f>(CCOMP+CHF)/(RCOMP*CHF*CCOMP)</f>
        <v>406275.14078841516</v>
      </c>
      <c r="E64" s="98" t="s">
        <v>280</v>
      </c>
      <c r="N64" s="170">
        <v>46</v>
      </c>
      <c r="O64" s="199">
        <f t="shared" si="41"/>
        <v>28.840315031266066</v>
      </c>
      <c r="P64" s="189" t="str">
        <f t="shared" si="32"/>
        <v>6.8875</v>
      </c>
      <c r="Q64" s="160" t="str">
        <f t="shared" si="33"/>
        <v>1+0.0453022609147205i</v>
      </c>
      <c r="R64" s="160">
        <f t="shared" si="42"/>
        <v>1.0010256214722906</v>
      </c>
      <c r="S64" s="160">
        <f t="shared" si="43"/>
        <v>4.5271307821881733E-2</v>
      </c>
      <c r="T64" s="160" t="str">
        <f t="shared" si="34"/>
        <v>1+0.0000724836174635528i</v>
      </c>
      <c r="U64" s="160">
        <f t="shared" si="44"/>
        <v>1.0000000026269373</v>
      </c>
      <c r="V64" s="160">
        <f t="shared" si="45"/>
        <v>7.248361733661285E-5</v>
      </c>
      <c r="W64" s="98" t="str">
        <f t="shared" si="35"/>
        <v>1-0.0001882365411969i</v>
      </c>
      <c r="X64" s="160">
        <f t="shared" si="46"/>
        <v>1.0000000177164976</v>
      </c>
      <c r="Y64" s="160">
        <f t="shared" si="47"/>
        <v>-1.8823653897363855E-4</v>
      </c>
      <c r="Z64" s="98" t="str">
        <f t="shared" si="36"/>
        <v>0.999999982814798+0.000215776316091756i</v>
      </c>
      <c r="AA64" s="160">
        <f t="shared" si="48"/>
        <v>1.0000000060945073</v>
      </c>
      <c r="AB64" s="160">
        <f t="shared" si="49"/>
        <v>2.1577631645110896E-4</v>
      </c>
      <c r="AC64" s="171" t="str">
        <f t="shared" si="50"/>
        <v>6.87329025794601-0.313658996226116i</v>
      </c>
      <c r="AD64" s="190">
        <f t="shared" si="51"/>
        <v>16.752328491262574</v>
      </c>
      <c r="AE64" s="169">
        <f t="shared" si="52"/>
        <v>-2.6128500973590527</v>
      </c>
      <c r="AF64" s="98" t="str">
        <f t="shared" si="37"/>
        <v>-0.0000816326530612245</v>
      </c>
      <c r="AG64" s="98" t="str">
        <f t="shared" si="38"/>
        <v>4.02646495010035E-06i</v>
      </c>
      <c r="AH64" s="98">
        <f t="shared" si="53"/>
        <v>4.0264649501003501E-6</v>
      </c>
      <c r="AI64" s="98">
        <f t="shared" si="54"/>
        <v>1.5707963267948966</v>
      </c>
      <c r="AJ64" s="98" t="str">
        <f t="shared" si="39"/>
        <v>1+0.000446025428253446i</v>
      </c>
      <c r="AK64" s="98">
        <f t="shared" si="55"/>
        <v>1.0000000994693363</v>
      </c>
      <c r="AL64" s="98">
        <f t="shared" si="56"/>
        <v>4.460253986762125E-4</v>
      </c>
      <c r="AM64" s="98" t="str">
        <f t="shared" si="40"/>
        <v>1+0.0450485682535981i</v>
      </c>
      <c r="AN64" s="98">
        <f t="shared" si="57"/>
        <v>1.001014172477942</v>
      </c>
      <c r="AO64" s="98">
        <f t="shared" si="58"/>
        <v>4.5018131848211351E-2</v>
      </c>
      <c r="AP64" s="168" t="str">
        <f t="shared" si="59"/>
        <v>-0.904272910578465+20.2744288257403i</v>
      </c>
      <c r="AQ64" s="98">
        <f t="shared" si="60"/>
        <v>26.147603429067559</v>
      </c>
      <c r="AR64" s="169">
        <f t="shared" si="61"/>
        <v>92.553793583566204</v>
      </c>
      <c r="AS64" s="168" t="str">
        <f t="shared" si="62"/>
        <v>0.143926807736087+139.635667466827i</v>
      </c>
      <c r="AT64" s="190">
        <f t="shared" si="63"/>
        <v>42.899931920330133</v>
      </c>
      <c r="AU64" s="169">
        <f t="shared" si="64"/>
        <v>89.940943486207146</v>
      </c>
      <c r="AV64" s="225"/>
      <c r="AX64">
        <f t="shared" si="65"/>
        <v>0</v>
      </c>
      <c r="AY64">
        <f t="shared" si="66"/>
        <v>0</v>
      </c>
    </row>
    <row r="65" spans="1:51" x14ac:dyDescent="0.2">
      <c r="N65" s="170">
        <v>47</v>
      </c>
      <c r="O65" s="199">
        <f t="shared" si="41"/>
        <v>29.512092266663863</v>
      </c>
      <c r="P65" s="189" t="str">
        <f t="shared" si="32"/>
        <v>6.8875</v>
      </c>
      <c r="Q65" s="160" t="str">
        <f t="shared" si="33"/>
        <v>1+0.0463574861285077i</v>
      </c>
      <c r="R65" s="160">
        <f t="shared" si="42"/>
        <v>1.0010739315955415</v>
      </c>
      <c r="S65" s="160">
        <f t="shared" si="43"/>
        <v>4.632432121334585E-2</v>
      </c>
      <c r="T65" s="160" t="str">
        <f t="shared" si="34"/>
        <v>1+0.0000741719778056124i</v>
      </c>
      <c r="U65" s="160">
        <f t="shared" si="44"/>
        <v>1.0000000027507412</v>
      </c>
      <c r="V65" s="160">
        <f t="shared" si="45"/>
        <v>7.4171977669593793E-5</v>
      </c>
      <c r="W65" s="98" t="str">
        <f t="shared" si="35"/>
        <v>1-0.000192621133497955i</v>
      </c>
      <c r="X65" s="160">
        <f t="shared" si="46"/>
        <v>1.0000000185514504</v>
      </c>
      <c r="Y65" s="160">
        <f t="shared" si="47"/>
        <v>-1.9262113111568745E-4</v>
      </c>
      <c r="Z65" s="98" t="str">
        <f t="shared" si="36"/>
        <v>0.999999982004884+0.000220802392156851i</v>
      </c>
      <c r="AA65" s="160">
        <f t="shared" si="48"/>
        <v>1.0000000063817325</v>
      </c>
      <c r="AB65" s="160">
        <f t="shared" si="49"/>
        <v>2.2080239254190469E-4</v>
      </c>
      <c r="AC65" s="171" t="str">
        <f t="shared" si="50"/>
        <v>6.8726220095118-0.320934074485455i</v>
      </c>
      <c r="AD65" s="190">
        <f t="shared" si="51"/>
        <v>16.751909320737887</v>
      </c>
      <c r="AE65" s="169">
        <f t="shared" si="52"/>
        <v>-2.6736257761114666</v>
      </c>
      <c r="AF65" s="98" t="str">
        <f t="shared" si="37"/>
        <v>-0.0000816326530612245</v>
      </c>
      <c r="AG65" s="98" t="str">
        <f t="shared" si="38"/>
        <v>4.12025336710176E-06i</v>
      </c>
      <c r="AH65" s="98">
        <f t="shared" si="53"/>
        <v>4.1202533671017601E-6</v>
      </c>
      <c r="AI65" s="98">
        <f t="shared" si="54"/>
        <v>1.5707963267948966</v>
      </c>
      <c r="AJ65" s="98" t="str">
        <f t="shared" si="39"/>
        <v>1+0.000456414695110774i</v>
      </c>
      <c r="AK65" s="98">
        <f t="shared" si="55"/>
        <v>1.0000001041571815</v>
      </c>
      <c r="AL65" s="98">
        <f t="shared" si="56"/>
        <v>4.5641466341819748E-4</v>
      </c>
      <c r="AM65" s="98" t="str">
        <f t="shared" si="40"/>
        <v>1+0.0460978842061881i</v>
      </c>
      <c r="AN65" s="98">
        <f t="shared" si="57"/>
        <v>1.0010619436020367</v>
      </c>
      <c r="AO65" s="98">
        <f t="shared" si="58"/>
        <v>4.6065272878469121E-2</v>
      </c>
      <c r="AP65" s="168" t="str">
        <f t="shared" si="59"/>
        <v>-0.904272902100278+19.8129450577439i</v>
      </c>
      <c r="AQ65" s="98">
        <f t="shared" si="60"/>
        <v>25.948017892781646</v>
      </c>
      <c r="AR65" s="169">
        <f t="shared" si="61"/>
        <v>92.613195084132983</v>
      </c>
      <c r="AS65" s="168" t="str">
        <f t="shared" si="62"/>
        <v>0.143923335358728+136.457094264017i</v>
      </c>
      <c r="AT65" s="190">
        <f t="shared" si="63"/>
        <v>42.699927213519558</v>
      </c>
      <c r="AU65" s="169">
        <f t="shared" si="64"/>
        <v>89.939569308021518</v>
      </c>
      <c r="AV65" s="225"/>
      <c r="AX65">
        <f t="shared" si="65"/>
        <v>0</v>
      </c>
      <c r="AY65">
        <f t="shared" si="66"/>
        <v>0</v>
      </c>
    </row>
    <row r="66" spans="1:51" x14ac:dyDescent="0.2">
      <c r="N66" s="170">
        <v>48</v>
      </c>
      <c r="O66" s="199">
        <f t="shared" si="41"/>
        <v>30.199517204020164</v>
      </c>
      <c r="P66" s="189" t="str">
        <f t="shared" si="32"/>
        <v>6.8875</v>
      </c>
      <c r="Q66" s="160" t="str">
        <f t="shared" si="33"/>
        <v>1+0.0474372906950543i</v>
      </c>
      <c r="R66" s="160">
        <f t="shared" si="42"/>
        <v>1.0011245160061195</v>
      </c>
      <c r="S66" s="160">
        <f t="shared" si="43"/>
        <v>4.740175600371202E-2</v>
      </c>
      <c r="T66" s="160" t="str">
        <f t="shared" si="34"/>
        <v>1+0.0000758996651120868i</v>
      </c>
      <c r="U66" s="160">
        <f t="shared" si="44"/>
        <v>1.0000000028803795</v>
      </c>
      <c r="V66" s="160">
        <f t="shared" si="45"/>
        <v>7.5899664966340237E-5</v>
      </c>
      <c r="W66" s="98" t="str">
        <f t="shared" si="35"/>
        <v>1-0.000197107856073633i</v>
      </c>
      <c r="X66" s="160">
        <f t="shared" si="46"/>
        <v>1.0000000194257532</v>
      </c>
      <c r="Y66" s="160">
        <f t="shared" si="47"/>
        <v>-1.9710785352098734E-4</v>
      </c>
      <c r="Z66" s="98" t="str">
        <f t="shared" si="36"/>
        <v>0.999999981156801+0.000225945540572932i</v>
      </c>
      <c r="AA66" s="160">
        <f t="shared" si="48"/>
        <v>1.000000006682495</v>
      </c>
      <c r="AB66" s="160">
        <f t="shared" si="49"/>
        <v>2.2594554098552433E-4</v>
      </c>
      <c r="AC66" s="171" t="str">
        <f t="shared" si="50"/>
        <v>6.87192240573818-0.328376402096397i</v>
      </c>
      <c r="AD66" s="190">
        <f t="shared" si="51"/>
        <v>16.751470438674161</v>
      </c>
      <c r="AE66" s="169">
        <f t="shared" si="52"/>
        <v>-2.7358110040664854</v>
      </c>
      <c r="AF66" s="98" t="str">
        <f t="shared" si="37"/>
        <v>-0.0000816326530612245</v>
      </c>
      <c r="AG66" s="98" t="str">
        <f t="shared" si="38"/>
        <v>4.21622639697641E-06i</v>
      </c>
      <c r="AH66" s="98">
        <f t="shared" si="53"/>
        <v>4.2162263969764096E-6</v>
      </c>
      <c r="AI66" s="98">
        <f t="shared" si="54"/>
        <v>1.5707963267948966</v>
      </c>
      <c r="AJ66" s="98" t="str">
        <f t="shared" si="39"/>
        <v>1+0.000467045959080812i</v>
      </c>
      <c r="AK66" s="98">
        <f t="shared" si="55"/>
        <v>1.000000109065958</v>
      </c>
      <c r="AL66" s="98">
        <f t="shared" si="56"/>
        <v>4.6704592512160467E-4</v>
      </c>
      <c r="AM66" s="98" t="str">
        <f t="shared" si="40"/>
        <v>1+0.047171641867162i</v>
      </c>
      <c r="AN66" s="98">
        <f t="shared" si="57"/>
        <v>1.0011119636666239</v>
      </c>
      <c r="AO66" s="98">
        <f t="shared" si="58"/>
        <v>4.7136700295843215E-2</v>
      </c>
      <c r="AP66" s="168" t="str">
        <f t="shared" si="59"/>
        <v>-0.904272893222539+19.3619663754721i</v>
      </c>
      <c r="AQ66" s="98">
        <f t="shared" si="60"/>
        <v>25.748451847170713</v>
      </c>
      <c r="AR66" s="169">
        <f t="shared" si="61"/>
        <v>92.673974226776622</v>
      </c>
      <c r="AS66" s="168" t="str">
        <f t="shared" si="62"/>
        <v>0.143919700051291+133.350872433946i</v>
      </c>
      <c r="AT66" s="190">
        <f t="shared" si="63"/>
        <v>42.499922285844889</v>
      </c>
      <c r="AU66" s="169">
        <f t="shared" si="64"/>
        <v>89.938163222710159</v>
      </c>
      <c r="AV66" s="225"/>
      <c r="AX66">
        <f t="shared" si="65"/>
        <v>0</v>
      </c>
      <c r="AY66">
        <f t="shared" si="66"/>
        <v>0</v>
      </c>
    </row>
    <row r="67" spans="1:51" x14ac:dyDescent="0.2">
      <c r="N67" s="170">
        <v>49</v>
      </c>
      <c r="O67" s="199">
        <f t="shared" si="41"/>
        <v>30.902954325135919</v>
      </c>
      <c r="P67" s="189" t="str">
        <f t="shared" si="32"/>
        <v>6.8875</v>
      </c>
      <c r="Q67" s="160" t="str">
        <f t="shared" si="33"/>
        <v>1+0.048542247141034i</v>
      </c>
      <c r="R67" s="160">
        <f t="shared" si="42"/>
        <v>1.0011774816472359</v>
      </c>
      <c r="S67" s="160">
        <f t="shared" si="43"/>
        <v>4.8504173451419913E-2</v>
      </c>
      <c r="T67" s="160" t="str">
        <f t="shared" si="34"/>
        <v>1+0.0000776675954256544i</v>
      </c>
      <c r="U67" s="160">
        <f t="shared" si="44"/>
        <v>1.0000000030161276</v>
      </c>
      <c r="V67" s="160">
        <f t="shared" si="45"/>
        <v>7.766759526948415E-5</v>
      </c>
      <c r="W67" s="98" t="str">
        <f t="shared" si="35"/>
        <v>1-0.000201699087843631i</v>
      </c>
      <c r="X67" s="160">
        <f t="shared" si="46"/>
        <v>1.0000000203412609</v>
      </c>
      <c r="Y67" s="160">
        <f t="shared" si="47"/>
        <v>-2.0169908510842186E-4</v>
      </c>
      <c r="Z67" s="98" t="str">
        <f t="shared" si="36"/>
        <v>0.999999980268748+0.000231208488305368i</v>
      </c>
      <c r="AA67" s="160">
        <f t="shared" si="48"/>
        <v>1.0000000069974309</v>
      </c>
      <c r="AB67" s="160">
        <f t="shared" si="49"/>
        <v>2.3120848874746874E-4</v>
      </c>
      <c r="AC67" s="171" t="str">
        <f t="shared" si="50"/>
        <v>6.87118998218461-0.335989717609284i</v>
      </c>
      <c r="AD67" s="190">
        <f t="shared" si="51"/>
        <v>16.751010920268801</v>
      </c>
      <c r="AE67" s="169">
        <f t="shared" si="52"/>
        <v>-2.7994381790241776</v>
      </c>
      <c r="AF67" s="98" t="str">
        <f t="shared" si="37"/>
        <v>-0.0000816326530612245</v>
      </c>
      <c r="AG67" s="98" t="str">
        <f t="shared" si="38"/>
        <v>0.0000043144349258951i</v>
      </c>
      <c r="AH67" s="98">
        <f t="shared" si="53"/>
        <v>4.3144349258950996E-6</v>
      </c>
      <c r="AI67" s="98">
        <f t="shared" si="54"/>
        <v>1.5707963267948966</v>
      </c>
      <c r="AJ67" s="98" t="str">
        <f t="shared" si="39"/>
        <v>1+0.000477924857000438i</v>
      </c>
      <c r="AK67" s="98">
        <f t="shared" si="55"/>
        <v>1.0000001142060779</v>
      </c>
      <c r="AL67" s="98">
        <f t="shared" si="56"/>
        <v>4.7792482061249193E-4</v>
      </c>
      <c r="AM67" s="98" t="str">
        <f t="shared" si="40"/>
        <v>1+0.0482704105570442i</v>
      </c>
      <c r="AN67" s="98">
        <f t="shared" si="57"/>
        <v>1.0011643384256881</v>
      </c>
      <c r="AO67" s="98">
        <f t="shared" si="58"/>
        <v>4.8232972340117329E-2</v>
      </c>
      <c r="AP67" s="168" t="str">
        <f t="shared" si="59"/>
        <v>-0.904272883926392+18.921253664058i</v>
      </c>
      <c r="AQ67" s="98">
        <f t="shared" si="60"/>
        <v>25.548906206720705</v>
      </c>
      <c r="AR67" s="169">
        <f t="shared" si="61"/>
        <v>92.736162673314325</v>
      </c>
      <c r="AS67" s="168" t="str">
        <f t="shared" si="62"/>
        <v>0.143915894204266+130.315355017761i</v>
      </c>
      <c r="AT67" s="190">
        <f t="shared" si="63"/>
        <v>42.299917126989477</v>
      </c>
      <c r="AU67" s="169">
        <f t="shared" si="64"/>
        <v>89.936724494290161</v>
      </c>
      <c r="AV67" s="225"/>
      <c r="AX67">
        <f t="shared" si="65"/>
        <v>0</v>
      </c>
      <c r="AY67">
        <f t="shared" si="66"/>
        <v>0</v>
      </c>
    </row>
    <row r="68" spans="1:51" x14ac:dyDescent="0.2">
      <c r="A68" s="214" t="str">
        <f>"Crossover Frequency = "&amp;B68</f>
        <v>Crossover Frequency = 4 kHz</v>
      </c>
      <c r="B68" t="str">
        <f>ROUND(D68,1)&amp;" kHz"</f>
        <v>4 kHz</v>
      </c>
      <c r="C68" s="215"/>
      <c r="D68" s="216">
        <f>AY12</f>
        <v>3.9810717055349767</v>
      </c>
      <c r="N68" s="170">
        <v>50</v>
      </c>
      <c r="O68" s="199">
        <f t="shared" si="41"/>
        <v>31.622776601683803</v>
      </c>
      <c r="P68" s="189" t="str">
        <f t="shared" si="32"/>
        <v>6.8875</v>
      </c>
      <c r="Q68" s="160" t="str">
        <f t="shared" si="33"/>
        <v>1+0.0496729413289805i</v>
      </c>
      <c r="R68" s="160">
        <f t="shared" si="42"/>
        <v>1.0012329404790237</v>
      </c>
      <c r="S68" s="160">
        <f t="shared" si="43"/>
        <v>4.9632147348343113E-2</v>
      </c>
      <c r="T68" s="160" t="str">
        <f t="shared" si="34"/>
        <v>1+0.0000794767061263688i</v>
      </c>
      <c r="U68" s="160">
        <f t="shared" si="44"/>
        <v>1.0000000031582734</v>
      </c>
      <c r="V68" s="160">
        <f t="shared" si="45"/>
        <v>7.9476705959029349E-5</v>
      </c>
      <c r="W68" s="98" t="str">
        <f t="shared" si="35"/>
        <v>1-0.000206397263139808i</v>
      </c>
      <c r="X68" s="160">
        <f t="shared" si="46"/>
        <v>1.0000000212999149</v>
      </c>
      <c r="Y68" s="160">
        <f t="shared" si="47"/>
        <v>-2.0639726020897861E-4</v>
      </c>
      <c r="Z68" s="98" t="str">
        <f t="shared" si="36"/>
        <v>0.999999979338843+0.00023659402583871i</v>
      </c>
      <c r="AA68" s="160">
        <f t="shared" si="48"/>
        <v>1.0000000073272097</v>
      </c>
      <c r="AB68" s="160">
        <f t="shared" si="49"/>
        <v>2.3659402631242941E-4</v>
      </c>
      <c r="AC68" s="171" t="str">
        <f t="shared" si="50"/>
        <v>6.8704232066691-0.343777835511514i</v>
      </c>
      <c r="AD68" s="190">
        <f t="shared" si="51"/>
        <v>16.750529797535826</v>
      </c>
      <c r="AE68" s="169">
        <f t="shared" si="52"/>
        <v>-2.8645404224891773</v>
      </c>
      <c r="AF68" s="98" t="str">
        <f t="shared" si="37"/>
        <v>-0.0000816326530612245</v>
      </c>
      <c r="AG68" s="98" t="str">
        <f t="shared" si="38"/>
        <v>4.41493102531979E-06i</v>
      </c>
      <c r="AH68" s="98">
        <f t="shared" si="53"/>
        <v>4.4149310253197897E-6</v>
      </c>
      <c r="AI68" s="98">
        <f t="shared" si="54"/>
        <v>1.5707963267948966</v>
      </c>
      <c r="AJ68" s="98" t="str">
        <f t="shared" si="39"/>
        <v>1+0.000489057157005329i</v>
      </c>
      <c r="AK68" s="98">
        <f t="shared" si="55"/>
        <v>1.0000001195884443</v>
      </c>
      <c r="AL68" s="98">
        <f t="shared" si="56"/>
        <v>4.8905711801494253E-4</v>
      </c>
      <c r="AM68" s="98" t="str">
        <f t="shared" si="40"/>
        <v>1+0.0493947728575382i</v>
      </c>
      <c r="AN68" s="98">
        <f t="shared" si="57"/>
        <v>1.0012191785946012</v>
      </c>
      <c r="AO68" s="98">
        <f t="shared" si="58"/>
        <v>4.9354659723141819E-2</v>
      </c>
      <c r="AP68" s="168" t="str">
        <f t="shared" si="59"/>
        <v>-0.904272874192139+18.4905732517887i</v>
      </c>
      <c r="AQ68" s="98">
        <f t="shared" si="60"/>
        <v>25.349381928623778</v>
      </c>
      <c r="AR68" s="169">
        <f t="shared" si="61"/>
        <v>92.799792792637263</v>
      </c>
      <c r="AS68" s="168" t="str">
        <f t="shared" si="62"/>
        <v>0.143911909855976+127.348932545106i</v>
      </c>
      <c r="AT68" s="190">
        <f t="shared" si="63"/>
        <v>42.09991172615964</v>
      </c>
      <c r="AU68" s="169">
        <f t="shared" si="64"/>
        <v>89.935252370148092</v>
      </c>
      <c r="AV68" s="225"/>
      <c r="AX68">
        <f t="shared" si="65"/>
        <v>0</v>
      </c>
      <c r="AY68">
        <f t="shared" si="66"/>
        <v>0</v>
      </c>
    </row>
    <row r="69" spans="1:51" x14ac:dyDescent="0.2">
      <c r="A69" s="214" t="str">
        <f>"Phase Margin = "&amp;B69</f>
        <v>Phase Margin = 84°</v>
      </c>
      <c r="B69" s="217" t="str">
        <f>ROUND(D69,0)&amp;"°"</f>
        <v>84°</v>
      </c>
      <c r="C69" s="218"/>
      <c r="D69" s="23">
        <f>AY14</f>
        <v>83.804710115021663</v>
      </c>
      <c r="N69" s="170">
        <v>51</v>
      </c>
      <c r="O69" s="199">
        <f t="shared" si="41"/>
        <v>32.359365692962832</v>
      </c>
      <c r="P69" s="189" t="str">
        <f t="shared" si="32"/>
        <v>6.8875</v>
      </c>
      <c r="Q69" s="160" t="str">
        <f t="shared" si="33"/>
        <v>1+0.0508299727679187i</v>
      </c>
      <c r="R69" s="160">
        <f t="shared" si="42"/>
        <v>1.0012910097127545</v>
      </c>
      <c r="S69" s="160">
        <f t="shared" si="43"/>
        <v>5.0786264273453223E-2</v>
      </c>
      <c r="T69" s="160" t="str">
        <f t="shared" si="34"/>
        <v>1+0.00008132795642867i</v>
      </c>
      <c r="U69" s="160">
        <f t="shared" si="44"/>
        <v>1.0000000033071181</v>
      </c>
      <c r="V69" s="160">
        <f t="shared" si="45"/>
        <v>8.132795624936256E-5</v>
      </c>
      <c r="W69" s="98" t="str">
        <f t="shared" si="35"/>
        <v>1-0.000211204872996892i</v>
      </c>
      <c r="X69" s="160">
        <f t="shared" si="46"/>
        <v>1.0000000223037488</v>
      </c>
      <c r="Y69" s="160">
        <f t="shared" si="47"/>
        <v>-2.1120486985645175E-4</v>
      </c>
      <c r="Z69" s="98" t="str">
        <f t="shared" si="36"/>
        <v>0.999999978365113+0.000242105008656243i</v>
      </c>
      <c r="AA69" s="160">
        <f t="shared" si="48"/>
        <v>1.0000000076725308</v>
      </c>
      <c r="AB69" s="160">
        <f t="shared" si="49"/>
        <v>2.4210500916384243E-4</v>
      </c>
      <c r="AC69" s="171" t="str">
        <f t="shared" si="50"/>
        <v>6.86962047619771-0.351744647211024i</v>
      </c>
      <c r="AD69" s="190">
        <f t="shared" si="51"/>
        <v>16.750026057309235</v>
      </c>
      <c r="AE69" s="169">
        <f t="shared" si="52"/>
        <v>-2.931151594334835</v>
      </c>
      <c r="AF69" s="98" t="str">
        <f t="shared" si="37"/>
        <v>-0.0000816326530612245</v>
      </c>
      <c r="AG69" s="98" t="str">
        <f t="shared" si="38"/>
        <v>4.51776797961262E-06i</v>
      </c>
      <c r="AH69" s="98">
        <f t="shared" si="53"/>
        <v>4.5177679796126201E-6</v>
      </c>
      <c r="AI69" s="98">
        <f t="shared" si="54"/>
        <v>1.5707963267948966</v>
      </c>
      <c r="AJ69" s="98" t="str">
        <f t="shared" si="39"/>
        <v>1+0.000500448761588301i</v>
      </c>
      <c r="AK69" s="98">
        <f t="shared" si="55"/>
        <v>1.0000001252244737</v>
      </c>
      <c r="AL69" s="98">
        <f t="shared" si="56"/>
        <v>5.0044871980934951E-4</v>
      </c>
      <c r="AM69" s="98" t="str">
        <f t="shared" si="40"/>
        <v>1+0.0505453249204184i</v>
      </c>
      <c r="AN69" s="98">
        <f t="shared" si="57"/>
        <v>1.001276600081771</v>
      </c>
      <c r="AO69" s="98">
        <f t="shared" si="58"/>
        <v>5.0502345881698989E-2</v>
      </c>
      <c r="AP69" s="168" t="str">
        <f t="shared" si="59"/>
        <v>-0.904272863999119+18.0696967862087i</v>
      </c>
      <c r="AQ69" s="98">
        <f t="shared" si="60"/>
        <v>25.149880014752952</v>
      </c>
      <c r="AR69" s="169">
        <f t="shared" si="61"/>
        <v>92.864897675023443</v>
      </c>
      <c r="AS69" s="168" t="str">
        <f t="shared" si="62"/>
        <v>0.143907738676858+124.450032180753i</v>
      </c>
      <c r="AT69" s="190">
        <f t="shared" si="63"/>
        <v>41.89990607206218</v>
      </c>
      <c r="AU69" s="169">
        <f t="shared" si="64"/>
        <v>89.933746080688607</v>
      </c>
      <c r="AV69" s="225"/>
      <c r="AX69">
        <f t="shared" si="65"/>
        <v>0</v>
      </c>
      <c r="AY69">
        <f t="shared" si="66"/>
        <v>0</v>
      </c>
    </row>
    <row r="70" spans="1:51" x14ac:dyDescent="0.2">
      <c r="N70" s="170">
        <v>52</v>
      </c>
      <c r="O70" s="199">
        <f t="shared" si="41"/>
        <v>33.113112148259127</v>
      </c>
      <c r="P70" s="189" t="str">
        <f t="shared" si="32"/>
        <v>6.8875</v>
      </c>
      <c r="Q70" s="160" t="str">
        <f t="shared" si="33"/>
        <v>1+0.052013954931233i</v>
      </c>
      <c r="R70" s="160">
        <f t="shared" si="42"/>
        <v>1.0013518120558771</v>
      </c>
      <c r="S70" s="160">
        <f t="shared" si="43"/>
        <v>5.1967123849697934E-2</v>
      </c>
      <c r="T70" s="160" t="str">
        <f t="shared" si="34"/>
        <v>1+0.0000832223278899728i</v>
      </c>
      <c r="U70" s="160">
        <f t="shared" si="44"/>
        <v>1.0000000034629779</v>
      </c>
      <c r="V70" s="160">
        <f t="shared" si="45"/>
        <v>8.3222327697841421E-5</v>
      </c>
      <c r="W70" s="98" t="str">
        <f t="shared" si="35"/>
        <v>1-0.000216124466473267i</v>
      </c>
      <c r="X70" s="160">
        <f t="shared" si="46"/>
        <v>1.0000000233548922</v>
      </c>
      <c r="Y70" s="160">
        <f t="shared" si="47"/>
        <v>-2.1612446310822464E-4</v>
      </c>
      <c r="Z70" s="98" t="str">
        <f t="shared" si="36"/>
        <v>0.999999977345492+0.000247744358754006i</v>
      </c>
      <c r="AA70" s="160">
        <f t="shared" si="48"/>
        <v>1.0000000080341258</v>
      </c>
      <c r="AB70" s="160">
        <f t="shared" si="49"/>
        <v>2.4774435929790864E-4</v>
      </c>
      <c r="AC70" s="171" t="str">
        <f t="shared" si="50"/>
        <v>6.86878011376096-0.35989412198795i</v>
      </c>
      <c r="AD70" s="190">
        <f t="shared" si="51"/>
        <v>16.749498639155878</v>
      </c>
      <c r="AE70" s="169">
        <f t="shared" si="52"/>
        <v>-2.9993063076545665</v>
      </c>
      <c r="AF70" s="98" t="str">
        <f t="shared" si="37"/>
        <v>-0.0000816326530612245</v>
      </c>
      <c r="AG70" s="98" t="str">
        <f t="shared" si="38"/>
        <v>4.62300031428798E-06i</v>
      </c>
      <c r="AH70" s="98">
        <f t="shared" si="53"/>
        <v>4.6230003142879799E-6</v>
      </c>
      <c r="AI70" s="98">
        <f t="shared" si="54"/>
        <v>1.5707963267948966</v>
      </c>
      <c r="AJ70" s="98" t="str">
        <f t="shared" si="39"/>
        <v>1+0.000512105710728892i</v>
      </c>
      <c r="AK70" s="98">
        <f t="shared" si="55"/>
        <v>1.0000001311261209</v>
      </c>
      <c r="AL70" s="98">
        <f t="shared" si="56"/>
        <v>5.1210566596193924E-4</v>
      </c>
      <c r="AM70" s="98" t="str">
        <f t="shared" si="40"/>
        <v>1+0.0517226767836181i</v>
      </c>
      <c r="AN70" s="98">
        <f t="shared" si="57"/>
        <v>1.0013367242309965</v>
      </c>
      <c r="AO70" s="98">
        <f t="shared" si="58"/>
        <v>5.1676627233607234E-2</v>
      </c>
      <c r="AP70" s="168" t="str">
        <f t="shared" si="59"/>
        <v>-0.904272853325723+17.658401113045i</v>
      </c>
      <c r="AQ70" s="98">
        <f t="shared" si="60"/>
        <v>24.950401513726884</v>
      </c>
      <c r="AR70" s="169">
        <f t="shared" si="61"/>
        <v>92.931511146632133</v>
      </c>
      <c r="AS70" s="168" t="str">
        <f t="shared" si="62"/>
        <v>0.143903371952762+121.617116890683i</v>
      </c>
      <c r="AT70" s="190">
        <f t="shared" si="63"/>
        <v>41.699900152882762</v>
      </c>
      <c r="AU70" s="169">
        <f t="shared" si="64"/>
        <v>89.932204838977569</v>
      </c>
      <c r="AV70" s="225"/>
      <c r="AX70">
        <f t="shared" si="65"/>
        <v>0</v>
      </c>
      <c r="AY70">
        <f t="shared" si="66"/>
        <v>0</v>
      </c>
    </row>
    <row r="71" spans="1:51" x14ac:dyDescent="0.2">
      <c r="N71" s="170">
        <v>53</v>
      </c>
      <c r="O71" s="199">
        <f t="shared" si="41"/>
        <v>33.884415613920268</v>
      </c>
      <c r="P71" s="189" t="str">
        <f t="shared" si="32"/>
        <v>6.8875</v>
      </c>
      <c r="Q71" s="160" t="str">
        <f t="shared" si="33"/>
        <v>1+0.0532255155819375i</v>
      </c>
      <c r="R71" s="160">
        <f t="shared" si="42"/>
        <v>1.0014154759683729</v>
      </c>
      <c r="S71" s="160">
        <f t="shared" si="43"/>
        <v>5.3175339003976453E-2</v>
      </c>
      <c r="T71" s="160" t="str">
        <f t="shared" si="34"/>
        <v>1+0.0000851608249311i</v>
      </c>
      <c r="U71" s="160">
        <f t="shared" si="44"/>
        <v>1.0000000036261829</v>
      </c>
      <c r="V71" s="160">
        <f t="shared" si="45"/>
        <v>8.5160824725227501E-5</v>
      </c>
      <c r="W71" s="98" t="str">
        <f t="shared" si="35"/>
        <v>1-0.00022115865200251i</v>
      </c>
      <c r="X71" s="160">
        <f t="shared" si="46"/>
        <v>1.0000000244555745</v>
      </c>
      <c r="Y71" s="160">
        <f t="shared" si="47"/>
        <v>-2.2115864839680215E-4</v>
      </c>
      <c r="Z71" s="98" t="str">
        <f t="shared" si="36"/>
        <v>0.999999976277818+0.000253515066190062i</v>
      </c>
      <c r="AA71" s="160">
        <f t="shared" si="48"/>
        <v>1.0000000084127627</v>
      </c>
      <c r="AB71" s="160">
        <f t="shared" si="49"/>
        <v>2.5351506677286415E-4</v>
      </c>
      <c r="AC71" s="171" t="str">
        <f t="shared" si="50"/>
        <v>6.86790036499204-0.368230307909943i</v>
      </c>
      <c r="AD71" s="190">
        <f t="shared" si="51"/>
        <v>16.748946433194124</v>
      </c>
      <c r="AE71" s="169">
        <f t="shared" si="52"/>
        <v>-3.0690399437936486</v>
      </c>
      <c r="AF71" s="98" t="str">
        <f t="shared" si="37"/>
        <v>-0.0000816326530612245</v>
      </c>
      <c r="AG71" s="98" t="str">
        <f t="shared" si="38"/>
        <v>4.73068382492261E-06i</v>
      </c>
      <c r="AH71" s="98">
        <f t="shared" si="53"/>
        <v>4.7306838249226104E-6</v>
      </c>
      <c r="AI71" s="98">
        <f t="shared" si="54"/>
        <v>1.5707963267948966</v>
      </c>
      <c r="AJ71" s="98" t="str">
        <f t="shared" si="39"/>
        <v>1+0.000524034185095828i</v>
      </c>
      <c r="AK71" s="98">
        <f t="shared" si="55"/>
        <v>1.0000001373059042</v>
      </c>
      <c r="AL71" s="98">
        <f t="shared" si="56"/>
        <v>5.2403413712717424E-4</v>
      </c>
      <c r="AM71" s="98" t="str">
        <f t="shared" si="40"/>
        <v>1+0.0529274526946787i</v>
      </c>
      <c r="AN71" s="98">
        <f t="shared" si="57"/>
        <v>1.001399678075017</v>
      </c>
      <c r="AO71" s="98">
        <f t="shared" si="58"/>
        <v>5.2878113436952305E-2</v>
      </c>
      <c r="AP71" s="168" t="str">
        <f t="shared" si="59"/>
        <v>-0.904272842149306+17.2564681578874i</v>
      </c>
      <c r="AQ71" s="98">
        <f t="shared" si="60"/>
        <v>24.750947523067538</v>
      </c>
      <c r="AR71" s="169">
        <f t="shared" si="61"/>
        <v>92.999667784173212</v>
      </c>
      <c r="AS71" s="168" t="str">
        <f t="shared" si="62"/>
        <v>0.143898800567396+118.848684627128i</v>
      </c>
      <c r="AT71" s="190">
        <f t="shared" si="63"/>
        <v>41.499893956261687</v>
      </c>
      <c r="AU71" s="169">
        <f t="shared" si="64"/>
        <v>89.930627840379572</v>
      </c>
      <c r="AV71" s="225"/>
      <c r="AX71">
        <f t="shared" si="65"/>
        <v>0</v>
      </c>
      <c r="AY71">
        <f t="shared" si="66"/>
        <v>0</v>
      </c>
    </row>
    <row r="72" spans="1:51" x14ac:dyDescent="0.2">
      <c r="N72" s="170">
        <v>54</v>
      </c>
      <c r="O72" s="199">
        <f t="shared" si="41"/>
        <v>34.67368504525318</v>
      </c>
      <c r="P72" s="189" t="str">
        <f t="shared" si="32"/>
        <v>6.8875</v>
      </c>
      <c r="Q72" s="160" t="str">
        <f t="shared" si="33"/>
        <v>1+0.0544652971055267i</v>
      </c>
      <c r="R72" s="160">
        <f t="shared" si="42"/>
        <v>1.0014821359309378</v>
      </c>
      <c r="S72" s="160">
        <f t="shared" si="43"/>
        <v>5.4411536230089874E-2</v>
      </c>
      <c r="T72" s="160" t="str">
        <f t="shared" si="34"/>
        <v>1+0.0000871444753688428i</v>
      </c>
      <c r="U72" s="160">
        <f t="shared" si="44"/>
        <v>1.0000000037970798</v>
      </c>
      <c r="V72" s="160">
        <f t="shared" si="45"/>
        <v>8.714447514824645E-5</v>
      </c>
      <c r="W72" s="98" t="str">
        <f t="shared" si="35"/>
        <v>1-0.000226310098776427i</v>
      </c>
      <c r="X72" s="160">
        <f t="shared" si="46"/>
        <v>1.0000000256081301</v>
      </c>
      <c r="Y72" s="160">
        <f t="shared" si="47"/>
        <v>-2.2631009491284144E-4</v>
      </c>
      <c r="Z72" s="98" t="str">
        <f t="shared" si="36"/>
        <v>0.999999975159826+0.000259420190669882i</v>
      </c>
      <c r="AA72" s="160">
        <f t="shared" si="48"/>
        <v>1.000000008809244</v>
      </c>
      <c r="AB72" s="160">
        <f t="shared" si="49"/>
        <v>2.5942019129436577E-4</v>
      </c>
      <c r="AC72" s="171" t="str">
        <f t="shared" si="50"/>
        <v>6.86697939468138-0.376757332706371i</v>
      </c>
      <c r="AD72" s="190">
        <f t="shared" si="51"/>
        <v>16.748368277813992</v>
      </c>
      <c r="AE72" s="169">
        <f t="shared" si="52"/>
        <v>-3.1403886675547983</v>
      </c>
      <c r="AF72" s="98" t="str">
        <f t="shared" si="37"/>
        <v>-0.0000816326530612245</v>
      </c>
      <c r="AG72" s="98" t="str">
        <f t="shared" si="38"/>
        <v>4.84087560673923E-06i</v>
      </c>
      <c r="AH72" s="98">
        <f t="shared" si="53"/>
        <v>4.8408756067392297E-6</v>
      </c>
      <c r="AI72" s="98">
        <f t="shared" si="54"/>
        <v>1.5707963267948966</v>
      </c>
      <c r="AJ72" s="98" t="str">
        <f t="shared" si="39"/>
        <v>1+0.000536240509324117i</v>
      </c>
      <c r="AK72" s="98">
        <f t="shared" si="55"/>
        <v>1.0000001437769315</v>
      </c>
      <c r="AL72" s="98">
        <f t="shared" si="56"/>
        <v>5.3624045792477883E-4</v>
      </c>
      <c r="AM72" s="98" t="str">
        <f t="shared" si="40"/>
        <v>1+0.0541602914417358i</v>
      </c>
      <c r="AN72" s="98">
        <f t="shared" si="57"/>
        <v>1.00146559460076</v>
      </c>
      <c r="AO72" s="98">
        <f t="shared" si="58"/>
        <v>5.4107427652325166E-2</v>
      </c>
      <c r="AP72" s="168" t="str">
        <f t="shared" si="59"/>
        <v>-0.904272830446155+16.8636848105629i</v>
      </c>
      <c r="AQ72" s="98">
        <f t="shared" si="60"/>
        <v>24.55151919145559</v>
      </c>
      <c r="AR72" s="169">
        <f t="shared" si="61"/>
        <v>93.069402929744427</v>
      </c>
      <c r="AS72" s="168" t="str">
        <f t="shared" si="62"/>
        <v>0.143894014984666+116.143267532175i</v>
      </c>
      <c r="AT72" s="190">
        <f t="shared" si="63"/>
        <v>41.299887469269613</v>
      </c>
      <c r="AU72" s="169">
        <f t="shared" si="64"/>
        <v>89.929014262189639</v>
      </c>
      <c r="AV72" s="225"/>
      <c r="AX72">
        <f t="shared" si="65"/>
        <v>0</v>
      </c>
      <c r="AY72">
        <f t="shared" si="66"/>
        <v>0</v>
      </c>
    </row>
    <row r="73" spans="1:51" x14ac:dyDescent="0.2">
      <c r="N73" s="170">
        <v>55</v>
      </c>
      <c r="O73" s="199">
        <f t="shared" si="41"/>
        <v>35.481338923357555</v>
      </c>
      <c r="P73" s="189" t="str">
        <f t="shared" si="32"/>
        <v>6.8875</v>
      </c>
      <c r="Q73" s="160" t="str">
        <f t="shared" si="33"/>
        <v>1+0.0557339568505748i</v>
      </c>
      <c r="R73" s="160">
        <f t="shared" si="42"/>
        <v>1.0015519327255187</v>
      </c>
      <c r="S73" s="160">
        <f t="shared" si="43"/>
        <v>5.5676355854513054E-2</v>
      </c>
      <c r="T73" s="160" t="str">
        <f t="shared" si="34"/>
        <v>1+0.0000891743309609196i</v>
      </c>
      <c r="U73" s="160">
        <f t="shared" si="44"/>
        <v>1.0000000039760306</v>
      </c>
      <c r="V73" s="160">
        <f t="shared" si="45"/>
        <v>8.9174330724546352E-5</v>
      </c>
      <c r="W73" s="98" t="str">
        <f t="shared" si="35"/>
        <v>1-0.000231581538160283i</v>
      </c>
      <c r="X73" s="160">
        <f t="shared" si="46"/>
        <v>1.000000026815004</v>
      </c>
      <c r="Y73" s="160">
        <f t="shared" si="47"/>
        <v>-2.3158153402037649E-4</v>
      </c>
      <c r="Z73" s="98" t="str">
        <f t="shared" si="36"/>
        <v>0.999999973989144+0.000265462863168628i</v>
      </c>
      <c r="AA73" s="160">
        <f t="shared" si="48"/>
        <v>1.0000000092244101</v>
      </c>
      <c r="AB73" s="160">
        <f t="shared" si="49"/>
        <v>2.6546286383777453E-4</v>
      </c>
      <c r="AC73" s="171" t="str">
        <f t="shared" si="50"/>
        <v>6.86601528314224-0.385479404596116i</v>
      </c>
      <c r="AD73" s="190">
        <f t="shared" si="51"/>
        <v>16.747762957294746</v>
      </c>
      <c r="AE73" s="169">
        <f t="shared" si="52"/>
        <v>-3.213389442568567</v>
      </c>
      <c r="AF73" s="98" t="str">
        <f t="shared" si="37"/>
        <v>-0.0000816326530612245</v>
      </c>
      <c r="AG73" s="98" t="str">
        <f t="shared" si="38"/>
        <v>4.95363408487909E-06i</v>
      </c>
      <c r="AH73" s="98">
        <f t="shared" si="53"/>
        <v>4.9536340848790896E-6</v>
      </c>
      <c r="AI73" s="98">
        <f t="shared" si="54"/>
        <v>1.5707963267948966</v>
      </c>
      <c r="AJ73" s="98" t="str">
        <f t="shared" si="39"/>
        <v>1+0.000548731155368431i</v>
      </c>
      <c r="AK73" s="98">
        <f t="shared" si="55"/>
        <v>1.000000150552929</v>
      </c>
      <c r="AL73" s="98">
        <f t="shared" si="56"/>
        <v>5.4873110029304828E-4</v>
      </c>
      <c r="AM73" s="98" t="str">
        <f t="shared" si="40"/>
        <v>1+0.0554218466922116i</v>
      </c>
      <c r="AN73" s="98">
        <f t="shared" si="57"/>
        <v>1.0015346130268166</v>
      </c>
      <c r="AO73" s="98">
        <f t="shared" si="58"/>
        <v>5.5365206807919475E-2</v>
      </c>
      <c r="AP73" s="168" t="str">
        <f t="shared" si="59"/>
        <v>-0.904272818191461+16.4798428121418i</v>
      </c>
      <c r="AQ73" s="98">
        <f t="shared" si="60"/>
        <v>24.352117721087172</v>
      </c>
      <c r="AR73" s="169">
        <f t="shared" si="61"/>
        <v>93.14075270582839</v>
      </c>
      <c r="AS73" s="168" t="str">
        <f t="shared" si="62"/>
        <v>0.143889005229328+113.499431159496i</v>
      </c>
      <c r="AT73" s="190">
        <f t="shared" si="63"/>
        <v>41.099880678381894</v>
      </c>
      <c r="AU73" s="169">
        <f t="shared" si="64"/>
        <v>89.927363263259835</v>
      </c>
      <c r="AV73" s="225"/>
      <c r="AX73">
        <f t="shared" si="65"/>
        <v>0</v>
      </c>
      <c r="AY73">
        <f t="shared" si="66"/>
        <v>0</v>
      </c>
    </row>
    <row r="74" spans="1:51" x14ac:dyDescent="0.2">
      <c r="N74" s="170">
        <v>56</v>
      </c>
      <c r="O74" s="199">
        <f t="shared" si="41"/>
        <v>36.307805477010156</v>
      </c>
      <c r="P74" s="189" t="str">
        <f t="shared" si="32"/>
        <v>6.8875</v>
      </c>
      <c r="Q74" s="160" t="str">
        <f t="shared" si="33"/>
        <v>1+0.0570321674772713i</v>
      </c>
      <c r="R74" s="160">
        <f t="shared" si="42"/>
        <v>1.0016250137287686</v>
      </c>
      <c r="S74" s="160">
        <f t="shared" si="43"/>
        <v>5.6970452304832046E-2</v>
      </c>
      <c r="T74" s="160" t="str">
        <f t="shared" si="34"/>
        <v>1+0.000091251467963634i</v>
      </c>
      <c r="U74" s="160">
        <f t="shared" si="44"/>
        <v>1.0000000041634152</v>
      </c>
      <c r="V74" s="160">
        <f t="shared" si="45"/>
        <v>9.1251467710355496E-5</v>
      </c>
      <c r="W74" s="98" t="str">
        <f t="shared" si="35"/>
        <v>1-0.000236975765141016i</v>
      </c>
      <c r="X74" s="160">
        <f t="shared" si="46"/>
        <v>1.0000000280787562</v>
      </c>
      <c r="Y74" s="160">
        <f t="shared" si="47"/>
        <v>-2.3697576070502626E-4</v>
      </c>
      <c r="Z74" s="98" t="str">
        <f t="shared" si="36"/>
        <v>0.999999972763291+0.000271646287591242i</v>
      </c>
      <c r="AA74" s="160">
        <f t="shared" si="48"/>
        <v>1.0000000096591442</v>
      </c>
      <c r="AB74" s="160">
        <f t="shared" si="49"/>
        <v>2.7164628830824523E-4</v>
      </c>
      <c r="AC74" s="171" t="str">
        <f t="shared" si="50"/>
        <v>6.86500602242173-0.394400813063415i</v>
      </c>
      <c r="AD74" s="190">
        <f t="shared" si="51"/>
        <v>16.74712919931557</v>
      </c>
      <c r="AE74" s="169">
        <f t="shared" si="52"/>
        <v>-3.2880800468198119</v>
      </c>
      <c r="AF74" s="98" t="str">
        <f t="shared" si="37"/>
        <v>-0.0000816326530612245</v>
      </c>
      <c r="AG74" s="98" t="str">
        <f t="shared" si="38"/>
        <v>5.06901904537986E-06i</v>
      </c>
      <c r="AH74" s="98">
        <f t="shared" si="53"/>
        <v>5.06901904537986E-6</v>
      </c>
      <c r="AI74" s="98">
        <f t="shared" si="54"/>
        <v>1.5707963267948966</v>
      </c>
      <c r="AJ74" s="98" t="str">
        <f t="shared" si="39"/>
        <v>1+0.000561512745934639i</v>
      </c>
      <c r="AK74" s="98">
        <f t="shared" si="55"/>
        <v>1.0000001576482695</v>
      </c>
      <c r="AL74" s="98">
        <f t="shared" si="56"/>
        <v>5.6151268692030375E-4</v>
      </c>
      <c r="AM74" s="98" t="str">
        <f t="shared" si="40"/>
        <v>1+0.0567127873393986i</v>
      </c>
      <c r="AN74" s="98">
        <f t="shared" si="57"/>
        <v>1.0016068790936909</v>
      </c>
      <c r="AO74" s="98">
        <f t="shared" si="58"/>
        <v>5.6652101867335464E-2</v>
      </c>
      <c r="AP74" s="168" t="str">
        <f t="shared" si="59"/>
        <v>-0.904272805359217+16.1047386445154i</v>
      </c>
      <c r="AQ74" s="98">
        <f t="shared" si="60"/>
        <v>24.152744370136197</v>
      </c>
      <c r="AR74" s="169">
        <f t="shared" si="61"/>
        <v>93.213754030439944</v>
      </c>
      <c r="AS74" s="168" t="str">
        <f t="shared" si="62"/>
        <v>0.143883760867457+110.915773713791i</v>
      </c>
      <c r="AT74" s="190">
        <f t="shared" si="63"/>
        <v>40.899873569451763</v>
      </c>
      <c r="AU74" s="169">
        <f t="shared" si="64"/>
        <v>89.925673983620143</v>
      </c>
      <c r="AV74" s="225"/>
      <c r="AX74">
        <f t="shared" si="65"/>
        <v>0</v>
      </c>
      <c r="AY74">
        <f t="shared" si="66"/>
        <v>0</v>
      </c>
    </row>
    <row r="75" spans="1:51" x14ac:dyDescent="0.2">
      <c r="N75" s="170">
        <v>57</v>
      </c>
      <c r="O75" s="199">
        <f t="shared" si="41"/>
        <v>37.15352290971726</v>
      </c>
      <c r="P75" s="189" t="str">
        <f t="shared" si="32"/>
        <v>6.8875</v>
      </c>
      <c r="Q75" s="160" t="str">
        <f t="shared" si="33"/>
        <v>1+0.058360617314074i</v>
      </c>
      <c r="R75" s="160">
        <f t="shared" si="42"/>
        <v>1.0017015332189922</v>
      </c>
      <c r="S75" s="160">
        <f t="shared" si="43"/>
        <v>5.8294494380660894E-2</v>
      </c>
      <c r="T75" s="160" t="str">
        <f t="shared" si="34"/>
        <v>1+0.0000933769877025184i</v>
      </c>
      <c r="U75" s="160">
        <f t="shared" si="44"/>
        <v>1.0000000043596309</v>
      </c>
      <c r="V75" s="160">
        <f t="shared" si="45"/>
        <v>9.3376987431125603E-5</v>
      </c>
      <c r="W75" s="98" t="str">
        <f t="shared" si="35"/>
        <v>1-0.000242495639809172i</v>
      </c>
      <c r="X75" s="160">
        <f t="shared" si="46"/>
        <v>1.0000000294020672</v>
      </c>
      <c r="Y75" s="160">
        <f t="shared" si="47"/>
        <v>-2.4249563505592336E-4</v>
      </c>
      <c r="Z75" s="98" t="str">
        <f t="shared" si="36"/>
        <v>0.999999971479664+0.000277973742471201i</v>
      </c>
      <c r="AA75" s="160">
        <f t="shared" si="48"/>
        <v>1.0000000101143653</v>
      </c>
      <c r="AB75" s="160">
        <f t="shared" si="49"/>
        <v>2.7797374323948389E-4</v>
      </c>
      <c r="AC75" s="171" t="str">
        <f t="shared" si="50"/>
        <v>6.86394951235149-0.40352592957568i</v>
      </c>
      <c r="AD75" s="190">
        <f t="shared" si="51"/>
        <v>16.746465672354617</v>
      </c>
      <c r="AE75" s="169">
        <f t="shared" si="52"/>
        <v>-3.3644990883196355</v>
      </c>
      <c r="AF75" s="98" t="str">
        <f t="shared" si="37"/>
        <v>-0.0000816326530612245</v>
      </c>
      <c r="AG75" s="98" t="str">
        <f t="shared" si="38"/>
        <v>5.18709166687489E-06i</v>
      </c>
      <c r="AH75" s="98">
        <f t="shared" si="53"/>
        <v>5.1870916668748901E-6</v>
      </c>
      <c r="AI75" s="98">
        <f t="shared" si="54"/>
        <v>1.5707963267948966</v>
      </c>
      <c r="AJ75" s="98" t="str">
        <f t="shared" si="39"/>
        <v>1+0.00057459205799124i</v>
      </c>
      <c r="AK75" s="98">
        <f t="shared" si="55"/>
        <v>1.000000165078003</v>
      </c>
      <c r="AL75" s="98">
        <f t="shared" si="56"/>
        <v>5.7459199475624109E-4</v>
      </c>
      <c r="AM75" s="98" t="str">
        <f t="shared" si="40"/>
        <v>1+0.0580337978571152i</v>
      </c>
      <c r="AN75" s="98">
        <f t="shared" si="57"/>
        <v>1.0016825453674036</v>
      </c>
      <c r="AO75" s="98">
        <f t="shared" si="58"/>
        <v>5.7968778099909628E-2</v>
      </c>
      <c r="AP75" s="168" t="str">
        <f t="shared" si="59"/>
        <v>-0.904272791922204+15.7381734224891i</v>
      </c>
      <c r="AQ75" s="98">
        <f t="shared" si="60"/>
        <v>23.953400455327976</v>
      </c>
      <c r="AR75" s="169">
        <f t="shared" si="61"/>
        <v>93.288444632413686</v>
      </c>
      <c r="AS75" s="168" t="str">
        <f t="shared" si="62"/>
        <v>0.143878270986042+108.390925307548i</v>
      </c>
      <c r="AT75" s="190">
        <f t="shared" si="63"/>
        <v>40.699866127682618</v>
      </c>
      <c r="AU75" s="169">
        <f t="shared" si="64"/>
        <v>89.923945544094053</v>
      </c>
      <c r="AV75" s="225"/>
      <c r="AX75">
        <f t="shared" si="65"/>
        <v>0</v>
      </c>
      <c r="AY75">
        <f t="shared" si="66"/>
        <v>0</v>
      </c>
    </row>
    <row r="76" spans="1:51" x14ac:dyDescent="0.2">
      <c r="N76" s="170">
        <v>58</v>
      </c>
      <c r="O76" s="199">
        <f t="shared" si="41"/>
        <v>38.018939632056139</v>
      </c>
      <c r="P76" s="189" t="str">
        <f t="shared" si="32"/>
        <v>6.8875</v>
      </c>
      <c r="Q76" s="160" t="str">
        <f t="shared" si="33"/>
        <v>1+0.0597200107226708i</v>
      </c>
      <c r="R76" s="160">
        <f t="shared" si="42"/>
        <v>1.0017816526971912</v>
      </c>
      <c r="S76" s="160">
        <f t="shared" si="43"/>
        <v>5.9649165526837064E-2</v>
      </c>
      <c r="T76" s="160" t="str">
        <f t="shared" si="34"/>
        <v>1+0.0000955520171562732i</v>
      </c>
      <c r="U76" s="160">
        <f t="shared" si="44"/>
        <v>1.0000000045650939</v>
      </c>
      <c r="V76" s="160">
        <f t="shared" si="45"/>
        <v>9.5552016865470577E-5</v>
      </c>
      <c r="W76" s="98" t="str">
        <f t="shared" si="35"/>
        <v>1-0.000248144088875363i</v>
      </c>
      <c r="X76" s="160">
        <f t="shared" si="46"/>
        <v>1.0000000307877439</v>
      </c>
      <c r="Y76" s="160">
        <f t="shared" si="47"/>
        <v>-2.4814408378216534E-4</v>
      </c>
      <c r="Z76" s="98" t="str">
        <f t="shared" si="36"/>
        <v>0.999999970135542+0.000284448582708834i</v>
      </c>
      <c r="AA76" s="160">
        <f t="shared" si="48"/>
        <v>1.0000000105910405</v>
      </c>
      <c r="AB76" s="160">
        <f t="shared" si="49"/>
        <v>2.84448583532064E-4</v>
      </c>
      <c r="AC76" s="171" t="str">
        <f t="shared" si="50"/>
        <v>6.86284355643217-0.412859208236818i</v>
      </c>
      <c r="AD76" s="190">
        <f t="shared" si="51"/>
        <v>16.745770982971859</v>
      </c>
      <c r="AE76" s="169">
        <f t="shared" si="52"/>
        <v>-3.4426860209113661</v>
      </c>
      <c r="AF76" s="98" t="str">
        <f t="shared" si="37"/>
        <v>-0.0000816326530612245</v>
      </c>
      <c r="AG76" s="98" t="str">
        <f t="shared" si="38"/>
        <v>5.30791455303097E-06i</v>
      </c>
      <c r="AH76" s="98">
        <f t="shared" si="53"/>
        <v>5.3079145530309703E-6</v>
      </c>
      <c r="AI76" s="98">
        <f t="shared" si="54"/>
        <v>1.5707963267948966</v>
      </c>
      <c r="AJ76" s="98" t="str">
        <f t="shared" si="39"/>
        <v>1+0.000587976026362612i</v>
      </c>
      <c r="AK76" s="98">
        <f t="shared" si="55"/>
        <v>1.0000001728578889</v>
      </c>
      <c r="AL76" s="98">
        <f t="shared" si="56"/>
        <v>5.8797595860509051E-4</v>
      </c>
      <c r="AM76" s="98" t="str">
        <f t="shared" si="40"/>
        <v>1+0.0593855786626238i</v>
      </c>
      <c r="AN76" s="98">
        <f t="shared" si="57"/>
        <v>1.0017617715570377</v>
      </c>
      <c r="AO76" s="98">
        <f t="shared" si="58"/>
        <v>5.931591535337466E-2</v>
      </c>
      <c r="AP76" s="168" t="str">
        <f t="shared" si="59"/>
        <v>-0.904272777851927+15.3799527883301i</v>
      </c>
      <c r="AQ76" s="98">
        <f t="shared" si="60"/>
        <v>23.754087354626936</v>
      </c>
      <c r="AR76" s="169">
        <f t="shared" si="61"/>
        <v>93.364863066820362</v>
      </c>
      <c r="AS76" s="168" t="str">
        <f t="shared" si="62"/>
        <v>0.143872524171489+105.923547234716i</v>
      </c>
      <c r="AT76" s="190">
        <f t="shared" si="63"/>
        <v>40.499858337598774</v>
      </c>
      <c r="AU76" s="169">
        <f t="shared" si="64"/>
        <v>89.92217704590901</v>
      </c>
      <c r="AV76" s="225"/>
      <c r="AX76">
        <f t="shared" si="65"/>
        <v>0</v>
      </c>
      <c r="AY76">
        <f t="shared" si="66"/>
        <v>0</v>
      </c>
    </row>
    <row r="77" spans="1:51" x14ac:dyDescent="0.2">
      <c r="N77" s="170">
        <v>59</v>
      </c>
      <c r="O77" s="199">
        <f t="shared" si="41"/>
        <v>38.904514499428053</v>
      </c>
      <c r="P77" s="189" t="str">
        <f t="shared" si="32"/>
        <v>6.8875</v>
      </c>
      <c r="Q77" s="160" t="str">
        <f t="shared" si="33"/>
        <v>1+0.0611110684714405i</v>
      </c>
      <c r="R77" s="160">
        <f t="shared" si="42"/>
        <v>1.0018655412228334</v>
      </c>
      <c r="S77" s="160">
        <f t="shared" si="43"/>
        <v>6.103516410866653E-2</v>
      </c>
      <c r="T77" s="160" t="str">
        <f t="shared" si="34"/>
        <v>1+0.0000977777095543048i</v>
      </c>
      <c r="U77" s="160">
        <f t="shared" si="44"/>
        <v>1.0000000047802402</v>
      </c>
      <c r="V77" s="160">
        <f t="shared" si="45"/>
        <v>9.7777709242704167E-5</v>
      </c>
      <c r="W77" s="98" t="str">
        <f t="shared" si="35"/>
        <v>1-0.000253924107222052i</v>
      </c>
      <c r="X77" s="160">
        <f t="shared" si="46"/>
        <v>1.0000000322387257</v>
      </c>
      <c r="Y77" s="160">
        <f t="shared" si="47"/>
        <v>-2.5392410176459235E-4</v>
      </c>
      <c r="Z77" s="98" t="str">
        <f t="shared" si="36"/>
        <v>0.999999968728073+0.000291074241350143i</v>
      </c>
      <c r="AA77" s="160">
        <f t="shared" si="48"/>
        <v>1.0000000110901803</v>
      </c>
      <c r="AB77" s="160">
        <f t="shared" si="49"/>
        <v>2.9107424223224994E-4</v>
      </c>
      <c r="AC77" s="171" t="str">
        <f t="shared" si="50"/>
        <v>6.86168585754593-0.422405186369062i</v>
      </c>
      <c r="AD77" s="190">
        <f t="shared" si="51"/>
        <v>16.745043672970926</v>
      </c>
      <c r="AE77" s="169">
        <f t="shared" si="52"/>
        <v>-3.5226811601975236</v>
      </c>
      <c r="AF77" s="98" t="str">
        <f t="shared" si="37"/>
        <v>-0.0000816326530612245</v>
      </c>
      <c r="AG77" s="98" t="str">
        <f t="shared" si="38"/>
        <v>5.43155176574162E-06i</v>
      </c>
      <c r="AH77" s="98">
        <f t="shared" si="53"/>
        <v>5.4315517657416198E-6</v>
      </c>
      <c r="AI77" s="98">
        <f t="shared" si="54"/>
        <v>1.5707963267948966</v>
      </c>
      <c r="AJ77" s="98" t="str">
        <f t="shared" si="39"/>
        <v>1+0.000601671747405945i</v>
      </c>
      <c r="AK77" s="98">
        <f t="shared" si="55"/>
        <v>1.0000001810044294</v>
      </c>
      <c r="AL77" s="98">
        <f t="shared" si="56"/>
        <v>6.016716748024533E-4</v>
      </c>
      <c r="AM77" s="98" t="str">
        <f t="shared" si="40"/>
        <v>1+0.0607688464880005i</v>
      </c>
      <c r="AN77" s="98">
        <f t="shared" si="57"/>
        <v>1.0018447248468607</v>
      </c>
      <c r="AO77" s="98">
        <f t="shared" si="58"/>
        <v>6.0694208328626598E-2</v>
      </c>
      <c r="AP77" s="168" t="str">
        <f t="shared" si="59"/>
        <v>-0.904272763118547+15.0298868087164i</v>
      </c>
      <c r="AQ77" s="98">
        <f t="shared" si="60"/>
        <v>23.554806510044621</v>
      </c>
      <c r="AR77" s="169">
        <f t="shared" si="61"/>
        <v>93.443048730499328</v>
      </c>
      <c r="AS77" s="168" t="str">
        <f t="shared" si="62"/>
        <v>0.143866508487243+103.512331260919i</v>
      </c>
      <c r="AT77" s="190">
        <f t="shared" si="63"/>
        <v>40.299850183015536</v>
      </c>
      <c r="AU77" s="169">
        <f t="shared" si="64"/>
        <v>89.920367570301806</v>
      </c>
      <c r="AV77" s="225"/>
      <c r="AX77">
        <f t="shared" si="65"/>
        <v>0</v>
      </c>
      <c r="AY77">
        <f t="shared" si="66"/>
        <v>0</v>
      </c>
    </row>
    <row r="78" spans="1:51" x14ac:dyDescent="0.2">
      <c r="N78" s="170">
        <v>60</v>
      </c>
      <c r="O78" s="199">
        <f t="shared" si="41"/>
        <v>39.810717055349755</v>
      </c>
      <c r="P78" s="189" t="str">
        <f t="shared" si="32"/>
        <v>6.8875</v>
      </c>
      <c r="Q78" s="160" t="str">
        <f t="shared" si="33"/>
        <v>1+0.0625345281176143i</v>
      </c>
      <c r="R78" s="160">
        <f t="shared" si="42"/>
        <v>1.0019533757650068</v>
      </c>
      <c r="S78" s="160">
        <f t="shared" si="43"/>
        <v>6.245320368897285E-2</v>
      </c>
      <c r="T78" s="160" t="str">
        <f t="shared" si="34"/>
        <v>1+0.000100055244988183i</v>
      </c>
      <c r="U78" s="160">
        <f t="shared" si="44"/>
        <v>1.000000005005526</v>
      </c>
      <c r="V78" s="160">
        <f t="shared" si="45"/>
        <v>1.0005524465429691E-4</v>
      </c>
      <c r="W78" s="98" t="str">
        <f t="shared" si="35"/>
        <v>1-0.000259838759491472i</v>
      </c>
      <c r="X78" s="160">
        <f t="shared" si="46"/>
        <v>1.0000000337580899</v>
      </c>
      <c r="Y78" s="160">
        <f t="shared" si="47"/>
        <v>-2.5983875364369869E-4</v>
      </c>
      <c r="Z78" s="98" t="str">
        <f t="shared" si="36"/>
        <v>0.999999967254273+0.000297854231407037i</v>
      </c>
      <c r="AA78" s="160">
        <f t="shared" si="48"/>
        <v>1.0000000116128449</v>
      </c>
      <c r="AB78" s="160">
        <f t="shared" si="49"/>
        <v>2.9785423235223143E-4</v>
      </c>
      <c r="AC78" s="171" t="str">
        <f t="shared" si="50"/>
        <v>6.86047401349066-0.432168485015842i</v>
      </c>
      <c r="AD78" s="190">
        <f t="shared" si="51"/>
        <v>16.744282216434648</v>
      </c>
      <c r="AE78" s="169">
        <f t="shared" si="52"/>
        <v>-3.6045256995737827</v>
      </c>
      <c r="AF78" s="98" t="str">
        <f t="shared" si="37"/>
        <v>-0.0000816326530612245</v>
      </c>
      <c r="AG78" s="98" t="str">
        <f t="shared" si="38"/>
        <v>5.55806885909356E-06i</v>
      </c>
      <c r="AH78" s="98">
        <f t="shared" si="53"/>
        <v>5.5580688590935599E-6</v>
      </c>
      <c r="AI78" s="98">
        <f t="shared" si="54"/>
        <v>1.5707963267948966</v>
      </c>
      <c r="AJ78" s="98" t="str">
        <f t="shared" si="39"/>
        <v>1+0.000615686482773818i</v>
      </c>
      <c r="AK78" s="98">
        <f t="shared" si="55"/>
        <v>1.0000001895349047</v>
      </c>
      <c r="AL78" s="98">
        <f t="shared" si="56"/>
        <v>6.1568640497777587E-4</v>
      </c>
      <c r="AM78" s="98" t="str">
        <f t="shared" si="40"/>
        <v>1+0.0621843347601556i</v>
      </c>
      <c r="AN78" s="98">
        <f t="shared" si="57"/>
        <v>1.0019315802436626</v>
      </c>
      <c r="AO78" s="98">
        <f t="shared" si="58"/>
        <v>6.2104366856357687E-2</v>
      </c>
      <c r="AP78" s="168" t="str">
        <f t="shared" si="59"/>
        <v>-0.904272747690792+14.6877898740319i</v>
      </c>
      <c r="AQ78" s="98">
        <f t="shared" si="60"/>
        <v>23.355559430572718</v>
      </c>
      <c r="AR78" s="169">
        <f t="shared" si="61"/>
        <v>93.523041877692634</v>
      </c>
      <c r="AS78" s="168" t="str">
        <f t="shared" si="62"/>
        <v>0.143860211450916+101.155998929818i</v>
      </c>
      <c r="AT78" s="190">
        <f t="shared" si="63"/>
        <v>40.099841647007388</v>
      </c>
      <c r="AU78" s="169">
        <f t="shared" si="64"/>
        <v>89.918516178118864</v>
      </c>
      <c r="AV78" s="225"/>
      <c r="AX78">
        <f t="shared" si="65"/>
        <v>0</v>
      </c>
      <c r="AY78">
        <f t="shared" si="66"/>
        <v>0</v>
      </c>
    </row>
    <row r="79" spans="1:51" x14ac:dyDescent="0.2">
      <c r="N79" s="170">
        <v>61</v>
      </c>
      <c r="O79" s="199">
        <f t="shared" si="41"/>
        <v>40.738027780411279</v>
      </c>
      <c r="P79" s="189" t="str">
        <f t="shared" si="32"/>
        <v>6.8875</v>
      </c>
      <c r="Q79" s="160" t="str">
        <f t="shared" si="33"/>
        <v>1+0.0639911443983385i</v>
      </c>
      <c r="R79" s="160">
        <f t="shared" si="42"/>
        <v>1.0020453415696364</v>
      </c>
      <c r="S79" s="160">
        <f t="shared" si="43"/>
        <v>6.3904013306672766E-2</v>
      </c>
      <c r="T79" s="160" t="str">
        <f t="shared" si="34"/>
        <v>1+0.000102385831037342i</v>
      </c>
      <c r="U79" s="160">
        <f t="shared" si="44"/>
        <v>1.0000000052414291</v>
      </c>
      <c r="V79" s="160">
        <f t="shared" si="45"/>
        <v>1.0238583067957661E-4</v>
      </c>
      <c r="W79" s="98" t="str">
        <f t="shared" si="35"/>
        <v>1-0.000265891181710548i</v>
      </c>
      <c r="X79" s="160">
        <f t="shared" si="46"/>
        <v>1.0000000353490597</v>
      </c>
      <c r="Y79" s="160">
        <f t="shared" si="47"/>
        <v>-2.6589117544454602E-4</v>
      </c>
      <c r="Z79" s="98" t="str">
        <f t="shared" si="36"/>
        <v>0.999999965711014+0.000304792147719992i</v>
      </c>
      <c r="AA79" s="160">
        <f t="shared" si="48"/>
        <v>1.0000000121601411</v>
      </c>
      <c r="AB79" s="160">
        <f t="shared" si="49"/>
        <v>3.047921487327862E-4</v>
      </c>
      <c r="AC79" s="171" t="str">
        <f t="shared" si="50"/>
        <v>6.85920551232999-0.442153809357663i</v>
      </c>
      <c r="AD79" s="190">
        <f t="shared" si="51"/>
        <v>16.743485016629418</v>
      </c>
      <c r="AE79" s="169">
        <f t="shared" si="52"/>
        <v>-3.688261726354177</v>
      </c>
      <c r="AF79" s="98" t="str">
        <f t="shared" si="37"/>
        <v>-0.0000816326530612245</v>
      </c>
      <c r="AG79" s="98" t="str">
        <f t="shared" si="38"/>
        <v>5.68753291412433E-06i</v>
      </c>
      <c r="AH79" s="98">
        <f t="shared" si="53"/>
        <v>5.68753291412433E-6</v>
      </c>
      <c r="AI79" s="98">
        <f t="shared" si="54"/>
        <v>1.5707963267948966</v>
      </c>
      <c r="AJ79" s="98" t="str">
        <f t="shared" si="39"/>
        <v>1+0.000630027663264434i</v>
      </c>
      <c r="AK79" s="98">
        <f t="shared" si="55"/>
        <v>1.0000001984674085</v>
      </c>
      <c r="AL79" s="98">
        <f t="shared" si="56"/>
        <v>6.3002757990447374E-4</v>
      </c>
      <c r="AM79" s="98" t="str">
        <f t="shared" si="40"/>
        <v>1+0.0636327939897078i</v>
      </c>
      <c r="AN79" s="98">
        <f t="shared" si="57"/>
        <v>1.002022520939992</v>
      </c>
      <c r="AO79" s="98">
        <f t="shared" si="58"/>
        <v>6.3547116175287924E-2</v>
      </c>
      <c r="AP79" s="168" t="str">
        <f t="shared" si="59"/>
        <v>-0.904272731535959+14.3534805999536i</v>
      </c>
      <c r="AQ79" s="98">
        <f t="shared" si="60"/>
        <v>23.156347695245927</v>
      </c>
      <c r="AR79" s="169">
        <f t="shared" si="61"/>
        <v>93.604883635766157</v>
      </c>
      <c r="AS79" s="168" t="str">
        <f t="shared" si="62"/>
        <v>0.143853620009652+98.8533008852702i</v>
      </c>
      <c r="AT79" s="190">
        <f t="shared" si="63"/>
        <v>39.899832711875348</v>
      </c>
      <c r="AU79" s="169">
        <f t="shared" si="64"/>
        <v>89.916621909412001</v>
      </c>
      <c r="AV79" s="225"/>
      <c r="AX79">
        <f t="shared" si="65"/>
        <v>0</v>
      </c>
      <c r="AY79">
        <f t="shared" si="66"/>
        <v>0</v>
      </c>
    </row>
    <row r="80" spans="1:51" x14ac:dyDescent="0.2">
      <c r="N80" s="170">
        <v>62</v>
      </c>
      <c r="O80" s="199">
        <f t="shared" si="41"/>
        <v>41.686938347033561</v>
      </c>
      <c r="P80" s="189" t="str">
        <f t="shared" si="32"/>
        <v>6.8875</v>
      </c>
      <c r="Q80" s="160" t="str">
        <f t="shared" si="33"/>
        <v>1+0.0654816896308457i</v>
      </c>
      <c r="R80" s="160">
        <f t="shared" si="42"/>
        <v>1.0021416325434795</v>
      </c>
      <c r="S80" s="160">
        <f t="shared" si="43"/>
        <v>6.538833775657546E-2</v>
      </c>
      <c r="T80" s="160" t="str">
        <f t="shared" si="34"/>
        <v>1+0.000104770703409353i</v>
      </c>
      <c r="U80" s="160">
        <f t="shared" si="44"/>
        <v>1.0000000054884501</v>
      </c>
      <c r="V80" s="160">
        <f t="shared" si="45"/>
        <v>1.0477070302600048E-4</v>
      </c>
      <c r="W80" s="98" t="str">
        <f t="shared" si="35"/>
        <v>1-0.000272084582953653i</v>
      </c>
      <c r="X80" s="160">
        <f t="shared" si="46"/>
        <v>1.0000000370150095</v>
      </c>
      <c r="Y80" s="160">
        <f t="shared" si="47"/>
        <v>-2.7208457623951088E-4</v>
      </c>
      <c r="Z80" s="98" t="str">
        <f t="shared" si="36"/>
        <v>0.999999964095024+0.000311891668864069i</v>
      </c>
      <c r="AA80" s="160">
        <f t="shared" si="48"/>
        <v>1.0000000127332311</v>
      </c>
      <c r="AB80" s="160">
        <f t="shared" si="49"/>
        <v>3.1189166994929749E-4</v>
      </c>
      <c r="AC80" s="171" t="str">
        <f t="shared" si="50"/>
        <v>6.85787772755264-0.452365949032362i</v>
      </c>
      <c r="AD80" s="190">
        <f t="shared" si="51"/>
        <v>16.742650402772568</v>
      </c>
      <c r="AE80" s="169">
        <f t="shared" si="52"/>
        <v>-3.7739322379702096</v>
      </c>
      <c r="AF80" s="98" t="str">
        <f t="shared" si="37"/>
        <v>-0.0000816326530612245</v>
      </c>
      <c r="AG80" s="98" t="str">
        <f t="shared" si="38"/>
        <v>5.82001257438956E-06i</v>
      </c>
      <c r="AH80" s="98">
        <f t="shared" si="53"/>
        <v>5.82001257438956E-6</v>
      </c>
      <c r="AI80" s="98">
        <f t="shared" si="54"/>
        <v>1.5707963267948966</v>
      </c>
      <c r="AJ80" s="98" t="str">
        <f t="shared" si="39"/>
        <v>1+0.000644702892761515i</v>
      </c>
      <c r="AK80" s="98">
        <f t="shared" si="55"/>
        <v>1.0000002078208883</v>
      </c>
      <c r="AL80" s="98">
        <f t="shared" si="56"/>
        <v>6.4470280343970944E-4</v>
      </c>
      <c r="AM80" s="98" t="str">
        <f t="shared" si="40"/>
        <v>1+0.065114992168913i</v>
      </c>
      <c r="AN80" s="98">
        <f t="shared" si="57"/>
        <v>1.0021177386939908</v>
      </c>
      <c r="AO80" s="98">
        <f t="shared" si="58"/>
        <v>6.5023197211693806E-2</v>
      </c>
      <c r="AP80" s="168" t="str">
        <f t="shared" si="59"/>
        <v>-0.904272714619772+14.0267817312792i</v>
      </c>
      <c r="AQ80" s="98">
        <f t="shared" si="60"/>
        <v>22.957172956340301</v>
      </c>
      <c r="AR80" s="169">
        <f t="shared" si="61"/>
        <v>93.688616020999547</v>
      </c>
      <c r="AS80" s="168" t="str">
        <f t="shared" si="62"/>
        <v>0.143846720515414+96.6030162089149i</v>
      </c>
      <c r="AT80" s="190">
        <f t="shared" si="63"/>
        <v>39.69982335911287</v>
      </c>
      <c r="AU80" s="169">
        <f t="shared" si="64"/>
        <v>89.914683783029346</v>
      </c>
      <c r="AV80" s="225"/>
      <c r="AX80">
        <f t="shared" si="65"/>
        <v>0</v>
      </c>
      <c r="AY80">
        <f t="shared" si="66"/>
        <v>0</v>
      </c>
    </row>
    <row r="81" spans="14:51" x14ac:dyDescent="0.2">
      <c r="N81" s="170">
        <v>63</v>
      </c>
      <c r="O81" s="199">
        <f t="shared" si="41"/>
        <v>42.657951880159267</v>
      </c>
      <c r="P81" s="189" t="str">
        <f t="shared" si="32"/>
        <v>6.8875</v>
      </c>
      <c r="Q81" s="160" t="str">
        <f t="shared" si="33"/>
        <v>1+0.0670069541219477i</v>
      </c>
      <c r="R81" s="160">
        <f t="shared" si="42"/>
        <v>1.0022424516556365</v>
      </c>
      <c r="S81" s="160">
        <f t="shared" si="43"/>
        <v>6.6906937870074068E-2</v>
      </c>
      <c r="T81" s="160" t="str">
        <f t="shared" si="34"/>
        <v>1+0.000107211126595116i</v>
      </c>
      <c r="U81" s="160">
        <f t="shared" si="44"/>
        <v>1.0000000057471128</v>
      </c>
      <c r="V81" s="160">
        <f t="shared" si="45"/>
        <v>1.0721112618434637E-4</v>
      </c>
      <c r="W81" s="98" t="str">
        <f t="shared" si="35"/>
        <v>1-0.000278422247044104i</v>
      </c>
      <c r="X81" s="160">
        <f t="shared" si="46"/>
        <v>1.0000000387594732</v>
      </c>
      <c r="Y81" s="160">
        <f t="shared" si="47"/>
        <v>-2.7842223984977113E-4</v>
      </c>
      <c r="Z81" s="98" t="str">
        <f t="shared" si="36"/>
        <v>0.999999962402875+0.000319156559099351i</v>
      </c>
      <c r="AA81" s="160">
        <f t="shared" si="48"/>
        <v>1.0000000133333302</v>
      </c>
      <c r="AB81" s="160">
        <f t="shared" si="49"/>
        <v>3.1915656026219413E-4</v>
      </c>
      <c r="AC81" s="171" t="str">
        <f t="shared" si="50"/>
        <v>6.85648791303497-0.462809778350529i</v>
      </c>
      <c r="AD81" s="190">
        <f t="shared" si="51"/>
        <v>16.741776626657508</v>
      </c>
      <c r="AE81" s="169">
        <f t="shared" si="52"/>
        <v>-3.8615811582249626</v>
      </c>
      <c r="AF81" s="98" t="str">
        <f t="shared" si="37"/>
        <v>-0.0000816326530612245</v>
      </c>
      <c r="AG81" s="98" t="str">
        <f t="shared" si="38"/>
        <v>5.95557808235871E-06i</v>
      </c>
      <c r="AH81" s="98">
        <f t="shared" si="53"/>
        <v>5.9555780823587101E-6</v>
      </c>
      <c r="AI81" s="98">
        <f t="shared" si="54"/>
        <v>1.5707963267948966</v>
      </c>
      <c r="AJ81" s="98" t="str">
        <f t="shared" si="39"/>
        <v>1+0.000659719952265989i</v>
      </c>
      <c r="AK81" s="98">
        <f t="shared" si="55"/>
        <v>1.0000002176151841</v>
      </c>
      <c r="AL81" s="98">
        <f t="shared" si="56"/>
        <v>6.5971985655595097E-4</v>
      </c>
      <c r="AM81" s="98" t="str">
        <f t="shared" si="40"/>
        <v>1+0.0666317151788649i</v>
      </c>
      <c r="AN81" s="98">
        <f t="shared" si="57"/>
        <v>1.0022174342265642</v>
      </c>
      <c r="AO81" s="98">
        <f t="shared" si="58"/>
        <v>6.6533366859915469E-2</v>
      </c>
      <c r="AP81" s="168" t="str">
        <f t="shared" si="59"/>
        <v>-0.904272696906343+13.7075200479441i</v>
      </c>
      <c r="AQ81" s="98">
        <f t="shared" si="60"/>
        <v>22.758036942712629</v>
      </c>
      <c r="AR81" s="169">
        <f t="shared" si="61"/>
        <v>93.774281954427096</v>
      </c>
      <c r="AS81" s="168" t="str">
        <f t="shared" si="62"/>
        <v>0.143839498698567+94.4039517728369i</v>
      </c>
      <c r="AT81" s="190">
        <f t="shared" si="63"/>
        <v>39.49981356937014</v>
      </c>
      <c r="AU81" s="169">
        <f t="shared" si="64"/>
        <v>89.912700796202145</v>
      </c>
      <c r="AV81" s="225"/>
      <c r="AX81">
        <f t="shared" si="65"/>
        <v>0</v>
      </c>
      <c r="AY81">
        <f t="shared" si="66"/>
        <v>0</v>
      </c>
    </row>
    <row r="82" spans="14:51" x14ac:dyDescent="0.2">
      <c r="N82" s="170">
        <v>64</v>
      </c>
      <c r="O82" s="199">
        <f t="shared" si="41"/>
        <v>43.651583224016633</v>
      </c>
      <c r="P82" s="189" t="str">
        <f t="shared" si="32"/>
        <v>6.8875</v>
      </c>
      <c r="Q82" s="160" t="str">
        <f t="shared" si="33"/>
        <v>1+0.068567746587067i</v>
      </c>
      <c r="R82" s="160">
        <f t="shared" si="42"/>
        <v>1.0023480113573469</v>
      </c>
      <c r="S82" s="160">
        <f t="shared" si="43"/>
        <v>6.8460590796365156E-2</v>
      </c>
      <c r="T82" s="160" t="str">
        <f t="shared" si="34"/>
        <v>1+0.000109708394539307i</v>
      </c>
      <c r="U82" s="160">
        <f t="shared" si="44"/>
        <v>1.0000000060179659</v>
      </c>
      <c r="V82" s="160">
        <f t="shared" si="45"/>
        <v>1.0970839409915942E-4</v>
      </c>
      <c r="W82" s="98" t="str">
        <f t="shared" si="35"/>
        <v>1-0.000284907534295292i</v>
      </c>
      <c r="X82" s="160">
        <f t="shared" si="46"/>
        <v>1.0000000405861507</v>
      </c>
      <c r="Y82" s="160">
        <f t="shared" si="47"/>
        <v>-2.8490752658642549E-4</v>
      </c>
      <c r="Z82" s="98" t="str">
        <f t="shared" si="36"/>
        <v>0.999999960630977+0.000326590670366803i</v>
      </c>
      <c r="AA82" s="160">
        <f t="shared" si="48"/>
        <v>1.0000000139617107</v>
      </c>
      <c r="AB82" s="160">
        <f t="shared" si="49"/>
        <v>3.2659067161281194E-4</v>
      </c>
      <c r="AC82" s="171" t="str">
        <f t="shared" si="50"/>
        <v>6.85503319780036-0.473490256396224i</v>
      </c>
      <c r="AD82" s="190">
        <f t="shared" si="51"/>
        <v>16.740861859130781</v>
      </c>
      <c r="AE82" s="169">
        <f t="shared" si="52"/>
        <v>-3.9512533535815173</v>
      </c>
      <c r="AF82" s="98" t="str">
        <f t="shared" si="37"/>
        <v>-0.0000816326530612245</v>
      </c>
      <c r="AG82" s="98" t="str">
        <f t="shared" si="38"/>
        <v>6.09430131665852E-06i</v>
      </c>
      <c r="AH82" s="98">
        <f t="shared" si="53"/>
        <v>6.0943013166585202E-6</v>
      </c>
      <c r="AI82" s="98">
        <f t="shared" si="54"/>
        <v>1.5707963267948966</v>
      </c>
      <c r="AJ82" s="98" t="str">
        <f t="shared" si="39"/>
        <v>1+0.000675086804021579i</v>
      </c>
      <c r="AK82" s="98">
        <f t="shared" si="55"/>
        <v>1.0000002278710705</v>
      </c>
      <c r="AL82" s="98">
        <f t="shared" si="56"/>
        <v>6.7508670146642692E-4</v>
      </c>
      <c r="AM82" s="98" t="str">
        <f t="shared" si="40"/>
        <v>1+0.0681837672061795i</v>
      </c>
      <c r="AN82" s="98">
        <f t="shared" si="57"/>
        <v>1.0023218176366442</v>
      </c>
      <c r="AO82" s="98">
        <f t="shared" si="58"/>
        <v>6.8078398263482456E-2</v>
      </c>
      <c r="AP82" s="168" t="str">
        <f t="shared" si="59"/>
        <v>-0.904272678358106+13.3955262731778i</v>
      </c>
      <c r="AQ82" s="98">
        <f t="shared" si="60"/>
        <v>22.558941463286434</v>
      </c>
      <c r="AR82" s="169">
        <f t="shared" si="61"/>
        <v>93.861925277708849</v>
      </c>
      <c r="AS82" s="168" t="str">
        <f t="shared" si="62"/>
        <v>0.143831939640648+92.2549416069686i</v>
      </c>
      <c r="AT82" s="190">
        <f t="shared" si="63"/>
        <v>39.299803322417212</v>
      </c>
      <c r="AU82" s="169">
        <f t="shared" si="64"/>
        <v>89.910671924127342</v>
      </c>
      <c r="AV82" s="225"/>
      <c r="AX82">
        <f t="shared" si="65"/>
        <v>0</v>
      </c>
      <c r="AY82">
        <f t="shared" si="66"/>
        <v>0</v>
      </c>
    </row>
    <row r="83" spans="14:51" x14ac:dyDescent="0.2">
      <c r="N83" s="170">
        <v>65</v>
      </c>
      <c r="O83" s="199">
        <f t="shared" si="41"/>
        <v>44.668359215096324</v>
      </c>
      <c r="P83" s="189" t="str">
        <f t="shared" ref="P83:P146" si="67">COMPLEX(Adc,0)</f>
        <v>6.8875</v>
      </c>
      <c r="Q83" s="160" t="str">
        <f t="shared" ref="Q83:Q146" si="68">IMSUM(COMPLEX(1,0),IMDIV(COMPLEX(0,2*PI()*O83),COMPLEX(wp_lf,0)))</f>
        <v>1+0.0701648945790283i</v>
      </c>
      <c r="R83" s="160">
        <f t="shared" si="42"/>
        <v>1.0024585340208771</v>
      </c>
      <c r="S83" s="160">
        <f t="shared" si="43"/>
        <v>7.0050090283796995E-2</v>
      </c>
      <c r="T83" s="160" t="str">
        <f t="shared" ref="T83:T146" si="69">IMSUM(COMPLEX(1,0),IMDIV(COMPLEX(0,2*PI()*O83),COMPLEX(wz_esr,0)))</f>
        <v>1+0.000112263831326445i</v>
      </c>
      <c r="U83" s="160">
        <f t="shared" si="44"/>
        <v>1.0000000063015839</v>
      </c>
      <c r="V83" s="160">
        <f t="shared" si="45"/>
        <v>1.1226383085481837E-4</v>
      </c>
      <c r="W83" s="98" t="str">
        <f t="shared" ref="W83:W146" si="70">IMSUB(COMPLEX(1,0),IMDIV(COMPLEX(0,2*PI()*O83),COMPLEX(wz_rhp,0)))</f>
        <v>1-0.000291543883292361i</v>
      </c>
      <c r="X83" s="160">
        <f t="shared" si="46"/>
        <v>1.0000000424989171</v>
      </c>
      <c r="Y83" s="160">
        <f t="shared" si="47"/>
        <v>-2.915438750321617E-4</v>
      </c>
      <c r="Z83" s="98" t="str">
        <f t="shared" ref="Z83:Z146" si="71">IF(Dc_Mode_Loop="CCM",IMSUM(COMPLEX(1,0),IMDIV(COMPLEX(0,2*PI()*O83),COMPLEX(Q*(wsl/2),0)),IMDIV(IMPOWER(COMPLEX(0,2*PI()*O83),2),IMPOWER(COMPLEX(wsl/2,0),2))),COMPLEX(1,0))</f>
        <v>0.999999958775572+0.000334197944330624i</v>
      </c>
      <c r="AA83" s="160">
        <f t="shared" si="48"/>
        <v>1.0000000146197057</v>
      </c>
      <c r="AB83" s="160">
        <f t="shared" si="49"/>
        <v>3.3419794566574661E-4</v>
      </c>
      <c r="AC83" s="171" t="str">
        <f t="shared" si="50"/>
        <v>6.85351058056891-0.484412427002391i</v>
      </c>
      <c r="AD83" s="190">
        <f t="shared" si="51"/>
        <v>16.739904186414961</v>
      </c>
      <c r="AE83" s="169">
        <f t="shared" si="52"/>
        <v>-4.0429946494628126</v>
      </c>
      <c r="AF83" s="98" t="str">
        <f t="shared" ref="AF83:AF146" si="72">COMPLEX(Adc_ea,0)</f>
        <v>-0.0000816326530612245</v>
      </c>
      <c r="AG83" s="98" t="str">
        <f t="shared" ref="AG83:AG146" si="73">COMPLEX(0,2*PI()*O83*wp0_ea)</f>
        <v>6.23625583018403E-06i</v>
      </c>
      <c r="AH83" s="98">
        <f t="shared" si="53"/>
        <v>6.2362558301840297E-6</v>
      </c>
      <c r="AI83" s="98">
        <f t="shared" si="54"/>
        <v>1.5707963267948966</v>
      </c>
      <c r="AJ83" s="98" t="str">
        <f t="shared" ref="AJ83:AJ146" si="74">IMSUM(COMPLEX(1,0),IMDIV(COMPLEX(0,2*PI()*O83),COMPLEX(wp1_ea,0)))</f>
        <v>1+0.000690811595736492i</v>
      </c>
      <c r="AK83" s="98">
        <f t="shared" si="55"/>
        <v>1.000000238610302</v>
      </c>
      <c r="AL83" s="98">
        <f t="shared" si="56"/>
        <v>6.9081148584666807E-4</v>
      </c>
      <c r="AM83" s="98" t="str">
        <f t="shared" ref="AM83:AM146" si="75">IMSUM(COMPLEX(1,0),IMDIV(COMPLEX(0,2*PI()*O83),COMPLEX(wz_ea,0)))</f>
        <v>1+0.0697719711693857i</v>
      </c>
      <c r="AN83" s="98">
        <f t="shared" si="57"/>
        <v>1.0024311088353461</v>
      </c>
      <c r="AO83" s="98">
        <f t="shared" si="58"/>
        <v>6.9659081096469455E-2</v>
      </c>
      <c r="AP83" s="168" t="str">
        <f t="shared" si="59"/>
        <v>-0.904272658935731+13.0906349837512i</v>
      </c>
      <c r="AQ83" s="98">
        <f t="shared" si="60"/>
        <v>22.35988841069064</v>
      </c>
      <c r="AR83" s="169">
        <f t="shared" si="61"/>
        <v>93.951590769009044</v>
      </c>
      <c r="AS83" s="168" t="str">
        <f t="shared" si="62"/>
        <v>0.14382402774611+90.1548462808913i</v>
      </c>
      <c r="AT83" s="190">
        <f t="shared" si="63"/>
        <v>39.099792597105598</v>
      </c>
      <c r="AU83" s="169">
        <f t="shared" si="64"/>
        <v>89.908596119546246</v>
      </c>
      <c r="AV83" s="225"/>
      <c r="AX83">
        <f t="shared" si="65"/>
        <v>0</v>
      </c>
      <c r="AY83">
        <f t="shared" si="66"/>
        <v>0</v>
      </c>
    </row>
    <row r="84" spans="14:51" x14ac:dyDescent="0.2">
      <c r="N84" s="170">
        <v>66</v>
      </c>
      <c r="O84" s="199">
        <f t="shared" ref="O84:O118" si="76">10^(1+(N84/100))</f>
        <v>45.70881896148753</v>
      </c>
      <c r="P84" s="189" t="str">
        <f t="shared" si="67"/>
        <v>6.8875</v>
      </c>
      <c r="Q84" s="160" t="str">
        <f t="shared" si="68"/>
        <v>1+0.0717992449268375i</v>
      </c>
      <c r="R84" s="160">
        <f t="shared" ref="R84:R147" si="77">IMABS(Q84)</f>
        <v>1.0025742523983268</v>
      </c>
      <c r="S84" s="160">
        <f t="shared" ref="S84:S147" si="78">IMARGUMENT(Q84)</f>
        <v>7.1676246960913043E-2</v>
      </c>
      <c r="T84" s="160" t="str">
        <f t="shared" si="69"/>
        <v>1+0.00011487879188294i</v>
      </c>
      <c r="U84" s="160">
        <f t="shared" ref="U84:U147" si="79">IMABS(T84)</f>
        <v>1.0000000065985684</v>
      </c>
      <c r="V84" s="160">
        <f t="shared" ref="V84:V147" si="80">IMARGUMENT(T84)</f>
        <v>1.1487879137758297E-4</v>
      </c>
      <c r="W84" s="98" t="str">
        <f t="shared" si="70"/>
        <v>1-0.000298334812715391i</v>
      </c>
      <c r="X84" s="160">
        <f t="shared" ref="X84:X147" si="81">IMABS(W84)</f>
        <v>1.0000000445018293</v>
      </c>
      <c r="Y84" s="160">
        <f t="shared" ref="Y84:Y147" si="82">IMARGUMENT(W84)</f>
        <v>-2.9833480386442802E-4</v>
      </c>
      <c r="Z84" s="98" t="str">
        <f t="shared" si="71"/>
        <v>0.999999956832725+0.000341982414468161i</v>
      </c>
      <c r="AA84" s="160">
        <f t="shared" ref="AA84:AA147" si="83">IMABS(Z84)</f>
        <v>1.0000000153087116</v>
      </c>
      <c r="AB84" s="160">
        <f t="shared" ref="AB84:AB147" si="84">IMARGUMENT(Z84)</f>
        <v>3.4198241589877056E-4</v>
      </c>
      <c r="AC84" s="171" t="str">
        <f t="shared" ref="AC84:AC147" si="85">(IMDIV(IMPRODUCT(P84,T84,W84),IMPRODUCT(Q84,Z84)))</f>
        <v>6.85191692409113-0.495581418589672i</v>
      </c>
      <c r="AD84" s="190">
        <f t="shared" ref="AD84:AD147" si="86">20*LOG(IMABS(AC84))</f>
        <v>16.738901606271323</v>
      </c>
      <c r="AE84" s="169">
        <f t="shared" ref="AE84:AE147" si="87">(180/PI())*IMARGUMENT(AC84)</f>
        <v>-4.1368518465381863</v>
      </c>
      <c r="AF84" s="98" t="str">
        <f t="shared" si="72"/>
        <v>-0.0000816326530612245</v>
      </c>
      <c r="AG84" s="98" t="str">
        <f t="shared" si="73"/>
        <v>6.38151688909732E-06i</v>
      </c>
      <c r="AH84" s="98">
        <f t="shared" ref="AH84:AH147" si="88">IMABS(AG84)</f>
        <v>6.3815168890973202E-6</v>
      </c>
      <c r="AI84" s="98">
        <f t="shared" ref="AI84:AI147" si="89">IMARGUMENT(AG84)</f>
        <v>1.5707963267948966</v>
      </c>
      <c r="AJ84" s="98" t="str">
        <f t="shared" si="74"/>
        <v>1+0.000706902664903438i</v>
      </c>
      <c r="AK84" s="98">
        <f t="shared" ref="AK84:AK147" si="90">IMABS(AJ84)</f>
        <v>1.0000002498556575</v>
      </c>
      <c r="AL84" s="98">
        <f t="shared" ref="AL84:AL147" si="91">IMARGUMENT(AJ84)</f>
        <v>7.0690254715437175E-4</v>
      </c>
      <c r="AM84" s="98" t="str">
        <f t="shared" si="75"/>
        <v>1+0.0713971691552472i</v>
      </c>
      <c r="AN84" s="98">
        <f t="shared" ref="AN84:AN147" si="92">IMABS(AM84)</f>
        <v>1.0025455379998371</v>
      </c>
      <c r="AO84" s="98">
        <f t="shared" ref="AO84:AO147" si="93">IMARGUMENT(AM84)</f>
        <v>7.1276221844656124E-2</v>
      </c>
      <c r="AP84" s="168" t="str">
        <f t="shared" ref="AP84:AP147" si="94">IMPRODUCT(AF84,IMDIV(AM84,IMPRODUCT(AG84,AJ84)))</f>
        <v>-0.904272638598+12.7926845222666i</v>
      </c>
      <c r="AQ84" s="98">
        <f t="shared" ref="AQ84:AQ147" si="95">20*LOG(IMABS(AP84))</f>
        <v>22.160879765056585</v>
      </c>
      <c r="AR84" s="169">
        <f t="shared" ref="AR84:AR147" si="96">(180/PI())*IMARGUMENT(AP84)</f>
        <v>94.043324158857985</v>
      </c>
      <c r="AS84" s="168" t="str">
        <f t="shared" ref="AS84:AS147" si="97">IMPRODUCT(AC84,AP84)</f>
        <v>0.143815746712843+88.1025522997054i</v>
      </c>
      <c r="AT84" s="190">
        <f t="shared" ref="AT84:AT147" si="98">20*LOG(IMABS(AS84))</f>
        <v>38.899781371327904</v>
      </c>
      <c r="AU84" s="169">
        <f t="shared" ref="AU84:AU147" si="99">(180/PI())*IMARGUMENT(AS84)</f>
        <v>89.906472312319806</v>
      </c>
      <c r="AV84" s="225"/>
      <c r="AX84">
        <f t="shared" ref="AX84:AX147" si="100">SUM((AT85&lt;0)*(AT84&gt;0))*O84</f>
        <v>0</v>
      </c>
      <c r="AY84">
        <f t="shared" ref="AY84:AY147" si="101">IF(AX84&gt;0,AU84,0)</f>
        <v>0</v>
      </c>
    </row>
    <row r="85" spans="14:51" x14ac:dyDescent="0.2">
      <c r="N85" s="170">
        <v>67</v>
      </c>
      <c r="O85" s="199">
        <f t="shared" si="76"/>
        <v>46.773514128719818</v>
      </c>
      <c r="P85" s="189" t="str">
        <f t="shared" si="67"/>
        <v>6.8875</v>
      </c>
      <c r="Q85" s="160" t="str">
        <f t="shared" si="68"/>
        <v>1+0.0734716641846822i</v>
      </c>
      <c r="R85" s="160">
        <f t="shared" si="77"/>
        <v>1.0026954101012264</v>
      </c>
      <c r="S85" s="160">
        <f t="shared" si="78"/>
        <v>7.3339888616718182E-2</v>
      </c>
      <c r="T85" s="160" t="str">
        <f t="shared" si="69"/>
        <v>1+0.000117554662695492i</v>
      </c>
      <c r="U85" s="160">
        <f t="shared" si="79"/>
        <v>1.0000000069095494</v>
      </c>
      <c r="V85" s="160">
        <f t="shared" si="80"/>
        <v>1.1755466215399217E-4</v>
      </c>
      <c r="W85" s="98" t="str">
        <f t="shared" si="70"/>
        <v>1-0.000305283923205051i</v>
      </c>
      <c r="X85" s="160">
        <f t="shared" si="81"/>
        <v>1.0000000465991359</v>
      </c>
      <c r="Y85" s="160">
        <f t="shared" si="82"/>
        <v>-3.052839137210733E-4</v>
      </c>
      <c r="Z85" s="98" t="str">
        <f t="shared" si="71"/>
        <v>0.999999954798314+0.000349948208208521i</v>
      </c>
      <c r="AA85" s="160">
        <f t="shared" si="83"/>
        <v>1.0000000160301894</v>
      </c>
      <c r="AB85" s="160">
        <f t="shared" si="84"/>
        <v>3.4994820974144669E-4</v>
      </c>
      <c r="AC85" s="171" t="str">
        <f t="shared" si="85"/>
        <v>6.8502489492593-0.507002443856573i</v>
      </c>
      <c r="AD85" s="190">
        <f t="shared" si="86"/>
        <v>16.737852023996069</v>
      </c>
      <c r="AE85" s="169">
        <f t="shared" si="87"/>
        <v>-4.2328727369697887</v>
      </c>
      <c r="AF85" s="98" t="str">
        <f t="shared" si="72"/>
        <v>-0.0000816326530612245</v>
      </c>
      <c r="AG85" s="98" t="str">
        <f t="shared" si="73"/>
        <v>6.53016151273456E-06i</v>
      </c>
      <c r="AH85" s="98">
        <f t="shared" si="88"/>
        <v>6.5301615127345604E-6</v>
      </c>
      <c r="AI85" s="98">
        <f t="shared" si="89"/>
        <v>1.5707963267948966</v>
      </c>
      <c r="AJ85" s="98" t="str">
        <f t="shared" si="74"/>
        <v>1+0.000723368543220278i</v>
      </c>
      <c r="AK85" s="98">
        <f t="shared" si="90"/>
        <v>1.0000002616309904</v>
      </c>
      <c r="AL85" s="98">
        <f t="shared" si="91"/>
        <v>7.233684170498821E-4</v>
      </c>
      <c r="AM85" s="98" t="str">
        <f t="shared" si="75"/>
        <v>1+0.0730602228652481i</v>
      </c>
      <c r="AN85" s="98">
        <f t="shared" si="92"/>
        <v>1.0026653460477826</v>
      </c>
      <c r="AO85" s="98">
        <f t="shared" si="93"/>
        <v>7.2930644086028479E-2</v>
      </c>
      <c r="AP85" s="168" t="str">
        <f t="shared" si="94"/>
        <v>-0.90427261730178+12.5015169114456i</v>
      </c>
      <c r="AQ85" s="98">
        <f t="shared" si="95"/>
        <v>21.961917597980801</v>
      </c>
      <c r="AR85" s="169">
        <f t="shared" si="96"/>
        <v>94.137172145970169</v>
      </c>
      <c r="AS85" s="168" t="str">
        <f t="shared" si="97"/>
        <v>0.14380707950172+86.0969715136622i</v>
      </c>
      <c r="AT85" s="190">
        <f t="shared" si="98"/>
        <v>38.69976962197687</v>
      </c>
      <c r="AU85" s="169">
        <f t="shared" si="99"/>
        <v>89.904299409000387</v>
      </c>
      <c r="AV85" s="225"/>
      <c r="AX85">
        <f t="shared" si="100"/>
        <v>0</v>
      </c>
      <c r="AY85">
        <f t="shared" si="101"/>
        <v>0</v>
      </c>
    </row>
    <row r="86" spans="14:51" x14ac:dyDescent="0.2">
      <c r="N86" s="170">
        <v>68</v>
      </c>
      <c r="O86" s="199">
        <f t="shared" si="76"/>
        <v>47.863009232263877</v>
      </c>
      <c r="P86" s="189" t="str">
        <f t="shared" si="67"/>
        <v>6.8875</v>
      </c>
      <c r="Q86" s="160" t="str">
        <f t="shared" si="68"/>
        <v>1+0.0751830390913902i</v>
      </c>
      <c r="R86" s="160">
        <f t="shared" si="77"/>
        <v>1.002822262101823</v>
      </c>
      <c r="S86" s="160">
        <f t="shared" si="78"/>
        <v>7.5041860479651917E-2</v>
      </c>
      <c r="T86" s="160" t="str">
        <f t="shared" si="69"/>
        <v>1+0.000120292862546224i</v>
      </c>
      <c r="U86" s="160">
        <f t="shared" si="79"/>
        <v>1.0000000072351862</v>
      </c>
      <c r="V86" s="160">
        <f t="shared" si="80"/>
        <v>1.2029286196599648E-4</v>
      </c>
      <c r="W86" s="98" t="str">
        <f t="shared" si="70"/>
        <v>1-0.000312394899271705i</v>
      </c>
      <c r="X86" s="160">
        <f t="shared" si="81"/>
        <v>1.0000000487952854</v>
      </c>
      <c r="Y86" s="160">
        <f t="shared" si="82"/>
        <v>-3.1239488910943984E-4</v>
      </c>
      <c r="Z86" s="98" t="str">
        <f t="shared" si="71"/>
        <v>0.999999952668024+0.000358099549120986i</v>
      </c>
      <c r="AA86" s="160">
        <f t="shared" si="83"/>
        <v>1.0000000167856686</v>
      </c>
      <c r="AB86" s="160">
        <f t="shared" si="84"/>
        <v>3.5809955076354557E-4</v>
      </c>
      <c r="AC86" s="171" t="str">
        <f t="shared" si="85"/>
        <v>6.84850322899011-0.518680799308034i</v>
      </c>
      <c r="AD86" s="190">
        <f t="shared" si="86"/>
        <v>16.736753248243538</v>
      </c>
      <c r="AE86" s="169">
        <f t="shared" si="87"/>
        <v>-4.3311061205891317</v>
      </c>
      <c r="AF86" s="98" t="str">
        <f t="shared" si="72"/>
        <v>-0.0000816326530612245</v>
      </c>
      <c r="AG86" s="98" t="str">
        <f t="shared" si="73"/>
        <v>6.68226851444277E-06i</v>
      </c>
      <c r="AH86" s="98">
        <f t="shared" si="88"/>
        <v>6.6822685144427698E-6</v>
      </c>
      <c r="AI86" s="98">
        <f t="shared" si="89"/>
        <v>1.5707963267948966</v>
      </c>
      <c r="AJ86" s="98" t="str">
        <f t="shared" si="74"/>
        <v>1+0.000740217961113648i</v>
      </c>
      <c r="AK86" s="98">
        <f t="shared" si="90"/>
        <v>1.0000002739612774</v>
      </c>
      <c r="AL86" s="98">
        <f t="shared" si="91"/>
        <v>7.4021782591963514E-4</v>
      </c>
      <c r="AM86" s="98" t="str">
        <f t="shared" si="75"/>
        <v>1+0.0747620140724785i</v>
      </c>
      <c r="AN86" s="98">
        <f t="shared" si="92"/>
        <v>1.0027907851332567</v>
      </c>
      <c r="AO86" s="98">
        <f t="shared" si="93"/>
        <v>7.4623188770117199E-2</v>
      </c>
      <c r="AP86" s="168" t="str">
        <f t="shared" si="94"/>
        <v>-0.904272595001902+12.2169777703668i</v>
      </c>
      <c r="AQ86" s="98">
        <f t="shared" si="95"/>
        <v>21.763004076658223</v>
      </c>
      <c r="AR86" s="169">
        <f t="shared" si="96"/>
        <v>94.233182412990189</v>
      </c>
      <c r="AS86" s="168" t="str">
        <f t="shared" si="97"/>
        <v>0.143798008304543+84.1370405412254i</v>
      </c>
      <c r="AT86" s="190">
        <f t="shared" si="98"/>
        <v>38.499757324901765</v>
      </c>
      <c r="AU86" s="169">
        <f t="shared" si="99"/>
        <v>89.902076292401077</v>
      </c>
      <c r="AV86" s="225"/>
      <c r="AX86">
        <f t="shared" si="100"/>
        <v>0</v>
      </c>
      <c r="AY86">
        <f t="shared" si="101"/>
        <v>0</v>
      </c>
    </row>
    <row r="87" spans="14:51" x14ac:dyDescent="0.2">
      <c r="N87" s="170">
        <v>69</v>
      </c>
      <c r="O87" s="199">
        <f t="shared" si="76"/>
        <v>48.977881936844632</v>
      </c>
      <c r="P87" s="189" t="str">
        <f t="shared" si="67"/>
        <v>6.8875</v>
      </c>
      <c r="Q87" s="160" t="str">
        <f t="shared" si="68"/>
        <v>1+0.0769342770405897i</v>
      </c>
      <c r="R87" s="160">
        <f t="shared" si="77"/>
        <v>1.0029550752569918</v>
      </c>
      <c r="S87" s="160">
        <f t="shared" si="78"/>
        <v>7.6783025494709917E-2</v>
      </c>
      <c r="T87" s="160" t="str">
        <f t="shared" si="69"/>
        <v>1+0.000123094843264944i</v>
      </c>
      <c r="U87" s="160">
        <f t="shared" si="79"/>
        <v>1.0000000075761701</v>
      </c>
      <c r="V87" s="160">
        <f t="shared" si="80"/>
        <v>1.2309484264321903E-4</v>
      </c>
      <c r="W87" s="98" t="str">
        <f t="shared" si="70"/>
        <v>1-0.000319671511248988i</v>
      </c>
      <c r="X87" s="160">
        <f t="shared" si="81"/>
        <v>1.0000000510949363</v>
      </c>
      <c r="Y87" s="160">
        <f t="shared" si="82"/>
        <v>-3.1967150035992477E-4</v>
      </c>
      <c r="Z87" s="98" t="str">
        <f t="shared" si="71"/>
        <v>0.999999950437336+0.000366440759154403i</v>
      </c>
      <c r="AA87" s="160">
        <f t="shared" si="83"/>
        <v>1.0000000175767521</v>
      </c>
      <c r="AB87" s="160">
        <f t="shared" si="84"/>
        <v>3.6644076091443752E-4</v>
      </c>
      <c r="AC87" s="171" t="str">
        <f t="shared" si="85"/>
        <v>6.84667618187222-0.530621864608672i</v>
      </c>
      <c r="AD87" s="190">
        <f t="shared" si="86"/>
        <v>16.735602986669576</v>
      </c>
      <c r="AE87" s="169">
        <f t="shared" si="87"/>
        <v>-4.4316018209721895</v>
      </c>
      <c r="AF87" s="98" t="str">
        <f t="shared" si="72"/>
        <v>-0.0000816326530612245</v>
      </c>
      <c r="AG87" s="98" t="str">
        <f t="shared" si="73"/>
        <v>6.83791854336761E-06i</v>
      </c>
      <c r="AH87" s="98">
        <f t="shared" si="88"/>
        <v>6.83791854336761E-6</v>
      </c>
      <c r="AI87" s="98">
        <f t="shared" si="89"/>
        <v>1.5707963267948966</v>
      </c>
      <c r="AJ87" s="98" t="str">
        <f t="shared" si="74"/>
        <v>1+0.000757459852367945i</v>
      </c>
      <c r="AK87" s="98">
        <f t="shared" si="90"/>
        <v>1.0000002868726729</v>
      </c>
      <c r="AL87" s="98">
        <f t="shared" si="91"/>
        <v>7.5745970750495256E-4</v>
      </c>
      <c r="AM87" s="98" t="str">
        <f t="shared" si="75"/>
        <v>1+0.0765034450891625i</v>
      </c>
      <c r="AN87" s="98">
        <f t="shared" si="92"/>
        <v>1.0029221191650479</v>
      </c>
      <c r="AO87" s="98">
        <f t="shared" si="93"/>
        <v>7.635471449562535E-2</v>
      </c>
      <c r="AP87" s="168" t="str">
        <f t="shared" si="94"/>
        <v>-0.904272571651069+11.9389162326111i</v>
      </c>
      <c r="AQ87" s="98">
        <f t="shared" si="95"/>
        <v>21.56414146819397</v>
      </c>
      <c r="AR87" s="169">
        <f t="shared" si="96"/>
        <v>94.331403642134433</v>
      </c>
      <c r="AS87" s="168" t="str">
        <f t="shared" si="97"/>
        <v>0.143788514511129+82.22172020527i</v>
      </c>
      <c r="AT87" s="190">
        <f t="shared" si="98"/>
        <v>38.29974445486355</v>
      </c>
      <c r="AU87" s="169">
        <f t="shared" si="99"/>
        <v>89.899801821162242</v>
      </c>
      <c r="AV87" s="225"/>
      <c r="AX87">
        <f t="shared" si="100"/>
        <v>0</v>
      </c>
      <c r="AY87">
        <f t="shared" si="101"/>
        <v>0</v>
      </c>
    </row>
    <row r="88" spans="14:51" x14ac:dyDescent="0.2">
      <c r="N88" s="170">
        <v>70</v>
      </c>
      <c r="O88" s="199">
        <f t="shared" si="76"/>
        <v>50.118723362727238</v>
      </c>
      <c r="P88" s="189" t="str">
        <f t="shared" si="67"/>
        <v>6.8875</v>
      </c>
      <c r="Q88" s="160" t="str">
        <f t="shared" si="68"/>
        <v>1+0.0787263065618215i</v>
      </c>
      <c r="R88" s="160">
        <f t="shared" si="77"/>
        <v>1.0030941288557449</v>
      </c>
      <c r="S88" s="160">
        <f t="shared" si="78"/>
        <v>7.8564264598108599E-2</v>
      </c>
      <c r="T88" s="160" t="str">
        <f t="shared" si="69"/>
        <v>1+0.000125962090498914i</v>
      </c>
      <c r="U88" s="160">
        <f t="shared" si="79"/>
        <v>1.0000000079332241</v>
      </c>
      <c r="V88" s="160">
        <f t="shared" si="80"/>
        <v>1.2596208983272367E-4</v>
      </c>
      <c r="W88" s="98" t="str">
        <f t="shared" si="70"/>
        <v>1-0.000327117617292887i</v>
      </c>
      <c r="X88" s="160">
        <f t="shared" si="81"/>
        <v>1.0000000535029663</v>
      </c>
      <c r="Y88" s="160">
        <f t="shared" si="82"/>
        <v>-3.2711760562504548E-4</v>
      </c>
      <c r="Z88" s="98" t="str">
        <f t="shared" si="71"/>
        <v>0.99999994810152+0.00037497626092874i</v>
      </c>
      <c r="AA88" s="160">
        <f t="shared" si="83"/>
        <v>1.0000000184051194</v>
      </c>
      <c r="AB88" s="160">
        <f t="shared" si="84"/>
        <v>3.749762628146508E-4</v>
      </c>
      <c r="AC88" s="171" t="str">
        <f t="shared" si="85"/>
        <v>6.84476406557269-0.542831101746001i</v>
      </c>
      <c r="AD88" s="190">
        <f t="shared" si="86"/>
        <v>16.734398841388376</v>
      </c>
      <c r="AE88" s="169">
        <f t="shared" si="87"/>
        <v>-4.5344107013782287</v>
      </c>
      <c r="AF88" s="98" t="str">
        <f t="shared" si="72"/>
        <v>-0.0000816326530612245</v>
      </c>
      <c r="AG88" s="98" t="str">
        <f t="shared" si="73"/>
        <v>0.0000069971941272147i</v>
      </c>
      <c r="AH88" s="98">
        <f t="shared" si="88"/>
        <v>6.9971941272147001E-6</v>
      </c>
      <c r="AI88" s="98">
        <f t="shared" si="89"/>
        <v>1.5707963267948966</v>
      </c>
      <c r="AJ88" s="98" t="str">
        <f t="shared" si="74"/>
        <v>1+0.000775103358862132i</v>
      </c>
      <c r="AK88" s="98">
        <f t="shared" si="90"/>
        <v>1.0000003003925633</v>
      </c>
      <c r="AL88" s="98">
        <f t="shared" si="91"/>
        <v>7.7510320363864151E-4</v>
      </c>
      <c r="AM88" s="98" t="str">
        <f t="shared" si="75"/>
        <v>1+0.0782854392450753i</v>
      </c>
      <c r="AN88" s="98">
        <f t="shared" si="92"/>
        <v>1.0030596243483207</v>
      </c>
      <c r="AO88" s="98">
        <f t="shared" si="93"/>
        <v>7.8126097785749957E-2</v>
      </c>
      <c r="AP88" s="168" t="str">
        <f t="shared" si="94"/>
        <v>-0.904272547199747+11.6671848662705i</v>
      </c>
      <c r="AQ88" s="98">
        <f t="shared" si="95"/>
        <v>21.365332144100027</v>
      </c>
      <c r="AR88" s="169">
        <f t="shared" si="96"/>
        <v>94.43188553069426</v>
      </c>
      <c r="AS88" s="168" t="str">
        <f t="shared" si="97"/>
        <v>0.143778578675172+80.3499949821169i</v>
      </c>
      <c r="AT88" s="190">
        <f t="shared" si="98"/>
        <v>38.099730985488399</v>
      </c>
      <c r="AU88" s="169">
        <f t="shared" si="99"/>
        <v>89.897474829316039</v>
      </c>
      <c r="AV88" s="225"/>
      <c r="AX88">
        <f t="shared" si="100"/>
        <v>0</v>
      </c>
      <c r="AY88">
        <f t="shared" si="101"/>
        <v>0</v>
      </c>
    </row>
    <row r="89" spans="14:51" x14ac:dyDescent="0.2">
      <c r="N89" s="170">
        <v>71</v>
      </c>
      <c r="O89" s="199">
        <f t="shared" si="76"/>
        <v>51.28613839913649</v>
      </c>
      <c r="P89" s="189" t="str">
        <f t="shared" si="67"/>
        <v>6.8875</v>
      </c>
      <c r="Q89" s="160" t="str">
        <f t="shared" si="68"/>
        <v>1+0.0805600778128582i</v>
      </c>
      <c r="R89" s="160">
        <f t="shared" si="77"/>
        <v>1.0032397151913464</v>
      </c>
      <c r="S89" s="160">
        <f t="shared" si="78"/>
        <v>8.0386476988836483E-2</v>
      </c>
      <c r="T89" s="160" t="str">
        <f t="shared" si="69"/>
        <v>1+0.000128896124500573i</v>
      </c>
      <c r="U89" s="160">
        <f t="shared" si="79"/>
        <v>1.0000000083071054</v>
      </c>
      <c r="V89" s="160">
        <f t="shared" si="80"/>
        <v>1.2889612378673722E-4</v>
      </c>
      <c r="W89" s="98" t="str">
        <f t="shared" si="70"/>
        <v>1-0.000334737165427389i</v>
      </c>
      <c r="X89" s="160">
        <f t="shared" si="81"/>
        <v>1.0000000560244833</v>
      </c>
      <c r="Y89" s="160">
        <f t="shared" si="82"/>
        <v>-3.3473715292507163E-4</v>
      </c>
      <c r="Z89" s="98" t="str">
        <f t="shared" si="71"/>
        <v>0.99999994565562+0.000383710580080019i</v>
      </c>
      <c r="AA89" s="160">
        <f t="shared" si="83"/>
        <v>1.0000000192725258</v>
      </c>
      <c r="AB89" s="160">
        <f t="shared" si="84"/>
        <v>3.8371058210080885E-4</v>
      </c>
      <c r="AC89" s="171" t="str">
        <f t="shared" si="85"/>
        <v>6.84276296999644-0.55531405398801i</v>
      </c>
      <c r="AD89" s="190">
        <f t="shared" si="86"/>
        <v>16.733138304235869</v>
      </c>
      <c r="AE89" s="169">
        <f t="shared" si="87"/>
        <v>-4.6395846805149761</v>
      </c>
      <c r="AF89" s="98" t="str">
        <f t="shared" si="72"/>
        <v>-0.0000816326530612245</v>
      </c>
      <c r="AG89" s="98" t="str">
        <f t="shared" si="73"/>
        <v>7.16017971600685E-06i</v>
      </c>
      <c r="AH89" s="98">
        <f t="shared" si="88"/>
        <v>7.1601797160068501E-6</v>
      </c>
      <c r="AI89" s="98">
        <f t="shared" si="89"/>
        <v>1.5707963267948966</v>
      </c>
      <c r="AJ89" s="98" t="str">
        <f t="shared" si="74"/>
        <v>1+0.000793157835416894i</v>
      </c>
      <c r="AK89" s="98">
        <f t="shared" si="90"/>
        <v>1.0000003145496266</v>
      </c>
      <c r="AL89" s="98">
        <f t="shared" si="91"/>
        <v>7.9315766909193004E-4</v>
      </c>
      <c r="AM89" s="98" t="str">
        <f t="shared" si="75"/>
        <v>1+0.0801089413771063i</v>
      </c>
      <c r="AN89" s="98">
        <f t="shared" si="92"/>
        <v>1.0032035897506351</v>
      </c>
      <c r="AO89" s="98">
        <f t="shared" si="93"/>
        <v>7.9938233360557026E-2</v>
      </c>
      <c r="AP89" s="168" t="str">
        <f t="shared" si="94"/>
        <v>-0.904272521596065+11.4016395957776i</v>
      </c>
      <c r="AQ89" s="98">
        <f t="shared" si="95"/>
        <v>21.166578584983565</v>
      </c>
      <c r="AR89" s="169">
        <f t="shared" si="96"/>
        <v>94.534678806364383</v>
      </c>
      <c r="AS89" s="168" t="str">
        <f t="shared" si="97"/>
        <v>0.143768180478615+78.5208724631096i</v>
      </c>
      <c r="AT89" s="190">
        <f t="shared" si="98"/>
        <v>37.899716889219434</v>
      </c>
      <c r="AU89" s="169">
        <f t="shared" si="99"/>
        <v>89.895094125849411</v>
      </c>
      <c r="AV89" s="225"/>
      <c r="AX89">
        <f t="shared" si="100"/>
        <v>0</v>
      </c>
      <c r="AY89">
        <f t="shared" si="101"/>
        <v>0</v>
      </c>
    </row>
    <row r="90" spans="14:51" x14ac:dyDescent="0.2">
      <c r="N90" s="170">
        <v>72</v>
      </c>
      <c r="O90" s="199">
        <f t="shared" si="76"/>
        <v>52.480746024977286</v>
      </c>
      <c r="P90" s="189" t="str">
        <f t="shared" si="67"/>
        <v>6.8875</v>
      </c>
      <c r="Q90" s="160" t="str">
        <f t="shared" si="68"/>
        <v>1+0.0824365630834903i</v>
      </c>
      <c r="R90" s="160">
        <f t="shared" si="77"/>
        <v>1.0033921401590797</v>
      </c>
      <c r="S90" s="160">
        <f t="shared" si="78"/>
        <v>8.2250580396381445E-2</v>
      </c>
      <c r="T90" s="160" t="str">
        <f t="shared" si="69"/>
        <v>1+0.000131898500933584i</v>
      </c>
      <c r="U90" s="160">
        <f t="shared" si="79"/>
        <v>1.0000000086986072</v>
      </c>
      <c r="V90" s="160">
        <f t="shared" si="80"/>
        <v>1.3189850016869517E-4</v>
      </c>
      <c r="W90" s="98" t="str">
        <f t="shared" si="70"/>
        <v>1-0.000342534195637771i</v>
      </c>
      <c r="X90" s="160">
        <f t="shared" si="81"/>
        <v>1.0000000586648359</v>
      </c>
      <c r="Y90" s="160">
        <f t="shared" si="82"/>
        <v>-3.4253418224129662E-4</v>
      </c>
      <c r="Z90" s="98" t="str">
        <f t="shared" si="71"/>
        <v>0.999999943094448+0.000392648347659867i</v>
      </c>
      <c r="AA90" s="160">
        <f t="shared" si="83"/>
        <v>1.0000000201808119</v>
      </c>
      <c r="AB90" s="160">
        <f t="shared" si="84"/>
        <v>3.9264834982518244E-4</v>
      </c>
      <c r="AC90" s="171" t="str">
        <f t="shared" si="85"/>
        <v>6.84066881019257-0.568076344618406i</v>
      </c>
      <c r="AD90" s="190">
        <f t="shared" si="86"/>
        <v>16.73181875183208</v>
      </c>
      <c r="AE90" s="169">
        <f t="shared" si="87"/>
        <v>-4.7471767480895002</v>
      </c>
      <c r="AF90" s="98" t="str">
        <f t="shared" si="72"/>
        <v>-0.0000816326530612245</v>
      </c>
      <c r="AG90" s="98" t="str">
        <f t="shared" si="73"/>
        <v>7.32696172686061E-06i</v>
      </c>
      <c r="AH90" s="98">
        <f t="shared" si="88"/>
        <v>7.3269617268606098E-6</v>
      </c>
      <c r="AI90" s="98">
        <f t="shared" si="89"/>
        <v>1.5707963267948966</v>
      </c>
      <c r="AJ90" s="98" t="str">
        <f t="shared" si="74"/>
        <v>1+0.000811632854754681i</v>
      </c>
      <c r="AK90" s="98">
        <f t="shared" si="90"/>
        <v>1.0000003293738913</v>
      </c>
      <c r="AL90" s="98">
        <f t="shared" si="91"/>
        <v>8.1163267653427441E-4</v>
      </c>
      <c r="AM90" s="98" t="str">
        <f t="shared" si="75"/>
        <v>1+0.0819749183302227i</v>
      </c>
      <c r="AN90" s="98">
        <f t="shared" si="92"/>
        <v>1.0033543178933586</v>
      </c>
      <c r="AO90" s="98">
        <f t="shared" si="93"/>
        <v>8.1792034405708494E-2</v>
      </c>
      <c r="AP90" s="168" t="str">
        <f t="shared" si="94"/>
        <v>-0.904272494785723+11.142139625515i</v>
      </c>
      <c r="AQ90" s="98">
        <f t="shared" si="95"/>
        <v>20.967883385434526</v>
      </c>
      <c r="AR90" s="169">
        <f t="shared" si="96"/>
        <v>94.639835242355602</v>
      </c>
      <c r="AS90" s="168" t="str">
        <f t="shared" si="97"/>
        <v>0.143757298694737+76.733382828448i</v>
      </c>
      <c r="AT90" s="190">
        <f t="shared" si="98"/>
        <v>37.699702137266598</v>
      </c>
      <c r="AU90" s="169">
        <f t="shared" si="99"/>
        <v>89.892658494266087</v>
      </c>
      <c r="AV90" s="225"/>
      <c r="AX90">
        <f t="shared" si="100"/>
        <v>0</v>
      </c>
      <c r="AY90">
        <f t="shared" si="101"/>
        <v>0</v>
      </c>
    </row>
    <row r="91" spans="14:51" x14ac:dyDescent="0.2">
      <c r="N91" s="170">
        <v>73</v>
      </c>
      <c r="O91" s="199">
        <f t="shared" si="76"/>
        <v>53.703179637025293</v>
      </c>
      <c r="P91" s="189" t="str">
        <f t="shared" si="67"/>
        <v>6.8875</v>
      </c>
      <c r="Q91" s="160" t="str">
        <f t="shared" si="68"/>
        <v>1+0.0843567573110457i</v>
      </c>
      <c r="R91" s="160">
        <f t="shared" si="77"/>
        <v>1.0035517238807548</v>
      </c>
      <c r="S91" s="160">
        <f t="shared" si="78"/>
        <v>8.415751134386619E-2</v>
      </c>
      <c r="T91" s="160" t="str">
        <f t="shared" si="69"/>
        <v>1+0.000134970811697673i</v>
      </c>
      <c r="U91" s="160">
        <f t="shared" si="79"/>
        <v>1.0000000091085599</v>
      </c>
      <c r="V91" s="160">
        <f t="shared" si="80"/>
        <v>1.3497081087807984E-4</v>
      </c>
      <c r="W91" s="98" t="str">
        <f t="shared" si="70"/>
        <v>1-0.000350512842012655i</v>
      </c>
      <c r="X91" s="160">
        <f t="shared" si="81"/>
        <v>1.0000000614296243</v>
      </c>
      <c r="Y91" s="160">
        <f t="shared" si="82"/>
        <v>-3.5051282765807416E-4</v>
      </c>
      <c r="Z91" s="98" t="str">
        <f t="shared" si="71"/>
        <v>0.999999940412572+0.000401794302590959i</v>
      </c>
      <c r="AA91" s="160">
        <f t="shared" si="83"/>
        <v>1.0000000211319044</v>
      </c>
      <c r="AB91" s="160">
        <f t="shared" si="84"/>
        <v>4.0179430491113624E-4</v>
      </c>
      <c r="AC91" s="171" t="str">
        <f t="shared" si="85"/>
        <v>6.83847731900226-0.581123675431814i</v>
      </c>
      <c r="AD91" s="190">
        <f t="shared" si="86"/>
        <v>16.730437440435352</v>
      </c>
      <c r="AE91" s="169">
        <f t="shared" si="87"/>
        <v>-4.857240980100924</v>
      </c>
      <c r="AF91" s="98" t="str">
        <f t="shared" si="72"/>
        <v>-0.0000816326530612245</v>
      </c>
      <c r="AG91" s="98" t="str">
        <f t="shared" si="73"/>
        <v>7.49762858980575E-06i</v>
      </c>
      <c r="AH91" s="98">
        <f t="shared" si="88"/>
        <v>7.4976285898057497E-6</v>
      </c>
      <c r="AI91" s="98">
        <f t="shared" si="89"/>
        <v>1.5707963267948966</v>
      </c>
      <c r="AJ91" s="98" t="str">
        <f t="shared" si="74"/>
        <v>1+0.000830538212575286i</v>
      </c>
      <c r="AK91" s="98">
        <f t="shared" si="90"/>
        <v>1.0000003448968018</v>
      </c>
      <c r="AL91" s="98">
        <f t="shared" si="91"/>
        <v>8.3053802160868318E-4</v>
      </c>
      <c r="AM91" s="98" t="str">
        <f t="shared" si="75"/>
        <v>1+0.0838843594701039i</v>
      </c>
      <c r="AN91" s="98">
        <f t="shared" si="92"/>
        <v>1.0035121253695491</v>
      </c>
      <c r="AO91" s="98">
        <f t="shared" si="93"/>
        <v>8.3688432836792934E-2</v>
      </c>
      <c r="AP91" s="168" t="str">
        <f t="shared" si="94"/>
        <v>-0.904272466711853+10.8885473651635i</v>
      </c>
      <c r="AQ91" s="98">
        <f t="shared" si="95"/>
        <v>20.769249259119388</v>
      </c>
      <c r="AR91" s="169">
        <f t="shared" si="96"/>
        <v>94.747407672248968</v>
      </c>
      <c r="AS91" s="168" t="str">
        <f t="shared" si="97"/>
        <v>0.143745911149974+74.9865783329998i</v>
      </c>
      <c r="AT91" s="190">
        <f t="shared" si="98"/>
        <v>37.499686699554744</v>
      </c>
      <c r="AU91" s="169">
        <f t="shared" si="99"/>
        <v>89.890166692148043</v>
      </c>
      <c r="AV91" s="225"/>
      <c r="AX91">
        <f t="shared" si="100"/>
        <v>0</v>
      </c>
      <c r="AY91">
        <f t="shared" si="101"/>
        <v>0</v>
      </c>
    </row>
    <row r="92" spans="14:51" x14ac:dyDescent="0.2">
      <c r="N92" s="170">
        <v>74</v>
      </c>
      <c r="O92" s="199">
        <f t="shared" si="76"/>
        <v>54.95408738576247</v>
      </c>
      <c r="P92" s="189" t="str">
        <f t="shared" si="67"/>
        <v>6.8875</v>
      </c>
      <c r="Q92" s="160" t="str">
        <f t="shared" si="68"/>
        <v>1+0.0863216786079215i</v>
      </c>
      <c r="R92" s="160">
        <f t="shared" si="77"/>
        <v>1.0037188013570779</v>
      </c>
      <c r="S92" s="160">
        <f t="shared" si="78"/>
        <v>8.6108225405769886E-2</v>
      </c>
      <c r="T92" s="160" t="str">
        <f t="shared" si="69"/>
        <v>1+0.000138114685772674i</v>
      </c>
      <c r="U92" s="160">
        <f t="shared" si="79"/>
        <v>1.0000000095378332</v>
      </c>
      <c r="V92" s="160">
        <f t="shared" si="80"/>
        <v>1.3811468489446411E-4</v>
      </c>
      <c r="W92" s="98" t="str">
        <f t="shared" si="70"/>
        <v>1-0.000358677334935962i</v>
      </c>
      <c r="X92" s="160">
        <f t="shared" si="81"/>
        <v>1.0000000643247133</v>
      </c>
      <c r="Y92" s="160">
        <f t="shared" si="82"/>
        <v>-3.5867731955475154E-4</v>
      </c>
      <c r="Z92" s="98" t="str">
        <f t="shared" si="71"/>
        <v>0.999999937604303+0.000411153294179661i</v>
      </c>
      <c r="AA92" s="160">
        <f t="shared" si="83"/>
        <v>1.0000000221278202</v>
      </c>
      <c r="AB92" s="160">
        <f t="shared" si="84"/>
        <v>4.1115329666577575E-4</v>
      </c>
      <c r="AC92" s="171" t="str">
        <f t="shared" si="85"/>
        <v>6.83618403944299-0.594461824970119i</v>
      </c>
      <c r="AD92" s="190">
        <f t="shared" si="86"/>
        <v>16.7289915005809</v>
      </c>
      <c r="AE92" s="169">
        <f t="shared" si="87"/>
        <v>-4.9698325538279482</v>
      </c>
      <c r="AF92" s="98" t="str">
        <f t="shared" si="72"/>
        <v>-0.0000816326530612245</v>
      </c>
      <c r="AG92" s="98" t="str">
        <f t="shared" si="73"/>
        <v>7.67227079467206E-06i</v>
      </c>
      <c r="AH92" s="98">
        <f t="shared" si="88"/>
        <v>7.6722707946720596E-6</v>
      </c>
      <c r="AI92" s="98">
        <f t="shared" si="89"/>
        <v>1.5707963267948966</v>
      </c>
      <c r="AJ92" s="98" t="str">
        <f t="shared" si="74"/>
        <v>1+0.000849883932749675i</v>
      </c>
      <c r="AK92" s="98">
        <f t="shared" si="90"/>
        <v>1.0000003611512844</v>
      </c>
      <c r="AL92" s="98">
        <f t="shared" si="91"/>
        <v>8.4988372812527747E-4</v>
      </c>
      <c r="AM92" s="98" t="str">
        <f t="shared" si="75"/>
        <v>1+0.0858382772077172i</v>
      </c>
      <c r="AN92" s="98">
        <f t="shared" si="92"/>
        <v>1.0036773434894248</v>
      </c>
      <c r="AO92" s="98">
        <f t="shared" si="93"/>
        <v>8.5628379558446377E-2</v>
      </c>
      <c r="AP92" s="168" t="str">
        <f t="shared" si="94"/>
        <v>-0.904272437314898+10.6407283567498i</v>
      </c>
      <c r="AQ92" s="98">
        <f t="shared" si="95"/>
        <v>20.570679044088742</v>
      </c>
      <c r="AR92" s="169">
        <f t="shared" si="96"/>
        <v>94.857450004544802</v>
      </c>
      <c r="AS92" s="168" t="str">
        <f t="shared" si="97"/>
        <v>0.143733994684465+73.2795328038178i</v>
      </c>
      <c r="AT92" s="190">
        <f t="shared" si="98"/>
        <v>37.299670544669638</v>
      </c>
      <c r="AU92" s="169">
        <f t="shared" si="99"/>
        <v>89.88761745071686</v>
      </c>
      <c r="AV92" s="225"/>
      <c r="AX92">
        <f t="shared" si="100"/>
        <v>0</v>
      </c>
      <c r="AY92">
        <f t="shared" si="101"/>
        <v>0</v>
      </c>
    </row>
    <row r="93" spans="14:51" x14ac:dyDescent="0.2">
      <c r="N93" s="170">
        <v>75</v>
      </c>
      <c r="O93" s="199">
        <f t="shared" si="76"/>
        <v>56.234132519034915</v>
      </c>
      <c r="P93" s="189" t="str">
        <f t="shared" si="67"/>
        <v>6.8875</v>
      </c>
      <c r="Q93" s="160" t="str">
        <f t="shared" si="68"/>
        <v>1+0.0883323688013975i</v>
      </c>
      <c r="R93" s="160">
        <f t="shared" si="77"/>
        <v>1.0038937231490523</v>
      </c>
      <c r="S93" s="160">
        <f t="shared" si="78"/>
        <v>8.8103697459333635E-2</v>
      </c>
      <c r="T93" s="160" t="str">
        <f t="shared" si="69"/>
        <v>1+0.000141331790082236i</v>
      </c>
      <c r="U93" s="160">
        <f t="shared" si="79"/>
        <v>1.0000000099873374</v>
      </c>
      <c r="V93" s="160">
        <f t="shared" si="80"/>
        <v>1.4133178914121718E-4</v>
      </c>
      <c r="W93" s="98" t="str">
        <f t="shared" si="70"/>
        <v>1-0.000367032003329906i</v>
      </c>
      <c r="X93" s="160">
        <f t="shared" si="81"/>
        <v>1.0000000673562435</v>
      </c>
      <c r="Y93" s="160">
        <f t="shared" si="82"/>
        <v>-3.6703198684864211E-4</v>
      </c>
      <c r="Z93" s="98" t="str">
        <f t="shared" si="71"/>
        <v>0.999999934663685+0.000420730284687195i</v>
      </c>
      <c r="AA93" s="160">
        <f t="shared" si="83"/>
        <v>1.0000000231706732</v>
      </c>
      <c r="AB93" s="160">
        <f t="shared" si="84"/>
        <v>4.2073028735111466E-4</v>
      </c>
      <c r="AC93" s="171" t="str">
        <f t="shared" si="85"/>
        <v>6.83378431682414-0.608096646479869i</v>
      </c>
      <c r="AD93" s="190">
        <f t="shared" si="86"/>
        <v>16.727477931495937</v>
      </c>
      <c r="AE93" s="169">
        <f t="shared" si="87"/>
        <v>-5.0850077624597416</v>
      </c>
      <c r="AF93" s="98" t="str">
        <f t="shared" si="72"/>
        <v>-0.0000816326530612245</v>
      </c>
      <c r="AG93" s="98" t="str">
        <f t="shared" si="73"/>
        <v>7.85098093906821E-06i</v>
      </c>
      <c r="AH93" s="98">
        <f t="shared" si="88"/>
        <v>7.8509809390682102E-6</v>
      </c>
      <c r="AI93" s="98">
        <f t="shared" si="89"/>
        <v>1.5707963267948966</v>
      </c>
      <c r="AJ93" s="98" t="str">
        <f t="shared" si="74"/>
        <v>1+0.000869680272634749i</v>
      </c>
      <c r="AK93" s="98">
        <f t="shared" si="90"/>
        <v>1.0000003781718168</v>
      </c>
      <c r="AL93" s="98">
        <f t="shared" si="91"/>
        <v>8.6968005337576123E-4</v>
      </c>
      <c r="AM93" s="98" t="str">
        <f t="shared" si="75"/>
        <v>1+0.0878377075361097i</v>
      </c>
      <c r="AN93" s="98">
        <f t="shared" si="92"/>
        <v>1.0038503189545736</v>
      </c>
      <c r="AO93" s="98">
        <f t="shared" si="93"/>
        <v>8.7612844717384161E-2</v>
      </c>
      <c r="AP93" s="168" t="str">
        <f t="shared" si="94"/>
        <v>-0.904272406532514+10.3985512033551i</v>
      </c>
      <c r="AQ93" s="98">
        <f t="shared" si="95"/>
        <v>20.372175708306433</v>
      </c>
      <c r="AR93" s="169">
        <f t="shared" si="96"/>
        <v>94.970017236856009</v>
      </c>
      <c r="AS93" s="168" t="str">
        <f t="shared" si="97"/>
        <v>0.143721525110726+71.6113411490976i</v>
      </c>
      <c r="AT93" s="190">
        <f t="shared" si="98"/>
        <v>37.099653639802376</v>
      </c>
      <c r="AU93" s="169">
        <f t="shared" si="99"/>
        <v>89.88500947439627</v>
      </c>
      <c r="AV93" s="225"/>
      <c r="AX93">
        <f t="shared" si="100"/>
        <v>0</v>
      </c>
      <c r="AY93">
        <f t="shared" si="101"/>
        <v>0</v>
      </c>
    </row>
    <row r="94" spans="14:51" x14ac:dyDescent="0.2">
      <c r="N94" s="170">
        <v>76</v>
      </c>
      <c r="O94" s="199">
        <f t="shared" si="76"/>
        <v>57.543993733715695</v>
      </c>
      <c r="P94" s="189" t="str">
        <f t="shared" si="67"/>
        <v>6.8875</v>
      </c>
      <c r="Q94" s="160" t="str">
        <f t="shared" si="68"/>
        <v>1+0.0903898939860292i</v>
      </c>
      <c r="R94" s="160">
        <f t="shared" si="77"/>
        <v>1.0040768560896149</v>
      </c>
      <c r="S94" s="160">
        <f t="shared" si="78"/>
        <v>9.0144921928700966E-2</v>
      </c>
      <c r="T94" s="160" t="str">
        <f t="shared" si="69"/>
        <v>1+0.000144623830377647i</v>
      </c>
      <c r="U94" s="160">
        <f t="shared" si="79"/>
        <v>1.000000010458026</v>
      </c>
      <c r="V94" s="160">
        <f t="shared" si="80"/>
        <v>1.4462382936932712E-4</v>
      </c>
      <c r="W94" s="98" t="str">
        <f t="shared" si="70"/>
        <v>1-0.00037558127695026i</v>
      </c>
      <c r="X94" s="160">
        <f t="shared" si="81"/>
        <v>1.0000000705306453</v>
      </c>
      <c r="Y94" s="160">
        <f t="shared" si="82"/>
        <v>-3.7558125929026764E-4</v>
      </c>
      <c r="Z94" s="98" t="str">
        <f t="shared" si="71"/>
        <v>0.999999931584479+0.000430530351960693i</v>
      </c>
      <c r="AA94" s="160">
        <f t="shared" si="83"/>
        <v>1.000000024262673</v>
      </c>
      <c r="AB94" s="160">
        <f t="shared" si="84"/>
        <v>4.3053035481513445E-4</v>
      </c>
      <c r="AC94" s="171" t="str">
        <f t="shared" si="85"/>
        <v>6.83127329058953-0.622034065569536i</v>
      </c>
      <c r="AD94" s="190">
        <f t="shared" si="86"/>
        <v>16.725893595283601</v>
      </c>
      <c r="AE94" s="169">
        <f t="shared" si="87"/>
        <v>-5.2028240293157113</v>
      </c>
      <c r="AF94" s="98" t="str">
        <f t="shared" si="72"/>
        <v>-0.0000816326530612245</v>
      </c>
      <c r="AG94" s="98" t="str">
        <f t="shared" si="73"/>
        <v>8.03385377747827E-06i</v>
      </c>
      <c r="AH94" s="98">
        <f t="shared" si="88"/>
        <v>8.0338537774782702E-6</v>
      </c>
      <c r="AI94" s="98">
        <f t="shared" si="89"/>
        <v>1.5707963267948966</v>
      </c>
      <c r="AJ94" s="98" t="str">
        <f t="shared" si="74"/>
        <v>1+0.000889937728511956i</v>
      </c>
      <c r="AK94" s="98">
        <f t="shared" si="90"/>
        <v>1.0000003959945019</v>
      </c>
      <c r="AL94" s="98">
        <f t="shared" si="91"/>
        <v>8.8993749357172271E-4</v>
      </c>
      <c r="AM94" s="98" t="str">
        <f t="shared" si="75"/>
        <v>1+0.0898837105797075i</v>
      </c>
      <c r="AN94" s="98">
        <f t="shared" si="92"/>
        <v>1.0040314145621025</v>
      </c>
      <c r="AO94" s="98">
        <f t="shared" si="93"/>
        <v>8.9642817948406409E-2</v>
      </c>
      <c r="AP94" s="168" t="str">
        <f t="shared" si="94"/>
        <v>-0.904272374299404+10.161887499447i</v>
      </c>
      <c r="AQ94" s="98">
        <f t="shared" si="95"/>
        <v>20.17374235540823</v>
      </c>
      <c r="AR94" s="169">
        <f t="shared" si="96"/>
        <v>95.085165469691177</v>
      </c>
      <c r="AS94" s="168" t="str">
        <f t="shared" si="97"/>
        <v>0.143708477171767+69.9811188783156i</v>
      </c>
      <c r="AT94" s="190">
        <f t="shared" si="98"/>
        <v>36.899635950691831</v>
      </c>
      <c r="AU94" s="169">
        <f t="shared" si="99"/>
        <v>89.88234144037547</v>
      </c>
      <c r="AV94" s="225"/>
      <c r="AX94">
        <f t="shared" si="100"/>
        <v>0</v>
      </c>
      <c r="AY94">
        <f t="shared" si="101"/>
        <v>0</v>
      </c>
    </row>
    <row r="95" spans="14:51" x14ac:dyDescent="0.2">
      <c r="N95" s="170">
        <v>77</v>
      </c>
      <c r="O95" s="199">
        <f t="shared" si="76"/>
        <v>58.884365535558949</v>
      </c>
      <c r="P95" s="189" t="str">
        <f t="shared" si="67"/>
        <v>6.8875</v>
      </c>
      <c r="Q95" s="160" t="str">
        <f t="shared" si="68"/>
        <v>1+0.092495345088904i</v>
      </c>
      <c r="R95" s="160">
        <f t="shared" si="77"/>
        <v>1.0042685840267609</v>
      </c>
      <c r="S95" s="160">
        <f t="shared" si="78"/>
        <v>9.2232913020750568E-2</v>
      </c>
      <c r="T95" s="160" t="str">
        <f t="shared" si="69"/>
        <v>1+0.000147992552142246i</v>
      </c>
      <c r="U95" s="160">
        <f t="shared" si="79"/>
        <v>1.0000000109508977</v>
      </c>
      <c r="V95" s="160">
        <f t="shared" si="80"/>
        <v>1.479925510618118E-4</v>
      </c>
      <c r="W95" s="98" t="str">
        <f t="shared" si="70"/>
        <v>1-0.000384329688735058i</v>
      </c>
      <c r="X95" s="160">
        <f t="shared" si="81"/>
        <v>1.0000000738546522</v>
      </c>
      <c r="Y95" s="160">
        <f t="shared" si="82"/>
        <v>-3.8432966981203536E-4</v>
      </c>
      <c r="Z95" s="98" t="str">
        <f t="shared" si="71"/>
        <v>0.999999928360155+0.000440558692125544i</v>
      </c>
      <c r="AA95" s="160">
        <f t="shared" si="83"/>
        <v>1.0000000254061379</v>
      </c>
      <c r="AB95" s="160">
        <f t="shared" si="84"/>
        <v>4.4055869518413299E-4</v>
      </c>
      <c r="AC95" s="171" t="str">
        <f t="shared" si="85"/>
        <v>6.82864588588305-0.636280077544056i</v>
      </c>
      <c r="AD95" s="190">
        <f t="shared" si="86"/>
        <v>16.724235210867743</v>
      </c>
      <c r="AE95" s="169">
        <f t="shared" si="87"/>
        <v>-5.3233399215947346</v>
      </c>
      <c r="AF95" s="98" t="str">
        <f t="shared" si="72"/>
        <v>-0.0000816326530612245</v>
      </c>
      <c r="AG95" s="98" t="str">
        <f t="shared" si="73"/>
        <v>8.22098627150179E-06i</v>
      </c>
      <c r="AH95" s="98">
        <f t="shared" si="88"/>
        <v>8.2209862715017895E-6</v>
      </c>
      <c r="AI95" s="98">
        <f t="shared" si="89"/>
        <v>1.5707963267948966</v>
      </c>
      <c r="AJ95" s="98" t="str">
        <f t="shared" si="74"/>
        <v>1+0.000910667041152536i</v>
      </c>
      <c r="AK95" s="98">
        <f t="shared" si="90"/>
        <v>1.000000414657144</v>
      </c>
      <c r="AL95" s="98">
        <f t="shared" si="91"/>
        <v>9.1066678940954617E-4</v>
      </c>
      <c r="AM95" s="98" t="str">
        <f t="shared" si="75"/>
        <v>1+0.0919773711564062i</v>
      </c>
      <c r="AN95" s="98">
        <f t="shared" si="92"/>
        <v>1.0042210099399651</v>
      </c>
      <c r="AO95" s="98">
        <f t="shared" si="93"/>
        <v>9.1719308612355319E-2</v>
      </c>
      <c r="AP95" s="168" t="str">
        <f t="shared" si="94"/>
        <v>-0.904272340547192+9.93061176279698i</v>
      </c>
      <c r="AQ95" s="98">
        <f t="shared" si="95"/>
        <v>19.975382230697214</v>
      </c>
      <c r="AR95" s="169">
        <f t="shared" si="96"/>
        <v>95.20295191976993</v>
      </c>
      <c r="AS95" s="168" t="str">
        <f t="shared" si="97"/>
        <v>0.143694824496958+68.3880016332897i</v>
      </c>
      <c r="AT95" s="190">
        <f t="shared" si="98"/>
        <v>36.699617441564953</v>
      </c>
      <c r="AU95" s="169">
        <f t="shared" si="99"/>
        <v>89.879611998175207</v>
      </c>
      <c r="AV95" s="225"/>
      <c r="AX95">
        <f t="shared" si="100"/>
        <v>0</v>
      </c>
      <c r="AY95">
        <f t="shared" si="101"/>
        <v>0</v>
      </c>
    </row>
    <row r="96" spans="14:51" x14ac:dyDescent="0.2">
      <c r="N96" s="170">
        <v>78</v>
      </c>
      <c r="O96" s="199">
        <f t="shared" si="76"/>
        <v>60.255958607435822</v>
      </c>
      <c r="P96" s="189" t="str">
        <f t="shared" si="67"/>
        <v>6.8875</v>
      </c>
      <c r="Q96" s="160" t="str">
        <f t="shared" si="68"/>
        <v>1+0.0946498384480655i</v>
      </c>
      <c r="R96" s="160">
        <f t="shared" si="77"/>
        <v>1.0044693085994438</v>
      </c>
      <c r="S96" s="160">
        <f t="shared" si="78"/>
        <v>9.4368704951516696E-2</v>
      </c>
      <c r="T96" s="160" t="str">
        <f t="shared" si="69"/>
        <v>1+0.000151439741516905i</v>
      </c>
      <c r="U96" s="160">
        <f t="shared" si="79"/>
        <v>1.0000000114669976</v>
      </c>
      <c r="V96" s="160">
        <f t="shared" si="80"/>
        <v>1.514397403591989E-4</v>
      </c>
      <c r="W96" s="98" t="str">
        <f t="shared" si="70"/>
        <v>1-0.000393281877208028i</v>
      </c>
      <c r="X96" s="160">
        <f t="shared" si="81"/>
        <v>1.0000000773353146</v>
      </c>
      <c r="Y96" s="160">
        <f t="shared" si="82"/>
        <v>-3.9328185693164402E-4</v>
      </c>
      <c r="Z96" s="98" t="str">
        <f t="shared" si="71"/>
        <v>0.999999924983873+0.000450820622340443i</v>
      </c>
      <c r="AA96" s="160">
        <f t="shared" si="83"/>
        <v>1.0000000266034923</v>
      </c>
      <c r="AB96" s="160">
        <f t="shared" si="84"/>
        <v>4.5082062561778023E-4</v>
      </c>
      <c r="AC96" s="171" t="str">
        <f t="shared" si="85"/>
        <v>6.825896804834-0.650840744392789i</v>
      </c>
      <c r="AD96" s="190">
        <f t="shared" si="86"/>
        <v>16.722499347690583</v>
      </c>
      <c r="AE96" s="169">
        <f t="shared" si="87"/>
        <v>-5.4466151635906792</v>
      </c>
      <c r="AF96" s="98" t="str">
        <f t="shared" si="72"/>
        <v>-0.0000816326530612245</v>
      </c>
      <c r="AG96" s="98" t="str">
        <f t="shared" si="73"/>
        <v>8.41247764126407E-06i</v>
      </c>
      <c r="AH96" s="98">
        <f t="shared" si="88"/>
        <v>8.4124776412640702E-6</v>
      </c>
      <c r="AI96" s="98">
        <f t="shared" si="89"/>
        <v>1.5707963267948966</v>
      </c>
      <c r="AJ96" s="98" t="str">
        <f t="shared" si="74"/>
        <v>1+0.000931879201512439i</v>
      </c>
      <c r="AK96" s="98">
        <f t="shared" si="90"/>
        <v>1.0000004341993287</v>
      </c>
      <c r="AL96" s="98">
        <f t="shared" si="91"/>
        <v>9.3187893176497184E-4</v>
      </c>
      <c r="AM96" s="98" t="str">
        <f t="shared" si="75"/>
        <v>1+0.0941197993527564i</v>
      </c>
      <c r="AN96" s="98">
        <f t="shared" si="92"/>
        <v>1.0044195023147466</v>
      </c>
      <c r="AO96" s="98">
        <f t="shared" si="93"/>
        <v>9.3843346024938462E-2</v>
      </c>
      <c r="AP96" s="168" t="str">
        <f t="shared" si="94"/>
        <v>-0.904272305204294+9.70460136794784i</v>
      </c>
      <c r="AQ96" s="98">
        <f t="shared" si="95"/>
        <v>19.777098727384342</v>
      </c>
      <c r="AR96" s="169">
        <f t="shared" si="96"/>
        <v>95.32343493280743</v>
      </c>
      <c r="AS96" s="168" t="str">
        <f t="shared" si="97"/>
        <v>0.143680539556585+66.8311447299158i</v>
      </c>
      <c r="AT96" s="190">
        <f t="shared" si="98"/>
        <v>36.499598075074935</v>
      </c>
      <c r="AU96" s="169">
        <f t="shared" si="99"/>
        <v>89.876819769216766</v>
      </c>
      <c r="AV96" s="225"/>
      <c r="AX96">
        <f t="shared" si="100"/>
        <v>0</v>
      </c>
      <c r="AY96">
        <f t="shared" si="101"/>
        <v>0</v>
      </c>
    </row>
    <row r="97" spans="14:51" x14ac:dyDescent="0.2">
      <c r="N97" s="170">
        <v>79</v>
      </c>
      <c r="O97" s="199">
        <f t="shared" si="76"/>
        <v>61.659500186148257</v>
      </c>
      <c r="P97" s="189" t="str">
        <f t="shared" si="67"/>
        <v>6.8875</v>
      </c>
      <c r="Q97" s="160" t="str">
        <f t="shared" si="68"/>
        <v>1+0.096854516404411i</v>
      </c>
      <c r="R97" s="160">
        <f t="shared" si="77"/>
        <v>1.0046794500475922</v>
      </c>
      <c r="S97" s="160">
        <f t="shared" si="78"/>
        <v>9.6553352162003364E-2</v>
      </c>
      <c r="T97" s="160" t="str">
        <f t="shared" si="69"/>
        <v>1+0.000154967226247058i</v>
      </c>
      <c r="U97" s="160">
        <f t="shared" si="79"/>
        <v>1.0000000120074206</v>
      </c>
      <c r="V97" s="160">
        <f t="shared" si="80"/>
        <v>1.5496722500655359E-4</v>
      </c>
      <c r="W97" s="98" t="str">
        <f t="shared" si="70"/>
        <v>1-0.000402442588937996i</v>
      </c>
      <c r="X97" s="160">
        <f t="shared" si="81"/>
        <v>1.0000000809800154</v>
      </c>
      <c r="Y97" s="160">
        <f t="shared" si="82"/>
        <v>-4.024425672114592E-4</v>
      </c>
      <c r="Z97" s="98" t="str">
        <f t="shared" si="71"/>
        <v>0.999999921448472+0.000461321583616625i</v>
      </c>
      <c r="AA97" s="160">
        <f t="shared" si="83"/>
        <v>1.0000000278572765</v>
      </c>
      <c r="AB97" s="160">
        <f t="shared" si="84"/>
        <v>4.6132158712835499E-4</v>
      </c>
      <c r="AC97" s="171" t="str">
        <f t="shared" si="85"/>
        <v>6.82302051755946-0.665722191405566i</v>
      </c>
      <c r="AD97" s="190">
        <f t="shared" si="86"/>
        <v>16.720682419155001</v>
      </c>
      <c r="AE97" s="169">
        <f t="shared" si="87"/>
        <v>-5.572710649305761</v>
      </c>
      <c r="AF97" s="98" t="str">
        <f t="shared" si="72"/>
        <v>-0.0000816326530612245</v>
      </c>
      <c r="AG97" s="98" t="str">
        <f t="shared" si="73"/>
        <v>8.60842941802404E-06i</v>
      </c>
      <c r="AH97" s="98">
        <f t="shared" si="88"/>
        <v>8.6084294180240407E-6</v>
      </c>
      <c r="AI97" s="98">
        <f t="shared" si="89"/>
        <v>1.5707963267948966</v>
      </c>
      <c r="AJ97" s="98" t="str">
        <f t="shared" si="74"/>
        <v>1+0.000953585456559865i</v>
      </c>
      <c r="AK97" s="98">
        <f t="shared" si="90"/>
        <v>1.0000004546625081</v>
      </c>
      <c r="AL97" s="98">
        <f t="shared" si="91"/>
        <v>9.5358516752025338E-4</v>
      </c>
      <c r="AM97" s="98" t="str">
        <f t="shared" si="75"/>
        <v>1+0.0963121311125463i</v>
      </c>
      <c r="AN97" s="98">
        <f t="shared" si="92"/>
        <v>1.0046273073132346</v>
      </c>
      <c r="AO97" s="98">
        <f t="shared" si="93"/>
        <v>9.6015979675243932E-2</v>
      </c>
      <c r="AP97" s="168" t="str">
        <f t="shared" si="94"/>
        <v>-0.904272268195739+9.48373648119641i</v>
      </c>
      <c r="AQ97" s="98">
        <f t="shared" si="95"/>
        <v>19.57889539308275</v>
      </c>
      <c r="AR97" s="169">
        <f t="shared" si="96"/>
        <v>95.446673995700181</v>
      </c>
      <c r="AS97" s="168" t="str">
        <f t="shared" si="97"/>
        <v>0.143665593615427+65.3097227103408i</v>
      </c>
      <c r="AT97" s="190">
        <f t="shared" si="98"/>
        <v>36.299577812237743</v>
      </c>
      <c r="AU97" s="169">
        <f t="shared" si="99"/>
        <v>89.873963346394419</v>
      </c>
      <c r="AV97" s="225"/>
      <c r="AX97">
        <f t="shared" si="100"/>
        <v>0</v>
      </c>
      <c r="AY97">
        <f t="shared" si="101"/>
        <v>0</v>
      </c>
    </row>
    <row r="98" spans="14:51" x14ac:dyDescent="0.2">
      <c r="N98" s="170">
        <v>80</v>
      </c>
      <c r="O98" s="199">
        <f t="shared" si="76"/>
        <v>63.095734448019364</v>
      </c>
      <c r="P98" s="189" t="str">
        <f t="shared" si="67"/>
        <v>6.8875</v>
      </c>
      <c r="Q98" s="160" t="str">
        <f t="shared" si="68"/>
        <v>1+0.099110547907375i</v>
      </c>
      <c r="R98" s="160">
        <f t="shared" si="77"/>
        <v>1.0048994480576154</v>
      </c>
      <c r="S98" s="160">
        <f t="shared" si="78"/>
        <v>9.8787929522113391E-2</v>
      </c>
      <c r="T98" s="160" t="str">
        <f t="shared" si="69"/>
        <v>1+0.0001585768766518i</v>
      </c>
      <c r="U98" s="160">
        <f t="shared" si="79"/>
        <v>1.0000000125733128</v>
      </c>
      <c r="V98" s="160">
        <f t="shared" si="80"/>
        <v>1.5857687532257555E-4</v>
      </c>
      <c r="W98" s="98" t="str">
        <f t="shared" si="70"/>
        <v>1-0.000411816681055575i</v>
      </c>
      <c r="X98" s="160">
        <f t="shared" si="81"/>
        <v>1.0000000847964858</v>
      </c>
      <c r="Y98" s="160">
        <f t="shared" si="82"/>
        <v>-4.1181665777517148E-4</v>
      </c>
      <c r="Z98" s="98" t="str">
        <f t="shared" si="71"/>
        <v>0.999999917746452+0.000472067143702751i</v>
      </c>
      <c r="AA98" s="160">
        <f t="shared" si="83"/>
        <v>1.0000000291701492</v>
      </c>
      <c r="AB98" s="160">
        <f t="shared" si="84"/>
        <v>4.7206714746563769E-4</v>
      </c>
      <c r="AC98" s="171" t="str">
        <f t="shared" si="85"/>
        <v>6.82001125288208-0.680930603390111i</v>
      </c>
      <c r="AD98" s="190">
        <f t="shared" si="86"/>
        <v>16.718780675803536</v>
      </c>
      <c r="AE98" s="169">
        <f t="shared" si="87"/>
        <v>-5.7016884543888313</v>
      </c>
      <c r="AF98" s="98" t="str">
        <f t="shared" si="72"/>
        <v>-0.0000816326530612245</v>
      </c>
      <c r="AG98" s="98" t="str">
        <f t="shared" si="73"/>
        <v>8.80894549800749E-06i</v>
      </c>
      <c r="AH98" s="98">
        <f t="shared" si="88"/>
        <v>8.8089454980074896E-6</v>
      </c>
      <c r="AI98" s="98">
        <f t="shared" si="89"/>
        <v>1.5707963267948966</v>
      </c>
      <c r="AJ98" s="98" t="str">
        <f t="shared" si="74"/>
        <v>1+0.000975797315238552i</v>
      </c>
      <c r="AK98" s="98">
        <f t="shared" si="90"/>
        <v>1.0000004760900869</v>
      </c>
      <c r="AL98" s="98">
        <f t="shared" si="91"/>
        <v>9.7579700552703611E-4</v>
      </c>
      <c r="AM98" s="98" t="str">
        <f t="shared" si="75"/>
        <v>1+0.0985555288390937i</v>
      </c>
      <c r="AN98" s="98">
        <f t="shared" si="92"/>
        <v>1.0048448597991402</v>
      </c>
      <c r="AO98" s="98">
        <f t="shared" si="93"/>
        <v>9.8238279432690825E-2</v>
      </c>
      <c r="AP98" s="168" t="str">
        <f t="shared" si="94"/>
        <v>-0.904272229443029+9.26789999705617i</v>
      </c>
      <c r="AQ98" s="98">
        <f t="shared" si="95"/>
        <v>19.380775936563222</v>
      </c>
      <c r="AR98" s="169">
        <f t="shared" si="96"/>
        <v>95.572729748041795</v>
      </c>
      <c r="AS98" s="168" t="str">
        <f t="shared" si="97"/>
        <v>0.143649956684444+63.8229289053324i</v>
      </c>
      <c r="AT98" s="190">
        <f t="shared" si="98"/>
        <v>36.099556612366754</v>
      </c>
      <c r="AU98" s="169">
        <f t="shared" si="99"/>
        <v>89.871041293652965</v>
      </c>
      <c r="AV98" s="225"/>
      <c r="AX98">
        <f t="shared" si="100"/>
        <v>0</v>
      </c>
      <c r="AY98">
        <f t="shared" si="101"/>
        <v>0</v>
      </c>
    </row>
    <row r="99" spans="14:51" x14ac:dyDescent="0.2">
      <c r="N99" s="170">
        <v>81</v>
      </c>
      <c r="O99" s="199">
        <f t="shared" si="76"/>
        <v>64.565422903465588</v>
      </c>
      <c r="P99" s="189" t="str">
        <f t="shared" si="67"/>
        <v>6.8875</v>
      </c>
      <c r="Q99" s="160" t="str">
        <f t="shared" si="68"/>
        <v>1+0.101419129134723i</v>
      </c>
      <c r="R99" s="160">
        <f t="shared" si="77"/>
        <v>1.0051297626448268</v>
      </c>
      <c r="S99" s="160">
        <f t="shared" si="78"/>
        <v>0.10107353252132577</v>
      </c>
      <c r="T99" s="160" t="str">
        <f t="shared" si="69"/>
        <v>1+0.000162270606615556i</v>
      </c>
      <c r="U99" s="160">
        <f t="shared" si="79"/>
        <v>1.0000000131658748</v>
      </c>
      <c r="V99" s="160">
        <f t="shared" si="80"/>
        <v>1.6227060519126635E-4</v>
      </c>
      <c r="W99" s="98" t="str">
        <f t="shared" si="70"/>
        <v>1-0.000421409123828488i</v>
      </c>
      <c r="X99" s="160">
        <f t="shared" si="81"/>
        <v>1.0000000887928209</v>
      </c>
      <c r="Y99" s="160">
        <f t="shared" si="82"/>
        <v>-4.2140909888308632E-4</v>
      </c>
      <c r="Z99" s="98" t="str">
        <f t="shared" si="71"/>
        <v>0.999999913869962+0.000483063000037017i</v>
      </c>
      <c r="AA99" s="160">
        <f t="shared" si="83"/>
        <v>1.0000000305448964</v>
      </c>
      <c r="AB99" s="160">
        <f t="shared" si="84"/>
        <v>4.8306300406902256E-4</v>
      </c>
      <c r="AC99" s="171" t="str">
        <f t="shared" si="85"/>
        <v>6.81686298876198-0.69647222046253i</v>
      </c>
      <c r="AD99" s="190">
        <f t="shared" si="86"/>
        <v>16.716790198225503</v>
      </c>
      <c r="AE99" s="169">
        <f t="shared" si="87"/>
        <v>-5.8336118473202498</v>
      </c>
      <c r="AF99" s="98" t="str">
        <f t="shared" si="72"/>
        <v>-0.0000816326530612245</v>
      </c>
      <c r="AG99" s="98" t="str">
        <f t="shared" si="73"/>
        <v>9.01413219749417E-06i</v>
      </c>
      <c r="AH99" s="98">
        <f t="shared" si="88"/>
        <v>9.0141321974941696E-6</v>
      </c>
      <c r="AI99" s="98">
        <f t="shared" si="89"/>
        <v>1.5707963267948966</v>
      </c>
      <c r="AJ99" s="98" t="str">
        <f t="shared" si="74"/>
        <v>1+0.000998526554569983i</v>
      </c>
      <c r="AK99" s="98">
        <f t="shared" si="90"/>
        <v>1.0000004985275157</v>
      </c>
      <c r="AL99" s="98">
        <f t="shared" si="91"/>
        <v>9.9852622270812366E-4</v>
      </c>
      <c r="AM99" s="98" t="str">
        <f t="shared" si="75"/>
        <v>1+0.100851182011568i</v>
      </c>
      <c r="AN99" s="98">
        <f t="shared" si="92"/>
        <v>1.0050726147463827</v>
      </c>
      <c r="AO99" s="98">
        <f t="shared" si="93"/>
        <v>0.1005113357410695</v>
      </c>
      <c r="AP99" s="168" t="str">
        <f t="shared" si="94"/>
        <v>-0.904272188863959+9.05697747616588i</v>
      </c>
      <c r="AQ99" s="98">
        <f t="shared" si="95"/>
        <v>19.182744234778866</v>
      </c>
      <c r="AR99" s="169">
        <f t="shared" si="96"/>
        <v>95.701663992891383</v>
      </c>
      <c r="AS99" s="168" t="str">
        <f t="shared" si="97"/>
        <v>0.143633597470865+62.3699750066067i</v>
      </c>
      <c r="AT99" s="190">
        <f t="shared" si="98"/>
        <v>35.899534433004376</v>
      </c>
      <c r="AU99" s="169">
        <f t="shared" si="99"/>
        <v>89.868052145571141</v>
      </c>
      <c r="AV99" s="225"/>
      <c r="AX99">
        <f t="shared" si="100"/>
        <v>0</v>
      </c>
      <c r="AY99">
        <f t="shared" si="101"/>
        <v>0</v>
      </c>
    </row>
    <row r="100" spans="14:51" x14ac:dyDescent="0.2">
      <c r="N100" s="170">
        <v>82</v>
      </c>
      <c r="O100" s="199">
        <f t="shared" si="76"/>
        <v>66.069344800759623</v>
      </c>
      <c r="P100" s="189" t="str">
        <f t="shared" si="67"/>
        <v>6.8875</v>
      </c>
      <c r="Q100" s="160" t="str">
        <f t="shared" si="68"/>
        <v>1+0.103781484126779i</v>
      </c>
      <c r="R100" s="160">
        <f t="shared" si="77"/>
        <v>1.0053708750742469</v>
      </c>
      <c r="S100" s="160">
        <f t="shared" si="78"/>
        <v>0.1034112774446504</v>
      </c>
      <c r="T100" s="160" t="str">
        <f t="shared" si="69"/>
        <v>1+0.000166050374602846i</v>
      </c>
      <c r="U100" s="160">
        <f t="shared" si="79"/>
        <v>1.0000000137863634</v>
      </c>
      <c r="V100" s="160">
        <f t="shared" si="80"/>
        <v>1.6605037307669215E-4</v>
      </c>
      <c r="W100" s="98" t="str">
        <f t="shared" si="70"/>
        <v>1-0.000431225003296864i</v>
      </c>
      <c r="X100" s="160">
        <f t="shared" si="81"/>
        <v>1.0000000929774975</v>
      </c>
      <c r="Y100" s="160">
        <f t="shared" si="82"/>
        <v>-4.3122497656738465E-4</v>
      </c>
      <c r="Z100" s="98" t="str">
        <f t="shared" si="71"/>
        <v>0.999999909810778+0.000494314982767997i</v>
      </c>
      <c r="AA100" s="160">
        <f t="shared" si="83"/>
        <v>1.0000000319844327</v>
      </c>
      <c r="AB100" s="160">
        <f t="shared" si="84"/>
        <v>4.9431498708836898E-4</v>
      </c>
      <c r="AC100" s="171" t="str">
        <f t="shared" si="85"/>
        <v>6.81356944244315-0.712353333381012i</v>
      </c>
      <c r="AD100" s="190">
        <f t="shared" si="86"/>
        <v>16.714706889684233</v>
      </c>
      <c r="AE100" s="169">
        <f t="shared" si="87"/>
        <v>-5.9685452997591861</v>
      </c>
      <c r="AF100" s="98" t="str">
        <f t="shared" si="72"/>
        <v>-0.0000816326530612245</v>
      </c>
      <c r="AG100" s="98" t="str">
        <f t="shared" si="73"/>
        <v>9.22409830918809E-06i</v>
      </c>
      <c r="AH100" s="98">
        <f t="shared" si="88"/>
        <v>9.2240983091880896E-6</v>
      </c>
      <c r="AI100" s="98">
        <f t="shared" si="89"/>
        <v>1.5707963267948966</v>
      </c>
      <c r="AJ100" s="98" t="str">
        <f t="shared" si="74"/>
        <v>1+0.00102178522589771i</v>
      </c>
      <c r="AK100" s="98">
        <f t="shared" si="90"/>
        <v>1.0000005220223878</v>
      </c>
      <c r="AL100" s="98">
        <f t="shared" si="91"/>
        <v>1.021784870301331E-3</v>
      </c>
      <c r="AM100" s="98" t="str">
        <f t="shared" si="75"/>
        <v>1+0.103200307815669i</v>
      </c>
      <c r="AN100" s="98">
        <f t="shared" si="92"/>
        <v>1.0053110481503964</v>
      </c>
      <c r="AO100" s="98">
        <f t="shared" si="93"/>
        <v>0.1028362597982297</v>
      </c>
      <c r="AP100" s="168" t="str">
        <f t="shared" si="94"/>
        <v>-0.904272146372465+8.8508570846129i</v>
      </c>
      <c r="AQ100" s="98">
        <f t="shared" si="95"/>
        <v>18.984804340168612</v>
      </c>
      <c r="AR100" s="169">
        <f t="shared" si="96"/>
        <v>95.833539706710823</v>
      </c>
      <c r="AS100" s="168" t="str">
        <f t="shared" si="97"/>
        <v>0.143616483327039+60.9500906489019i</v>
      </c>
      <c r="AT100" s="190">
        <f t="shared" si="98"/>
        <v>35.699511229852838</v>
      </c>
      <c r="AU100" s="169">
        <f t="shared" si="99"/>
        <v>89.864994406951638</v>
      </c>
      <c r="AV100" s="225"/>
      <c r="AX100">
        <f t="shared" si="100"/>
        <v>0</v>
      </c>
      <c r="AY100">
        <f t="shared" si="101"/>
        <v>0</v>
      </c>
    </row>
    <row r="101" spans="14:51" x14ac:dyDescent="0.2">
      <c r="N101" s="170">
        <v>83</v>
      </c>
      <c r="O101" s="199">
        <f t="shared" si="76"/>
        <v>67.60829753919819</v>
      </c>
      <c r="P101" s="189" t="str">
        <f t="shared" si="67"/>
        <v>6.8875</v>
      </c>
      <c r="Q101" s="160" t="str">
        <f t="shared" si="68"/>
        <v>1+0.106198865435429i</v>
      </c>
      <c r="R101" s="160">
        <f t="shared" si="77"/>
        <v>1.0056232888213024</v>
      </c>
      <c r="S101" s="160">
        <f t="shared" si="78"/>
        <v>0.10580230153229818</v>
      </c>
      <c r="T101" s="160" t="str">
        <f t="shared" si="69"/>
        <v>1+0.000169918184696686i</v>
      </c>
      <c r="U101" s="160">
        <f t="shared" si="79"/>
        <v>1.0000000144360948</v>
      </c>
      <c r="V101" s="160">
        <f t="shared" si="80"/>
        <v>1.699181830613827E-4</v>
      </c>
      <c r="W101" s="98" t="str">
        <f t="shared" si="70"/>
        <v>1-0.000441269523969926i</v>
      </c>
      <c r="X101" s="160">
        <f t="shared" si="81"/>
        <v>1.0000000973593917</v>
      </c>
      <c r="Y101" s="160">
        <f t="shared" si="82"/>
        <v>-4.41269495328773E-4</v>
      </c>
      <c r="Z101" s="98" t="str">
        <f t="shared" si="71"/>
        <v>0.999999905560291+0.000505829057845873i</v>
      </c>
      <c r="AA101" s="160">
        <f t="shared" si="83"/>
        <v>1.0000000334918127</v>
      </c>
      <c r="AB101" s="160">
        <f t="shared" si="84"/>
        <v>5.058290624752348E-4</v>
      </c>
      <c r="AC101" s="171" t="str">
        <f t="shared" si="85"/>
        <v>6.81012406031555-0.728580278391356i</v>
      </c>
      <c r="AD101" s="190">
        <f t="shared" si="86"/>
        <v>16.712526468456318</v>
      </c>
      <c r="AE101" s="169">
        <f t="shared" si="87"/>
        <v>-6.1065544959643683</v>
      </c>
      <c r="AF101" s="98" t="str">
        <f t="shared" si="72"/>
        <v>-0.0000816326530612245</v>
      </c>
      <c r="AG101" s="98" t="str">
        <f t="shared" si="73"/>
        <v>9.43895515990093E-06i</v>
      </c>
      <c r="AH101" s="98">
        <f t="shared" si="88"/>
        <v>9.4389551599009308E-6</v>
      </c>
      <c r="AI101" s="98">
        <f t="shared" si="89"/>
        <v>1.5707963267948966</v>
      </c>
      <c r="AJ101" s="98" t="str">
        <f t="shared" si="74"/>
        <v>1+0.00104558566127713i</v>
      </c>
      <c r="AK101" s="98">
        <f t="shared" si="90"/>
        <v>1.0000005466245381</v>
      </c>
      <c r="AL101" s="98">
        <f t="shared" si="91"/>
        <v>1.0455852802487564E-3</v>
      </c>
      <c r="AM101" s="98" t="str">
        <f t="shared" si="75"/>
        <v>1+0.105604151788991i</v>
      </c>
      <c r="AN101" s="98">
        <f t="shared" si="92"/>
        <v>1.0055606579789567</v>
      </c>
      <c r="AO101" s="98">
        <f t="shared" si="93"/>
        <v>0.10521418371986835</v>
      </c>
      <c r="AP101" s="168" t="str">
        <f t="shared" si="94"/>
        <v>-0.904272101878416+8.64942953463706i</v>
      </c>
      <c r="AQ101" s="98">
        <f t="shared" si="95"/>
        <v>18.786960488246013</v>
      </c>
      <c r="AR101" s="169">
        <f t="shared" si="96"/>
        <v>95.968421048383277</v>
      </c>
      <c r="AS101" s="168" t="str">
        <f t="shared" si="97"/>
        <v>0.14359858019797+59.5625230015639i</v>
      </c>
      <c r="AT101" s="190">
        <f t="shared" si="98"/>
        <v>35.499486956702334</v>
      </c>
      <c r="AU101" s="169">
        <f t="shared" si="99"/>
        <v>89.861866552418903</v>
      </c>
      <c r="AV101" s="225"/>
      <c r="AX101">
        <f t="shared" si="100"/>
        <v>0</v>
      </c>
      <c r="AY101">
        <f t="shared" si="101"/>
        <v>0</v>
      </c>
    </row>
    <row r="102" spans="14:51" x14ac:dyDescent="0.2">
      <c r="N102" s="170">
        <v>84</v>
      </c>
      <c r="O102" s="199">
        <f t="shared" si="76"/>
        <v>69.183097091893657</v>
      </c>
      <c r="P102" s="189" t="str">
        <f t="shared" si="67"/>
        <v>6.8875</v>
      </c>
      <c r="Q102" s="160" t="str">
        <f t="shared" si="68"/>
        <v>1+0.108672554788241i</v>
      </c>
      <c r="R102" s="160">
        <f t="shared" si="77"/>
        <v>1.0058875305739718</v>
      </c>
      <c r="S102" s="160">
        <f t="shared" si="78"/>
        <v>0.10824776312138851</v>
      </c>
      <c r="T102" s="160" t="str">
        <f t="shared" si="69"/>
        <v>1+0.000173876087661186i</v>
      </c>
      <c r="U102" s="160">
        <f t="shared" si="79"/>
        <v>1.0000000151164468</v>
      </c>
      <c r="V102" s="160">
        <f t="shared" si="80"/>
        <v>1.7387608590892695E-4</v>
      </c>
      <c r="W102" s="98" t="str">
        <f t="shared" si="70"/>
        <v>1-0.00045154801158549i</v>
      </c>
      <c r="X102" s="160">
        <f t="shared" si="81"/>
        <v>1.0000001019477982</v>
      </c>
      <c r="Y102" s="160">
        <f t="shared" si="82"/>
        <v>-4.5154798089594184E-4</v>
      </c>
      <c r="Z102" s="98" t="str">
        <f t="shared" si="71"/>
        <v>0.999999901109485+0.000517611330185658i</v>
      </c>
      <c r="AA102" s="160">
        <f t="shared" si="83"/>
        <v>1.0000000350702338</v>
      </c>
      <c r="AB102" s="160">
        <f t="shared" si="84"/>
        <v>5.1761133514610831E-4</v>
      </c>
      <c r="AC102" s="171" t="str">
        <f t="shared" si="85"/>
        <v>6.80652000749526-0.745159431551055i</v>
      </c>
      <c r="AD102" s="190">
        <f t="shared" si="86"/>
        <v>16.710244459874325</v>
      </c>
      <c r="AE102" s="169">
        <f t="shared" si="87"/>
        <v>-6.2477063411916109</v>
      </c>
      <c r="AF102" s="98" t="str">
        <f t="shared" si="72"/>
        <v>-0.0000816326530612245</v>
      </c>
      <c r="AG102" s="98" t="str">
        <f t="shared" si="73"/>
        <v>9.65881666957888E-06i</v>
      </c>
      <c r="AH102" s="98">
        <f t="shared" si="88"/>
        <v>9.6588166695788792E-6</v>
      </c>
      <c r="AI102" s="98">
        <f t="shared" si="89"/>
        <v>1.5707963267948966</v>
      </c>
      <c r="AJ102" s="98" t="str">
        <f t="shared" si="74"/>
        <v>1+0.00106994048001413i</v>
      </c>
      <c r="AK102" s="98">
        <f t="shared" si="90"/>
        <v>1.0000005723861516</v>
      </c>
      <c r="AL102" s="98">
        <f t="shared" si="91"/>
        <v>1.0699400717348842E-3</v>
      </c>
      <c r="AM102" s="98" t="str">
        <f t="shared" si="75"/>
        <v>1+0.108063988481427i</v>
      </c>
      <c r="AN102" s="98">
        <f t="shared" si="92"/>
        <v>1.0058219651640712</v>
      </c>
      <c r="AO102" s="98">
        <f t="shared" si="93"/>
        <v>0.10764626068578131</v>
      </c>
      <c r="AP102" s="168" t="str">
        <f t="shared" si="94"/>
        <v>-0.904272055287421+8.4525880266849i</v>
      </c>
      <c r="AQ102" s="98">
        <f t="shared" si="95"/>
        <v>18.589217105482685</v>
      </c>
      <c r="AR102" s="169">
        <f t="shared" si="96"/>
        <v>96.106373367217941</v>
      </c>
      <c r="AS102" s="168" t="str">
        <f t="shared" si="97"/>
        <v>0.143579852567083+58.2065363694311i</v>
      </c>
      <c r="AT102" s="190">
        <f t="shared" si="98"/>
        <v>35.299461565357007</v>
      </c>
      <c r="AU102" s="169">
        <f t="shared" si="99"/>
        <v>89.858667026026325</v>
      </c>
      <c r="AV102" s="225"/>
      <c r="AX102">
        <f t="shared" si="100"/>
        <v>0</v>
      </c>
      <c r="AY102">
        <f t="shared" si="101"/>
        <v>0</v>
      </c>
    </row>
    <row r="103" spans="14:51" x14ac:dyDescent="0.2">
      <c r="N103" s="170">
        <v>85</v>
      </c>
      <c r="O103" s="199">
        <f t="shared" si="76"/>
        <v>70.794578438413865</v>
      </c>
      <c r="P103" s="189" t="str">
        <f t="shared" si="67"/>
        <v>6.8875</v>
      </c>
      <c r="Q103" s="160" t="str">
        <f t="shared" si="68"/>
        <v>1+0.111203863768054i</v>
      </c>
      <c r="R103" s="160">
        <f t="shared" si="77"/>
        <v>1.0061641512779831</v>
      </c>
      <c r="S103" s="160">
        <f t="shared" si="78"/>
        <v>0.11074884176790625</v>
      </c>
      <c r="T103" s="160" t="str">
        <f t="shared" si="69"/>
        <v>1+0.000177926182028886i</v>
      </c>
      <c r="U103" s="160">
        <f t="shared" si="79"/>
        <v>1.0000000158288629</v>
      </c>
      <c r="V103" s="160">
        <f t="shared" si="80"/>
        <v>1.7792618015130657E-4</v>
      </c>
      <c r="W103" s="98" t="str">
        <f t="shared" si="70"/>
        <v>1-0.000462065915933741i</v>
      </c>
      <c r="X103" s="160">
        <f t="shared" si="81"/>
        <v>1.0000001067524495</v>
      </c>
      <c r="Y103" s="160">
        <f t="shared" si="82"/>
        <v>-4.6206588304929786E-4</v>
      </c>
      <c r="Z103" s="98" t="str">
        <f t="shared" si="71"/>
        <v>0.999999896448919+0.000529668046904105i</v>
      </c>
      <c r="AA103" s="160">
        <f t="shared" si="83"/>
        <v>1.0000000367230437</v>
      </c>
      <c r="AB103" s="160">
        <f t="shared" si="84"/>
        <v>5.2966805221932301E-4</v>
      </c>
      <c r="AC103" s="171" t="str">
        <f t="shared" si="85"/>
        <v>6.80275015712694-0.762097202497174i</v>
      </c>
      <c r="AD103" s="190">
        <f t="shared" si="86"/>
        <v>16.707856188065314</v>
      </c>
      <c r="AE103" s="169">
        <f t="shared" si="87"/>
        <v>-6.3920689689664458</v>
      </c>
      <c r="AF103" s="98" t="str">
        <f t="shared" si="72"/>
        <v>-0.0000816326530612245</v>
      </c>
      <c r="AG103" s="98" t="str">
        <f t="shared" si="73"/>
        <v>9.88379941170461E-06i</v>
      </c>
      <c r="AH103" s="98">
        <f t="shared" si="88"/>
        <v>9.8837994117046101E-6</v>
      </c>
      <c r="AI103" s="98">
        <f t="shared" si="89"/>
        <v>1.5707963267948966</v>
      </c>
      <c r="AJ103" s="98" t="str">
        <f t="shared" si="74"/>
        <v>1+0.00109486259535597i</v>
      </c>
      <c r="AK103" s="98">
        <f t="shared" si="90"/>
        <v>1.0000005993618717</v>
      </c>
      <c r="AL103" s="98">
        <f t="shared" si="91"/>
        <v>1.0948621578768906E-3</v>
      </c>
      <c r="AM103" s="98" t="str">
        <f t="shared" si="75"/>
        <v>1+0.110581122130953i</v>
      </c>
      <c r="AN103" s="98">
        <f t="shared" si="92"/>
        <v>1.0060955146365282</v>
      </c>
      <c r="AO103" s="98">
        <f t="shared" si="93"/>
        <v>0.11013366506680948</v>
      </c>
      <c r="AP103" s="168" t="str">
        <f t="shared" si="94"/>
        <v>-0.904272006500678+8.26022819278294i</v>
      </c>
      <c r="AQ103" s="98">
        <f t="shared" si="95"/>
        <v>18.391578817493858</v>
      </c>
      <c r="AR103" s="169">
        <f t="shared" si="96"/>
        <v>96.247463209840632</v>
      </c>
      <c r="AS103" s="168" t="str">
        <f t="shared" si="97"/>
        <v>0.143560263400185+56.8814118028092i</v>
      </c>
      <c r="AT103" s="190">
        <f t="shared" si="98"/>
        <v>35.099435005559172</v>
      </c>
      <c r="AU103" s="169">
        <f t="shared" si="99"/>
        <v>89.85539424087419</v>
      </c>
      <c r="AV103" s="225"/>
      <c r="AX103">
        <f t="shared" si="100"/>
        <v>0</v>
      </c>
      <c r="AY103">
        <f t="shared" si="101"/>
        <v>0</v>
      </c>
    </row>
    <row r="104" spans="14:51" x14ac:dyDescent="0.2">
      <c r="N104" s="170">
        <v>86</v>
      </c>
      <c r="O104" s="199">
        <f t="shared" si="76"/>
        <v>72.443596007499011</v>
      </c>
      <c r="P104" s="189" t="str">
        <f t="shared" si="67"/>
        <v>6.8875</v>
      </c>
      <c r="Q104" s="160" t="str">
        <f t="shared" si="68"/>
        <v>1+0.113794134508393i</v>
      </c>
      <c r="R104" s="160">
        <f t="shared" si="77"/>
        <v>1.0064537272266987</v>
      </c>
      <c r="S104" s="160">
        <f t="shared" si="78"/>
        <v>0.11330673834699923</v>
      </c>
      <c r="T104" s="160" t="str">
        <f t="shared" si="69"/>
        <v>1+0.000182070615213428i</v>
      </c>
      <c r="U104" s="160">
        <f t="shared" si="79"/>
        <v>1.0000000165748544</v>
      </c>
      <c r="V104" s="160">
        <f t="shared" si="80"/>
        <v>1.8207061320156539E-4</v>
      </c>
      <c r="W104" s="98" t="str">
        <f t="shared" si="70"/>
        <v>1-0.000472828813746784i</v>
      </c>
      <c r="X104" s="160">
        <f t="shared" si="81"/>
        <v>1.0000001117835373</v>
      </c>
      <c r="Y104" s="160">
        <f t="shared" si="82"/>
        <v>-4.728287785104685E-4</v>
      </c>
      <c r="Z104" s="98" t="str">
        <f t="shared" si="71"/>
        <v>0.999999891568707+0.000542005600632002i</v>
      </c>
      <c r="AA104" s="160">
        <f t="shared" si="83"/>
        <v>1.0000000384537475</v>
      </c>
      <c r="AB104" s="160">
        <f t="shared" si="84"/>
        <v>5.4200560632736063E-4</v>
      </c>
      <c r="AC104" s="171" t="str">
        <f t="shared" si="85"/>
        <v>6.79880707941403-0.779400027621321i</v>
      </c>
      <c r="AD104" s="190">
        <f t="shared" si="86"/>
        <v>16.705356767376959</v>
      </c>
      <c r="AE104" s="169">
        <f t="shared" si="87"/>
        <v>-6.5397117471223449</v>
      </c>
      <c r="AF104" s="98" t="str">
        <f t="shared" si="72"/>
        <v>-0.0000816326530612245</v>
      </c>
      <c r="AG104" s="98" t="str">
        <f t="shared" si="73"/>
        <v>0.000010114022675106i</v>
      </c>
      <c r="AH104" s="98">
        <f t="shared" si="88"/>
        <v>1.0114022675106E-5</v>
      </c>
      <c r="AI104" s="98">
        <f t="shared" si="89"/>
        <v>1.5707963267948966</v>
      </c>
      <c r="AJ104" s="98" t="str">
        <f t="shared" si="74"/>
        <v>1+0.00112036522133808i</v>
      </c>
      <c r="AK104" s="98">
        <f t="shared" si="90"/>
        <v>1.0000006276089177</v>
      </c>
      <c r="AL104" s="98">
        <f t="shared" si="91"/>
        <v>1.1203647525708166E-3</v>
      </c>
      <c r="AM104" s="98" t="str">
        <f t="shared" si="75"/>
        <v>1+0.113156887355146i</v>
      </c>
      <c r="AN104" s="98">
        <f t="shared" si="92"/>
        <v>1.0063818764047299</v>
      </c>
      <c r="AO104" s="98">
        <f t="shared" si="93"/>
        <v>0.11267759253059749</v>
      </c>
      <c r="AP104" s="168" t="str">
        <f t="shared" si="94"/>
        <v>-0.904271955414678+8.07224804120077i</v>
      </c>
      <c r="AQ104" s="98">
        <f t="shared" si="95"/>
        <v>18.194050457534864</v>
      </c>
      <c r="AR104" s="169">
        <f t="shared" si="96"/>
        <v>96.391758325860508</v>
      </c>
      <c r="AS104" s="168" t="str">
        <f t="shared" si="97"/>
        <v>0.143539774089154+55.5864467163292i</v>
      </c>
      <c r="AT104" s="190">
        <f t="shared" si="98"/>
        <v>34.899407224911819</v>
      </c>
      <c r="AU104" s="169">
        <f t="shared" si="99"/>
        <v>89.852046578738182</v>
      </c>
      <c r="AV104" s="225"/>
      <c r="AX104">
        <f t="shared" si="100"/>
        <v>0</v>
      </c>
      <c r="AY104">
        <f t="shared" si="101"/>
        <v>0</v>
      </c>
    </row>
    <row r="105" spans="14:51" x14ac:dyDescent="0.2">
      <c r="N105" s="170">
        <v>87</v>
      </c>
      <c r="O105" s="199">
        <f t="shared" si="76"/>
        <v>74.131024130091816</v>
      </c>
      <c r="P105" s="189" t="str">
        <f t="shared" si="67"/>
        <v>6.8875</v>
      </c>
      <c r="Q105" s="160" t="str">
        <f t="shared" si="68"/>
        <v>1+0.116444740405092i</v>
      </c>
      <c r="R105" s="160">
        <f t="shared" si="77"/>
        <v>1.0067568611973843</v>
      </c>
      <c r="S105" s="160">
        <f t="shared" si="78"/>
        <v>0.11592267512959777</v>
      </c>
      <c r="T105" s="160" t="str">
        <f t="shared" si="69"/>
        <v>1+0.000186311584648147i</v>
      </c>
      <c r="U105" s="160">
        <f t="shared" si="79"/>
        <v>1.0000000173560031</v>
      </c>
      <c r="V105" s="160">
        <f t="shared" si="80"/>
        <v>1.8631158249239737E-4</v>
      </c>
      <c r="W105" s="98" t="str">
        <f t="shared" si="70"/>
        <v>1-0.000483842411655507i</v>
      </c>
      <c r="X105" s="160">
        <f t="shared" si="81"/>
        <v>1.0000001170517328</v>
      </c>
      <c r="Y105" s="160">
        <f t="shared" si="82"/>
        <v>-4.8384237389911496E-4</v>
      </c>
      <c r="Z105" s="98" t="str">
        <f t="shared" si="71"/>
        <v>0.999999886458497+0.00055463053290365i</v>
      </c>
      <c r="AA105" s="160">
        <f t="shared" si="83"/>
        <v>1.0000000402660167</v>
      </c>
      <c r="AB105" s="160">
        <f t="shared" si="84"/>
        <v>5.5463053900633693E-4</v>
      </c>
      <c r="AC105" s="171" t="str">
        <f t="shared" si="85"/>
        <v>6.79468303038422-0.797074362613383i</v>
      </c>
      <c r="AD105" s="190">
        <f t="shared" si="86"/>
        <v>16.70274109348362</v>
      </c>
      <c r="AE105" s="169">
        <f t="shared" si="87"/>
        <v>-6.6907052824890449</v>
      </c>
      <c r="AF105" s="98" t="str">
        <f t="shared" si="72"/>
        <v>-0.0000816326530612245</v>
      </c>
      <c r="AG105" s="98" t="str">
        <f t="shared" si="73"/>
        <v>0.0000103496085272046i</v>
      </c>
      <c r="AH105" s="98">
        <f t="shared" si="88"/>
        <v>1.0349608527204599E-5</v>
      </c>
      <c r="AI105" s="98">
        <f t="shared" si="89"/>
        <v>1.5707963267948966</v>
      </c>
      <c r="AJ105" s="98" t="str">
        <f t="shared" si="74"/>
        <v>1+0.00114646187979033i</v>
      </c>
      <c r="AK105" s="98">
        <f t="shared" si="90"/>
        <v>1.0000006571872049</v>
      </c>
      <c r="AL105" s="98">
        <f t="shared" si="91"/>
        <v>1.1464613774971755E-3</v>
      </c>
      <c r="AM105" s="98" t="str">
        <f t="shared" si="75"/>
        <v>1+0.115792649858824i</v>
      </c>
      <c r="AN105" s="98">
        <f t="shared" si="92"/>
        <v>1.0066816466794895</v>
      </c>
      <c r="AO105" s="98">
        <f t="shared" si="93"/>
        <v>0.11527926012418667</v>
      </c>
      <c r="AP105" s="168" t="str">
        <f t="shared" si="94"/>
        <v>-0.904271901921086+7.88854790237355i</v>
      </c>
      <c r="AQ105" s="98">
        <f t="shared" si="95"/>
        <v>17.996637075315249</v>
      </c>
      <c r="AR105" s="169">
        <f t="shared" si="96"/>
        <v>96.53932767220131</v>
      </c>
      <c r="AS105" s="168" t="str">
        <f t="shared" si="97"/>
        <v>0.143518344393072+54.3209545164835i</v>
      </c>
      <c r="AT105" s="190">
        <f t="shared" si="98"/>
        <v>34.699378168798866</v>
      </c>
      <c r="AU105" s="169">
        <f t="shared" si="99"/>
        <v>89.848622389712261</v>
      </c>
      <c r="AV105" s="225"/>
      <c r="AX105">
        <f t="shared" si="100"/>
        <v>0</v>
      </c>
      <c r="AY105">
        <f t="shared" si="101"/>
        <v>0</v>
      </c>
    </row>
    <row r="106" spans="14:51" x14ac:dyDescent="0.2">
      <c r="N106" s="170">
        <v>88</v>
      </c>
      <c r="O106" s="199">
        <f t="shared" si="76"/>
        <v>75.857757502918361</v>
      </c>
      <c r="P106" s="189" t="str">
        <f t="shared" si="67"/>
        <v>6.8875</v>
      </c>
      <c r="Q106" s="160" t="str">
        <f t="shared" si="68"/>
        <v>1+0.119157086844482i</v>
      </c>
      <c r="R106" s="160">
        <f t="shared" si="77"/>
        <v>1.0070741836355768</v>
      </c>
      <c r="S106" s="160">
        <f t="shared" si="78"/>
        <v>0.11859789583317547</v>
      </c>
      <c r="T106" s="160" t="str">
        <f t="shared" si="69"/>
        <v>1+0.000190651338951172i</v>
      </c>
      <c r="U106" s="160">
        <f t="shared" si="79"/>
        <v>1.0000000181739663</v>
      </c>
      <c r="V106" s="160">
        <f t="shared" si="80"/>
        <v>1.9065133664124468E-4</v>
      </c>
      <c r="W106" s="98" t="str">
        <f t="shared" si="70"/>
        <v>1-0.0004951125492153i</v>
      </c>
      <c r="X106" s="160">
        <f t="shared" si="81"/>
        <v>1.0000001225682107</v>
      </c>
      <c r="Y106" s="160">
        <f t="shared" si="82"/>
        <v>-4.9511250875859734E-4</v>
      </c>
      <c r="Z106" s="98" t="str">
        <f t="shared" si="71"/>
        <v>0.999999881107451+0.000567549537625245i</v>
      </c>
      <c r="AA106" s="160">
        <f t="shared" si="83"/>
        <v>1.0000000421636959</v>
      </c>
      <c r="AB106" s="160">
        <f t="shared" si="84"/>
        <v>5.675495441643917E-4</v>
      </c>
      <c r="AC106" s="171" t="str">
        <f t="shared" si="85"/>
        <v>6.79036994039959-0.815126674333641i</v>
      </c>
      <c r="AD106" s="190">
        <f t="shared" si="86"/>
        <v>16.700003834164892</v>
      </c>
      <c r="AE106" s="169">
        <f t="shared" si="87"/>
        <v>-6.845121424106221</v>
      </c>
      <c r="AF106" s="98" t="str">
        <f t="shared" si="72"/>
        <v>-0.0000816326530612245</v>
      </c>
      <c r="AG106" s="98" t="str">
        <f t="shared" si="73"/>
        <v>0.0000105906818787376i</v>
      </c>
      <c r="AH106" s="98">
        <f t="shared" si="88"/>
        <v>1.05906818787376E-5</v>
      </c>
      <c r="AI106" s="98">
        <f t="shared" si="89"/>
        <v>1.5707963267948966</v>
      </c>
      <c r="AJ106" s="98" t="str">
        <f t="shared" si="74"/>
        <v>1+0.00117316640750647i</v>
      </c>
      <c r="AK106" s="98">
        <f t="shared" si="90"/>
        <v>1.0000006881594732</v>
      </c>
      <c r="AL106" s="98">
        <f t="shared" si="91"/>
        <v>1.1731658692896781E-3</v>
      </c>
      <c r="AM106" s="98" t="str">
        <f t="shared" si="75"/>
        <v>1+0.118489807158153i</v>
      </c>
      <c r="AN106" s="98">
        <f t="shared" si="92"/>
        <v>1.006995449046507</v>
      </c>
      <c r="AO106" s="98">
        <f t="shared" si="93"/>
        <v>0.1179399063312834</v>
      </c>
      <c r="AP106" s="168" t="str">
        <f t="shared" si="94"/>
        <v>-0.904271845906417+7.70903037605564i</v>
      </c>
      <c r="AQ106" s="98">
        <f t="shared" si="95"/>
        <v>17.799343946138467</v>
      </c>
      <c r="AR106" s="169">
        <f t="shared" si="96"/>
        <v>96.690241415971698</v>
      </c>
      <c r="AS106" s="168" t="str">
        <f t="shared" si="97"/>
        <v>0.143495932378668+53.0842642376428i</v>
      </c>
      <c r="AT106" s="190">
        <f t="shared" si="98"/>
        <v>34.499347780303353</v>
      </c>
      <c r="AU106" s="169">
        <f t="shared" si="99"/>
        <v>89.845119991865474</v>
      </c>
      <c r="AV106" s="225"/>
      <c r="AX106">
        <f t="shared" si="100"/>
        <v>0</v>
      </c>
      <c r="AY106">
        <f t="shared" si="101"/>
        <v>0</v>
      </c>
    </row>
    <row r="107" spans="14:51" x14ac:dyDescent="0.2">
      <c r="N107" s="170">
        <v>89</v>
      </c>
      <c r="O107" s="199">
        <f t="shared" si="76"/>
        <v>77.624711662869217</v>
      </c>
      <c r="P107" s="189" t="str">
        <f t="shared" si="67"/>
        <v>6.8875</v>
      </c>
      <c r="Q107" s="160" t="str">
        <f t="shared" si="68"/>
        <v>1+0.121932611948548i</v>
      </c>
      <c r="R107" s="160">
        <f t="shared" si="77"/>
        <v>1.0074063538893305</v>
      </c>
      <c r="S107" s="160">
        <f t="shared" si="78"/>
        <v>0.12133366564437047</v>
      </c>
      <c r="T107" s="160" t="str">
        <f t="shared" si="69"/>
        <v>1+0.000195092179117677i</v>
      </c>
      <c r="U107" s="160">
        <f t="shared" si="79"/>
        <v>1.000000019030479</v>
      </c>
      <c r="V107" s="160">
        <f t="shared" si="80"/>
        <v>1.950921766425453E-4</v>
      </c>
      <c r="W107" s="98" t="str">
        <f t="shared" si="70"/>
        <v>1-0.000506645202002277i</v>
      </c>
      <c r="X107" s="160">
        <f t="shared" si="81"/>
        <v>1.000000128344672</v>
      </c>
      <c r="Y107" s="160">
        <f t="shared" si="82"/>
        <v>-5.066451586521394E-4</v>
      </c>
      <c r="Z107" s="98" t="str">
        <f t="shared" si="71"/>
        <v>0.999999875504218+0.000580769464624096i</v>
      </c>
      <c r="AA107" s="160">
        <f t="shared" si="83"/>
        <v>1.0000000441508103</v>
      </c>
      <c r="AB107" s="160">
        <f t="shared" si="84"/>
        <v>5.8076947163091767E-4</v>
      </c>
      <c r="AC107" s="171" t="str">
        <f t="shared" si="85"/>
        <v>6.78585940242317-0.833563431971324i</v>
      </c>
      <c r="AD107" s="190">
        <f t="shared" si="86"/>
        <v>16.697139419749398</v>
      </c>
      <c r="AE107" s="169">
        <f t="shared" si="87"/>
        <v>-7.0030332648322515</v>
      </c>
      <c r="AF107" s="98" t="str">
        <f t="shared" si="72"/>
        <v>-0.0000816326530612245</v>
      </c>
      <c r="AG107" s="98" t="str">
        <f t="shared" si="73"/>
        <v>0.0000108373705499869i</v>
      </c>
      <c r="AH107" s="98">
        <f t="shared" si="88"/>
        <v>1.0837370549986901E-5</v>
      </c>
      <c r="AI107" s="98">
        <f t="shared" si="89"/>
        <v>1.5707963267948966</v>
      </c>
      <c r="AJ107" s="98" t="str">
        <f t="shared" si="74"/>
        <v>1+0.00120049296358056i</v>
      </c>
      <c r="AK107" s="98">
        <f t="shared" si="90"/>
        <v>1.0000007205914181</v>
      </c>
      <c r="AL107" s="98">
        <f t="shared" si="91"/>
        <v>1.2004923868708995E-3</v>
      </c>
      <c r="AM107" s="98" t="str">
        <f t="shared" si="75"/>
        <v>1+0.121249789321636i</v>
      </c>
      <c r="AN107" s="98">
        <f t="shared" si="92"/>
        <v>1.0073239356882875</v>
      </c>
      <c r="AO107" s="98">
        <f t="shared" si="93"/>
        <v>0.12066079110196926</v>
      </c>
      <c r="AP107" s="168" t="str">
        <f t="shared" si="94"/>
        <v>-0.904271787251878+7.53360027967804i</v>
      </c>
      <c r="AQ107" s="98">
        <f t="shared" si="95"/>
        <v>17.602176580375179</v>
      </c>
      <c r="AR107" s="169">
        <f t="shared" si="96"/>
        <v>96.844570935747242</v>
      </c>
      <c r="AS107" s="168" t="str">
        <f t="shared" si="97"/>
        <v>0.143472494359393+51.8757201863676i</v>
      </c>
      <c r="AT107" s="190">
        <f t="shared" si="98"/>
        <v>34.299316000124577</v>
      </c>
      <c r="AU107" s="169">
        <f t="shared" si="99"/>
        <v>89.841537670914988</v>
      </c>
      <c r="AV107" s="225"/>
      <c r="AX107">
        <f t="shared" si="100"/>
        <v>0</v>
      </c>
      <c r="AY107">
        <f t="shared" si="101"/>
        <v>0</v>
      </c>
    </row>
    <row r="108" spans="14:51" x14ac:dyDescent="0.2">
      <c r="N108" s="170">
        <v>90</v>
      </c>
      <c r="O108" s="199">
        <f t="shared" si="76"/>
        <v>79.432823472428197</v>
      </c>
      <c r="P108" s="189" t="str">
        <f t="shared" si="67"/>
        <v>6.8875</v>
      </c>
      <c r="Q108" s="160" t="str">
        <f t="shared" si="68"/>
        <v>1+0.124772787337438i</v>
      </c>
      <c r="R108" s="160">
        <f t="shared" si="77"/>
        <v>1.0077540614951415</v>
      </c>
      <c r="S108" s="160">
        <f t="shared" si="78"/>
        <v>0.12413127121101446</v>
      </c>
      <c r="T108" s="160" t="str">
        <f t="shared" si="69"/>
        <v>1+0.0001996364597399i</v>
      </c>
      <c r="U108" s="160">
        <f t="shared" si="79"/>
        <v>1.0000000199273578</v>
      </c>
      <c r="V108" s="160">
        <f t="shared" si="80"/>
        <v>1.9963645708774859E-4</v>
      </c>
      <c r="W108" s="98" t="str">
        <f t="shared" si="70"/>
        <v>1-0.000518446484781597i</v>
      </c>
      <c r="X108" s="160">
        <f t="shared" si="81"/>
        <v>1.0000001343933698</v>
      </c>
      <c r="Y108" s="160">
        <f t="shared" si="82"/>
        <v>-5.18446438331088E-4</v>
      </c>
      <c r="Z108" s="98" t="str">
        <f t="shared" si="71"/>
        <v>0.999999869636912+0.000594297323280483i</v>
      </c>
      <c r="AA108" s="160">
        <f t="shared" si="83"/>
        <v>1.0000000462315737</v>
      </c>
      <c r="AB108" s="160">
        <f t="shared" si="84"/>
        <v>5.9429733078842804E-4</v>
      </c>
      <c r="AC108" s="171" t="str">
        <f t="shared" si="85"/>
        <v>6.78114266005594-0.852391097445457i</v>
      </c>
      <c r="AD108" s="190">
        <f t="shared" si="86"/>
        <v>16.694142033217013</v>
      </c>
      <c r="AE108" s="169">
        <f t="shared" si="87"/>
        <v>-7.1645151412068859</v>
      </c>
      <c r="AF108" s="98" t="str">
        <f t="shared" si="72"/>
        <v>-0.0000816326530612245</v>
      </c>
      <c r="AG108" s="98" t="str">
        <f t="shared" si="73"/>
        <v>0.0000110898053385515i</v>
      </c>
      <c r="AH108" s="98">
        <f t="shared" si="88"/>
        <v>1.10898053385515E-5</v>
      </c>
      <c r="AI108" s="98">
        <f t="shared" si="89"/>
        <v>1.5707963267948966</v>
      </c>
      <c r="AJ108" s="98" t="str">
        <f t="shared" si="74"/>
        <v>1+0.00122845603691434i</v>
      </c>
      <c r="AK108" s="98">
        <f t="shared" si="90"/>
        <v>1.0000007545518326</v>
      </c>
      <c r="AL108" s="98">
        <f t="shared" si="91"/>
        <v>1.2284554189588303E-3</v>
      </c>
      <c r="AM108" s="98" t="str">
        <f t="shared" si="75"/>
        <v>1+0.124074059728348i</v>
      </c>
      <c r="AN108" s="98">
        <f t="shared" si="92"/>
        <v>1.0076677886572905</v>
      </c>
      <c r="AO108" s="98">
        <f t="shared" si="93"/>
        <v>0.12344319585241897</v>
      </c>
      <c r="AP108" s="168" t="str">
        <f t="shared" si="94"/>
        <v>-0.904271725833029+7.36216459788099i</v>
      </c>
      <c r="AQ108" s="98">
        <f t="shared" si="95"/>
        <v>17.405140733275697</v>
      </c>
      <c r="AR108" s="169">
        <f t="shared" si="96"/>
        <v>97.0023888211241</v>
      </c>
      <c r="AS108" s="168" t="str">
        <f t="shared" si="97"/>
        <v>0.143447984833108+50.6946815938161i</v>
      </c>
      <c r="AT108" s="190">
        <f t="shared" si="98"/>
        <v>34.099282766492713</v>
      </c>
      <c r="AU108" s="169">
        <f t="shared" si="99"/>
        <v>89.837873679917237</v>
      </c>
      <c r="AV108" s="225"/>
      <c r="AX108">
        <f t="shared" si="100"/>
        <v>0</v>
      </c>
      <c r="AY108">
        <f t="shared" si="101"/>
        <v>0</v>
      </c>
    </row>
    <row r="109" spans="14:51" x14ac:dyDescent="0.2">
      <c r="N109" s="170">
        <v>91</v>
      </c>
      <c r="O109" s="199">
        <f t="shared" si="76"/>
        <v>81.283051616409963</v>
      </c>
      <c r="P109" s="189" t="str">
        <f t="shared" si="67"/>
        <v>6.8875</v>
      </c>
      <c r="Q109" s="160" t="str">
        <f t="shared" si="68"/>
        <v>1+0.127679118909737i</v>
      </c>
      <c r="R109" s="160">
        <f t="shared" si="77"/>
        <v>1.0081180275173967</v>
      </c>
      <c r="S109" s="160">
        <f t="shared" si="78"/>
        <v>0.12699202060098827</v>
      </c>
      <c r="T109" s="160" t="str">
        <f t="shared" si="69"/>
        <v>1+0.000204286590255579i</v>
      </c>
      <c r="U109" s="160">
        <f t="shared" si="79"/>
        <v>1.0000000208665054</v>
      </c>
      <c r="V109" s="160">
        <f t="shared" si="80"/>
        <v>2.0428658741374758E-4</v>
      </c>
      <c r="W109" s="98" t="str">
        <f t="shared" si="70"/>
        <v>1-0.000530522654749598i</v>
      </c>
      <c r="X109" s="160">
        <f t="shared" si="81"/>
        <v>1.0000001407271337</v>
      </c>
      <c r="Y109" s="160">
        <f t="shared" si="82"/>
        <v>-5.3052260497698123E-4</v>
      </c>
      <c r="Z109" s="98" t="str">
        <f t="shared" si="71"/>
        <v>0.999999863493089+0.000608140286244128i</v>
      </c>
      <c r="AA109" s="160">
        <f t="shared" si="83"/>
        <v>1.000000048410401</v>
      </c>
      <c r="AB109" s="160">
        <f t="shared" si="84"/>
        <v>6.081402942890357E-4</v>
      </c>
      <c r="AC109" s="171" t="str">
        <f t="shared" si="85"/>
        <v>6.77621059536113-0.871616115002378i</v>
      </c>
      <c r="AD109" s="190">
        <f t="shared" si="86"/>
        <v>16.691005599953108</v>
      </c>
      <c r="AE109" s="169">
        <f t="shared" si="87"/>
        <v>-7.3296426314211738</v>
      </c>
      <c r="AF109" s="98" t="str">
        <f t="shared" si="72"/>
        <v>-0.0000816326530612245</v>
      </c>
      <c r="AG109" s="98" t="str">
        <f t="shared" si="73"/>
        <v>0.0000113481200886974i</v>
      </c>
      <c r="AH109" s="98">
        <f t="shared" si="88"/>
        <v>1.1348120088697399E-5</v>
      </c>
      <c r="AI109" s="98">
        <f t="shared" si="89"/>
        <v>1.5707963267948966</v>
      </c>
      <c r="AJ109" s="98" t="str">
        <f t="shared" si="74"/>
        <v>1+0.00125707045389943i</v>
      </c>
      <c r="AK109" s="98">
        <f t="shared" si="90"/>
        <v>1.000000790112751</v>
      </c>
      <c r="AL109" s="98">
        <f t="shared" si="91"/>
        <v>1.2570697917482E-3</v>
      </c>
      <c r="AM109" s="98" t="str">
        <f t="shared" si="75"/>
        <v>1+0.126964115843842i</v>
      </c>
      <c r="AN109" s="98">
        <f t="shared" si="92"/>
        <v>1.0080277212021544</v>
      </c>
      <c r="AO109" s="98">
        <f t="shared" si="93"/>
        <v>0.1262884234320964</v>
      </c>
      <c r="AP109" s="168" t="str">
        <f t="shared" si="94"/>
        <v>-0.904271661519616+7.19463243319647i</v>
      </c>
      <c r="AQ109" s="98">
        <f t="shared" si="95"/>
        <v>17.208242415129767</v>
      </c>
      <c r="AR109" s="169">
        <f t="shared" si="96"/>
        <v>97.163768870399608</v>
      </c>
      <c r="AS109" s="168" t="str">
        <f t="shared" si="97"/>
        <v>0.143422356418777+49.5405222760752i</v>
      </c>
      <c r="AT109" s="190">
        <f t="shared" si="98"/>
        <v>33.899248015082868</v>
      </c>
      <c r="AU109" s="169">
        <f t="shared" si="99"/>
        <v>89.834126238978428</v>
      </c>
      <c r="AV109" s="225"/>
      <c r="AX109">
        <f t="shared" si="100"/>
        <v>0</v>
      </c>
      <c r="AY109">
        <f t="shared" si="101"/>
        <v>0</v>
      </c>
    </row>
    <row r="110" spans="14:51" x14ac:dyDescent="0.2">
      <c r="N110" s="170">
        <v>92</v>
      </c>
      <c r="O110" s="199">
        <f t="shared" si="76"/>
        <v>83.176377110267126</v>
      </c>
      <c r="P110" s="189" t="str">
        <f t="shared" si="67"/>
        <v>6.8875</v>
      </c>
      <c r="Q110" s="160" t="str">
        <f t="shared" si="68"/>
        <v>1+0.130653147640915i</v>
      </c>
      <c r="R110" s="160">
        <f t="shared" si="77"/>
        <v>1.0084990059432279</v>
      </c>
      <c r="S110" s="160">
        <f t="shared" si="78"/>
        <v>0.1299172432251546</v>
      </c>
      <c r="T110" s="160" t="str">
        <f t="shared" si="69"/>
        <v>1+0.000209045036225464i</v>
      </c>
      <c r="U110" s="160">
        <f t="shared" si="79"/>
        <v>1.0000000218499132</v>
      </c>
      <c r="V110" s="160">
        <f t="shared" si="80"/>
        <v>2.0904503318038676E-4</v>
      </c>
      <c r="W110" s="98" t="str">
        <f t="shared" si="70"/>
        <v>1-0.000542880114851446i</v>
      </c>
      <c r="X110" s="160">
        <f t="shared" si="81"/>
        <v>1.0000001473593987</v>
      </c>
      <c r="Y110" s="160">
        <f t="shared" si="82"/>
        <v>-5.4288006151912663E-4</v>
      </c>
      <c r="Z110" s="98" t="str">
        <f t="shared" si="71"/>
        <v>0.999999857059717+0.000622305693237228i</v>
      </c>
      <c r="AA110" s="160">
        <f t="shared" si="83"/>
        <v>1.0000000506919138</v>
      </c>
      <c r="AB110" s="160">
        <f t="shared" si="84"/>
        <v>6.2230570185750156E-4</v>
      </c>
      <c r="AC110" s="171" t="str">
        <f t="shared" si="85"/>
        <v>6.77105371649565-0.891244899962179i</v>
      </c>
      <c r="AD110" s="190">
        <f t="shared" si="86"/>
        <v>16.687723777149021</v>
      </c>
      <c r="AE110" s="169">
        <f t="shared" si="87"/>
        <v>-7.4984925512367262</v>
      </c>
      <c r="AF110" s="98" t="str">
        <f t="shared" si="72"/>
        <v>-0.0000816326530612245</v>
      </c>
      <c r="AG110" s="98" t="str">
        <f t="shared" si="73"/>
        <v>0.0000116124517623245i</v>
      </c>
      <c r="AH110" s="98">
        <f t="shared" si="88"/>
        <v>1.16124517623245E-5</v>
      </c>
      <c r="AI110" s="98">
        <f t="shared" si="89"/>
        <v>1.5707963267948966</v>
      </c>
      <c r="AJ110" s="98" t="str">
        <f t="shared" si="74"/>
        <v>1+0.00128635138627847i</v>
      </c>
      <c r="AK110" s="98">
        <f t="shared" si="90"/>
        <v>1.0000008273496022</v>
      </c>
      <c r="AL110" s="98">
        <f t="shared" si="91"/>
        <v>1.2863506767706756E-3</v>
      </c>
      <c r="AM110" s="98" t="str">
        <f t="shared" si="75"/>
        <v>1+0.129921490014126i</v>
      </c>
      <c r="AN110" s="98">
        <f t="shared" si="92"/>
        <v>1.0084044791488636</v>
      </c>
      <c r="AO110" s="98">
        <f t="shared" si="93"/>
        <v>0.1291977980557098</v>
      </c>
      <c r="AP110" s="168" t="str">
        <f t="shared" si="94"/>
        <v>-0.904271594175216+7.0309149578526i</v>
      </c>
      <c r="AQ110" s="98">
        <f t="shared" si="95"/>
        <v>17.011487901777521</v>
      </c>
      <c r="AR110" s="169">
        <f t="shared" si="96"/>
        <v>97.328786086222891</v>
      </c>
      <c r="AS110" s="168" t="str">
        <f t="shared" si="97"/>
        <v>0.143395559792387+48.412630302222i</v>
      </c>
      <c r="AT110" s="190">
        <f t="shared" si="98"/>
        <v>33.699211678926538</v>
      </c>
      <c r="AU110" s="169">
        <f t="shared" si="99"/>
        <v>89.830293534986168</v>
      </c>
      <c r="AV110" s="225"/>
      <c r="AX110">
        <f t="shared" si="100"/>
        <v>0</v>
      </c>
      <c r="AY110">
        <f t="shared" si="101"/>
        <v>0</v>
      </c>
    </row>
    <row r="111" spans="14:51" x14ac:dyDescent="0.2">
      <c r="N111" s="170">
        <v>93</v>
      </c>
      <c r="O111" s="199">
        <f t="shared" si="76"/>
        <v>85.113803820237734</v>
      </c>
      <c r="P111" s="189" t="str">
        <f t="shared" si="67"/>
        <v>6.8875</v>
      </c>
      <c r="Q111" s="160" t="str">
        <f t="shared" si="68"/>
        <v>1+0.133696450400371i</v>
      </c>
      <c r="R111" s="160">
        <f t="shared" si="77"/>
        <v>1.0088977851346781</v>
      </c>
      <c r="S111" s="160">
        <f t="shared" si="78"/>
        <v>0.13290828972145996</v>
      </c>
      <c r="T111" s="160" t="str">
        <f t="shared" si="69"/>
        <v>1+0.000213914320640594i</v>
      </c>
      <c r="U111" s="160">
        <f t="shared" si="79"/>
        <v>1.0000000228796679</v>
      </c>
      <c r="V111" s="160">
        <f t="shared" si="80"/>
        <v>2.1391431737773496E-4</v>
      </c>
      <c r="W111" s="98" t="str">
        <f t="shared" si="70"/>
        <v>1-0.000555525417176057i</v>
      </c>
      <c r="X111" s="160">
        <f t="shared" si="81"/>
        <v>1.0000001543042327</v>
      </c>
      <c r="Y111" s="160">
        <f t="shared" si="82"/>
        <v>-5.5552536002944773E-4</v>
      </c>
      <c r="Z111" s="98" t="str">
        <f t="shared" si="71"/>
        <v>0.999999850323149+0.000636801054946073i</v>
      </c>
      <c r="AA111" s="160">
        <f t="shared" si="83"/>
        <v>1.0000000530809505</v>
      </c>
      <c r="AB111" s="160">
        <f t="shared" si="84"/>
        <v>6.3680106418286236E-4</v>
      </c>
      <c r="AC111" s="171" t="str">
        <f t="shared" si="85"/>
        <v>6.76566214517165-0.911283826564569i</v>
      </c>
      <c r="AD111" s="190">
        <f t="shared" si="86"/>
        <v>16.684289942843517</v>
      </c>
      <c r="AE111" s="169">
        <f t="shared" si="87"/>
        <v>-7.6711429476877342</v>
      </c>
      <c r="AF111" s="98" t="str">
        <f t="shared" si="72"/>
        <v>-0.0000816326530612245</v>
      </c>
      <c r="AG111" s="98" t="str">
        <f t="shared" si="73"/>
        <v>0.000011882940511585i</v>
      </c>
      <c r="AH111" s="98">
        <f t="shared" si="88"/>
        <v>1.1882940511585E-5</v>
      </c>
      <c r="AI111" s="98">
        <f t="shared" si="89"/>
        <v>1.5707963267948966</v>
      </c>
      <c r="AJ111" s="98" t="str">
        <f t="shared" si="74"/>
        <v>1+0.0013163143591894i</v>
      </c>
      <c r="AK111" s="98">
        <f t="shared" si="90"/>
        <v>1.0000008663413709</v>
      </c>
      <c r="AL111" s="98">
        <f t="shared" si="91"/>
        <v>1.3163135989381369E-3</v>
      </c>
      <c r="AM111" s="98" t="str">
        <f t="shared" si="75"/>
        <v>1+0.132947750278129i</v>
      </c>
      <c r="AN111" s="98">
        <f t="shared" si="92"/>
        <v>1.0087988423387568</v>
      </c>
      <c r="AO111" s="98">
        <f t="shared" si="93"/>
        <v>0.13217266519705836</v>
      </c>
      <c r="AP111" s="168" t="str">
        <f t="shared" si="94"/>
        <v>-0.90427152365698+6.87092536667634i</v>
      </c>
      <c r="AQ111" s="98">
        <f t="shared" si="95"/>
        <v>16.814883745479282</v>
      </c>
      <c r="AR111" s="169">
        <f t="shared" si="96"/>
        <v>97.49751666905226</v>
      </c>
      <c r="AS111" s="168" t="str">
        <f t="shared" si="97"/>
        <v>0.143367543621659+47.3104076699532i</v>
      </c>
      <c r="AT111" s="190">
        <f t="shared" si="98"/>
        <v>33.499173688322784</v>
      </c>
      <c r="AU111" s="169">
        <f t="shared" si="99"/>
        <v>89.826373721364547</v>
      </c>
      <c r="AV111" s="225"/>
      <c r="AX111">
        <f t="shared" si="100"/>
        <v>0</v>
      </c>
      <c r="AY111">
        <f t="shared" si="101"/>
        <v>0</v>
      </c>
    </row>
    <row r="112" spans="14:51" x14ac:dyDescent="0.2">
      <c r="N112" s="170">
        <v>94</v>
      </c>
      <c r="O112" s="199">
        <f t="shared" si="76"/>
        <v>87.096358995608071</v>
      </c>
      <c r="P112" s="189" t="str">
        <f t="shared" si="67"/>
        <v>6.8875</v>
      </c>
      <c r="Q112" s="160" t="str">
        <f t="shared" si="68"/>
        <v>1+0.136810640787511i</v>
      </c>
      <c r="R112" s="160">
        <f t="shared" si="77"/>
        <v>1.0093151893401235</v>
      </c>
      <c r="S112" s="160">
        <f t="shared" si="78"/>
        <v>0.13596653179713816</v>
      </c>
      <c r="T112" s="160" t="str">
        <f t="shared" si="69"/>
        <v>1+0.000218897025260017i</v>
      </c>
      <c r="U112" s="160">
        <f t="shared" si="79"/>
        <v>1.0000000239579536</v>
      </c>
      <c r="V112" s="160">
        <f t="shared" si="80"/>
        <v>2.1889702176380055E-4</v>
      </c>
      <c r="W112" s="98" t="str">
        <f t="shared" si="70"/>
        <v>1-0.0005684652664301i</v>
      </c>
      <c r="X112" s="160">
        <f t="shared" si="81"/>
        <v>1.0000001615763665</v>
      </c>
      <c r="Y112" s="160">
        <f t="shared" si="82"/>
        <v>-5.6846520519640543E-4</v>
      </c>
      <c r="Z112" s="98" t="str">
        <f t="shared" si="71"/>
        <v>0.999999843269096+0.000651634057003306i</v>
      </c>
      <c r="AA112" s="160">
        <f t="shared" si="83"/>
        <v>1.0000000555825788</v>
      </c>
      <c r="AB112" s="160">
        <f t="shared" si="84"/>
        <v>6.5163406690070416E-4</v>
      </c>
      <c r="AC112" s="171" t="str">
        <f t="shared" si="85"/>
        <v>6.7600256039747-0.931739214862988i</v>
      </c>
      <c r="AD112" s="190">
        <f t="shared" si="86"/>
        <v>16.680697184600518</v>
      </c>
      <c r="AE112" s="169">
        <f t="shared" si="87"/>
        <v>-7.8476730903904306</v>
      </c>
      <c r="AF112" s="98" t="str">
        <f t="shared" si="72"/>
        <v>-0.0000816326530612245</v>
      </c>
      <c r="AG112" s="98" t="str">
        <f t="shared" si="73"/>
        <v>0.000012159729753194i</v>
      </c>
      <c r="AH112" s="98">
        <f t="shared" si="88"/>
        <v>1.2159729753194E-5</v>
      </c>
      <c r="AI112" s="98">
        <f t="shared" si="89"/>
        <v>1.5707963267948966</v>
      </c>
      <c r="AJ112" s="98" t="str">
        <f t="shared" si="74"/>
        <v>1+0.00134697525939704i</v>
      </c>
      <c r="AK112" s="98">
        <f t="shared" si="90"/>
        <v>1.0000009071707632</v>
      </c>
      <c r="AL112" s="98">
        <f t="shared" si="91"/>
        <v>1.3469744447731744E-3</v>
      </c>
      <c r="AM112" s="98" t="str">
        <f t="shared" si="75"/>
        <v>1+0.136044501199101i</v>
      </c>
      <c r="AN112" s="98">
        <f t="shared" si="92"/>
        <v>1.0092116261253197</v>
      </c>
      <c r="AO112" s="98">
        <f t="shared" si="93"/>
        <v>0.13521439144175121</v>
      </c>
      <c r="AP112" s="168" t="str">
        <f t="shared" si="94"/>
        <v>-0.904271449815339+6.71457883106823i</v>
      </c>
      <c r="AQ112" s="98">
        <f t="shared" si="95"/>
        <v>16.61843678614742</v>
      </c>
      <c r="AR112" s="169">
        <f t="shared" si="96"/>
        <v>97.670038008244731</v>
      </c>
      <c r="AS112" s="168" t="str">
        <f t="shared" si="97"/>
        <v>0.143338254500137+46.2332699886017i</v>
      </c>
      <c r="AT112" s="190">
        <f t="shared" si="98"/>
        <v>33.299133970747938</v>
      </c>
      <c r="AU112" s="169">
        <f t="shared" si="99"/>
        <v>89.822364917854316</v>
      </c>
      <c r="AV112" s="225"/>
      <c r="AX112">
        <f t="shared" si="100"/>
        <v>0</v>
      </c>
      <c r="AY112">
        <f t="shared" si="101"/>
        <v>0</v>
      </c>
    </row>
    <row r="113" spans="14:51" x14ac:dyDescent="0.2">
      <c r="N113" s="170">
        <v>95</v>
      </c>
      <c r="O113" s="199">
        <f t="shared" si="76"/>
        <v>89.125093813374562</v>
      </c>
      <c r="P113" s="189" t="str">
        <f t="shared" si="67"/>
        <v>6.8875</v>
      </c>
      <c r="Q113" s="160" t="str">
        <f t="shared" si="68"/>
        <v>1+0.139997369987299i</v>
      </c>
      <c r="R113" s="160">
        <f t="shared" si="77"/>
        <v>1.0097520802669142</v>
      </c>
      <c r="S113" s="160">
        <f t="shared" si="78"/>
        <v>0.13909336202576419</v>
      </c>
      <c r="T113" s="160" t="str">
        <f t="shared" si="69"/>
        <v>1+0.000223995791979679i</v>
      </c>
      <c r="U113" s="160">
        <f t="shared" si="79"/>
        <v>1.0000000250870571</v>
      </c>
      <c r="V113" s="160">
        <f t="shared" si="80"/>
        <v>2.2399578823341558E-4</v>
      </c>
      <c r="W113" s="98" t="str">
        <f t="shared" si="70"/>
        <v>1-0.000581706523492933i</v>
      </c>
      <c r="X113" s="160">
        <f t="shared" si="81"/>
        <v>1.0000001691912255</v>
      </c>
      <c r="Y113" s="160">
        <f t="shared" si="82"/>
        <v>-5.8170645787984773E-4</v>
      </c>
      <c r="Z113" s="98" t="str">
        <f t="shared" si="71"/>
        <v>0.999999835882596+0.000666812564062961i</v>
      </c>
      <c r="AA113" s="160">
        <f t="shared" si="83"/>
        <v>1.0000000582021056</v>
      </c>
      <c r="AB113" s="160">
        <f t="shared" si="84"/>
        <v>6.6681257466821397E-4</v>
      </c>
      <c r="AC113" s="171" t="str">
        <f t="shared" si="85"/>
        <v>6.75413340356927-0.95261731661403i</v>
      </c>
      <c r="AD113" s="190">
        <f t="shared" si="86"/>
        <v>16.676938287819809</v>
      </c>
      <c r="AE113" s="169">
        <f t="shared" si="87"/>
        <v>-8.0281634602737935</v>
      </c>
      <c r="AF113" s="98" t="str">
        <f t="shared" si="72"/>
        <v>-0.0000816326530612245</v>
      </c>
      <c r="AG113" s="98" t="str">
        <f t="shared" si="73"/>
        <v>0.0000124429662444712i</v>
      </c>
      <c r="AH113" s="98">
        <f t="shared" si="88"/>
        <v>1.2442966244471199E-5</v>
      </c>
      <c r="AI113" s="98">
        <f t="shared" si="89"/>
        <v>1.5707963267948966</v>
      </c>
      <c r="AJ113" s="98" t="str">
        <f t="shared" si="74"/>
        <v>1+0.00137835034371654i</v>
      </c>
      <c r="AK113" s="98">
        <f t="shared" si="90"/>
        <v>1.0000009499243838</v>
      </c>
      <c r="AL113" s="98">
        <f t="shared" si="91"/>
        <v>1.3783494708313865E-3</v>
      </c>
      <c r="AM113" s="98" t="str">
        <f t="shared" si="75"/>
        <v>1+0.13921338471537i</v>
      </c>
      <c r="AN113" s="98">
        <f t="shared" si="92"/>
        <v>1.009643682931711</v>
      </c>
      <c r="AO113" s="98">
        <f t="shared" si="93"/>
        <v>0.13832436429557837</v>
      </c>
      <c r="AP113" s="168" t="str">
        <f t="shared" si="94"/>
        <v>-0.904271372493649+6.56179245402492i</v>
      </c>
      <c r="AQ113" s="98">
        <f t="shared" si="95"/>
        <v>16.422154162944331</v>
      </c>
      <c r="AR113" s="169">
        <f t="shared" si="96"/>
        <v>97.846428670594008</v>
      </c>
      <c r="AS113" s="168" t="str">
        <f t="shared" si="97"/>
        <v>0.143307636880627+45.1806461693743i</v>
      </c>
      <c r="AT113" s="190">
        <f t="shared" si="98"/>
        <v>33.099092450764147</v>
      </c>
      <c r="AU113" s="169">
        <f t="shared" si="99"/>
        <v>89.81826521032022</v>
      </c>
      <c r="AV113" s="225"/>
      <c r="AX113">
        <f t="shared" si="100"/>
        <v>0</v>
      </c>
      <c r="AY113">
        <f t="shared" si="101"/>
        <v>0</v>
      </c>
    </row>
    <row r="114" spans="14:51" x14ac:dyDescent="0.2">
      <c r="N114" s="170">
        <v>96</v>
      </c>
      <c r="O114" s="199">
        <f t="shared" si="76"/>
        <v>91.201083935590972</v>
      </c>
      <c r="P114" s="189" t="str">
        <f t="shared" si="67"/>
        <v>6.8875</v>
      </c>
      <c r="Q114" s="160" t="str">
        <f t="shared" si="68"/>
        <v>1+0.143258327645739i</v>
      </c>
      <c r="R114" s="160">
        <f t="shared" si="77"/>
        <v>1.0102093587172185</v>
      </c>
      <c r="S114" s="160">
        <f t="shared" si="78"/>
        <v>0.14229019359573908</v>
      </c>
      <c r="T114" s="160" t="str">
        <f t="shared" si="69"/>
        <v>1+0.000229213324233183i</v>
      </c>
      <c r="U114" s="160">
        <f t="shared" si="79"/>
        <v>1.0000000262693736</v>
      </c>
      <c r="V114" s="160">
        <f t="shared" si="80"/>
        <v>2.2921332021898943E-4</v>
      </c>
      <c r="W114" s="98" t="str">
        <f t="shared" si="70"/>
        <v>1-0.000595256209054318i</v>
      </c>
      <c r="X114" s="160">
        <f t="shared" si="81"/>
        <v>1.0000001771649616</v>
      </c>
      <c r="Y114" s="160">
        <f t="shared" si="82"/>
        <v>-5.9525613874863114E-4</v>
      </c>
      <c r="Z114" s="98" t="str">
        <f t="shared" si="71"/>
        <v>0.999999828147981+0.000682344623970389i</v>
      </c>
      <c r="AA114" s="160">
        <f t="shared" si="83"/>
        <v>1.0000000609450868</v>
      </c>
      <c r="AB114" s="160">
        <f t="shared" si="84"/>
        <v>6.8234463533412221E-4</v>
      </c>
      <c r="AC114" s="171" t="str">
        <f t="shared" si="85"/>
        <v>6.74797442982591-0.973924300107696i</v>
      </c>
      <c r="AD114" s="190">
        <f t="shared" si="86"/>
        <v>16.67300572367752</v>
      </c>
      <c r="AE114" s="169">
        <f t="shared" si="87"/>
        <v>-8.2126957355361458</v>
      </c>
      <c r="AF114" s="98" t="str">
        <f t="shared" si="72"/>
        <v>-0.0000816326530612245</v>
      </c>
      <c r="AG114" s="98" t="str">
        <f t="shared" si="73"/>
        <v>0.0000127328001611533i</v>
      </c>
      <c r="AH114" s="98">
        <f t="shared" si="88"/>
        <v>1.27328001611533E-5</v>
      </c>
      <c r="AI114" s="98">
        <f t="shared" si="89"/>
        <v>1.5707963267948966</v>
      </c>
      <c r="AJ114" s="98" t="str">
        <f t="shared" si="74"/>
        <v>1+0.0014104562476329i</v>
      </c>
      <c r="AK114" s="98">
        <f t="shared" si="90"/>
        <v>1.0000009946929185</v>
      </c>
      <c r="AL114" s="98">
        <f t="shared" si="91"/>
        <v>1.4104553123196568E-3</v>
      </c>
      <c r="AM114" s="98" t="str">
        <f t="shared" si="75"/>
        <v>1+0.142456081010923i</v>
      </c>
      <c r="AN114" s="98">
        <f t="shared" si="92"/>
        <v>1.0100959038710091</v>
      </c>
      <c r="AO114" s="98">
        <f t="shared" si="93"/>
        <v>0.14150399194516883</v>
      </c>
      <c r="AP114" s="168" t="str">
        <f t="shared" si="94"/>
        <v>-0.904271291527927+6.41248522618631i</v>
      </c>
      <c r="AQ114" s="98">
        <f t="shared" si="95"/>
        <v>16.226043326250352</v>
      </c>
      <c r="AR114" s="169">
        <f t="shared" si="96"/>
        <v>98.026768386123635</v>
      </c>
      <c r="AS114" s="168" t="str">
        <f t="shared" si="97"/>
        <v>0.14327563300834+44.1519781226505i</v>
      </c>
      <c r="AT114" s="190">
        <f t="shared" si="98"/>
        <v>32.899049049927875</v>
      </c>
      <c r="AU114" s="169">
        <f t="shared" si="99"/>
        <v>89.814072650587505</v>
      </c>
      <c r="AV114" s="225"/>
      <c r="AX114">
        <f t="shared" si="100"/>
        <v>0</v>
      </c>
      <c r="AY114">
        <f t="shared" si="101"/>
        <v>0</v>
      </c>
    </row>
    <row r="115" spans="14:51" x14ac:dyDescent="0.2">
      <c r="N115" s="170">
        <v>97</v>
      </c>
      <c r="O115" s="199">
        <f t="shared" si="76"/>
        <v>93.325430079699174</v>
      </c>
      <c r="P115" s="189" t="str">
        <f t="shared" si="67"/>
        <v>6.8875</v>
      </c>
      <c r="Q115" s="160" t="str">
        <f t="shared" si="68"/>
        <v>1+0.146595242765746i</v>
      </c>
      <c r="R115" s="160">
        <f t="shared" si="77"/>
        <v>1.0106879662890758</v>
      </c>
      <c r="S115" s="160">
        <f t="shared" si="78"/>
        <v>0.14555846000659126</v>
      </c>
      <c r="T115" s="160" t="str">
        <f t="shared" si="69"/>
        <v>1+0.000234552388425193i</v>
      </c>
      <c r="U115" s="160">
        <f t="shared" si="79"/>
        <v>1.000000027507411</v>
      </c>
      <c r="V115" s="160">
        <f t="shared" si="80"/>
        <v>2.3455238412390712E-4</v>
      </c>
      <c r="W115" s="98" t="str">
        <f t="shared" si="70"/>
        <v>1-0.000609121507336892i</v>
      </c>
      <c r="X115" s="160">
        <f t="shared" si="81"/>
        <v>1.0000001855144882</v>
      </c>
      <c r="Y115" s="160">
        <f t="shared" si="82"/>
        <v>-6.0912143200299198E-4</v>
      </c>
      <c r="Z115" s="98" t="str">
        <f t="shared" si="71"/>
        <v>0.999999820048845+0.000698238472029347i</v>
      </c>
      <c r="AA115" s="160">
        <f t="shared" si="83"/>
        <v>1.0000000638173412</v>
      </c>
      <c r="AB115" s="160">
        <f t="shared" si="84"/>
        <v>6.9823848420580621E-4</v>
      </c>
      <c r="AC115" s="171" t="str">
        <f t="shared" si="85"/>
        <v>6.74153713090953-0.995666233882328i</v>
      </c>
      <c r="AD115" s="190">
        <f t="shared" si="86"/>
        <v>16.668891636694955</v>
      </c>
      <c r="AE115" s="169">
        <f t="shared" si="87"/>
        <v>-8.4013527746197649</v>
      </c>
      <c r="AF115" s="98" t="str">
        <f t="shared" si="72"/>
        <v>-0.0000816326530612245</v>
      </c>
      <c r="AG115" s="98" t="str">
        <f t="shared" si="73"/>
        <v>0.0000130293851770195i</v>
      </c>
      <c r="AH115" s="98">
        <f t="shared" si="88"/>
        <v>1.30293851770195E-5</v>
      </c>
      <c r="AI115" s="98">
        <f t="shared" si="89"/>
        <v>1.5707963267948966</v>
      </c>
      <c r="AJ115" s="98" t="str">
        <f t="shared" si="74"/>
        <v>1+0.00144330999412136i</v>
      </c>
      <c r="AK115" s="98">
        <f t="shared" si="90"/>
        <v>1.0000010415713272</v>
      </c>
      <c r="AL115" s="98">
        <f t="shared" si="91"/>
        <v>1.44330899191522E-3</v>
      </c>
      <c r="AM115" s="98" t="str">
        <f t="shared" si="75"/>
        <v>1+0.145774309406257i</v>
      </c>
      <c r="AN115" s="98">
        <f t="shared" si="92"/>
        <v>1.0105692204311743</v>
      </c>
      <c r="AO115" s="98">
        <f t="shared" si="93"/>
        <v>0.14475470296735782</v>
      </c>
      <c r="AP115" s="168" t="str">
        <f t="shared" si="94"/>
        <v>-0.904271206746416+6.26657798288308i</v>
      </c>
      <c r="AQ115" s="98">
        <f t="shared" si="95"/>
        <v>16.030112050002437</v>
      </c>
      <c r="AR115" s="169">
        <f t="shared" si="96"/>
        <v>98.211138030929419</v>
      </c>
      <c r="AS115" s="168" t="str">
        <f t="shared" si="97"/>
        <v>0.143242182853779+43.1467204621759i</v>
      </c>
      <c r="AT115" s="190">
        <f t="shared" si="98"/>
        <v>32.699003686697402</v>
      </c>
      <c r="AU115" s="169">
        <f t="shared" si="99"/>
        <v>89.809785256309667</v>
      </c>
      <c r="AV115" s="225"/>
      <c r="AX115">
        <f t="shared" si="100"/>
        <v>0</v>
      </c>
      <c r="AY115">
        <f t="shared" si="101"/>
        <v>0</v>
      </c>
    </row>
    <row r="116" spans="14:51" x14ac:dyDescent="0.2">
      <c r="N116" s="170">
        <v>98</v>
      </c>
      <c r="O116" s="199">
        <f t="shared" si="76"/>
        <v>95.499258602143655</v>
      </c>
      <c r="P116" s="189" t="str">
        <f t="shared" si="67"/>
        <v>6.8875</v>
      </c>
      <c r="Q116" s="160" t="str">
        <f t="shared" si="68"/>
        <v>1+0.150009884623883i</v>
      </c>
      <c r="R116" s="160">
        <f t="shared" si="77"/>
        <v>1.0111888871446673</v>
      </c>
      <c r="S116" s="160">
        <f t="shared" si="78"/>
        <v>0.14889961470930102</v>
      </c>
      <c r="T116" s="160" t="str">
        <f t="shared" si="69"/>
        <v>1+0.000240015815398213i</v>
      </c>
      <c r="U116" s="160">
        <f t="shared" si="79"/>
        <v>1.0000000288037953</v>
      </c>
      <c r="V116" s="160">
        <f t="shared" si="80"/>
        <v>2.4001581078930215E-4</v>
      </c>
      <c r="W116" s="98" t="str">
        <f t="shared" si="70"/>
        <v>1-0.000623309769905332i</v>
      </c>
      <c r="X116" s="160">
        <f t="shared" si="81"/>
        <v>1.0000001942575159</v>
      </c>
      <c r="Y116" s="160">
        <f t="shared" si="82"/>
        <v>-6.2330968918360467E-4</v>
      </c>
      <c r="Z116" s="98" t="str">
        <f t="shared" si="71"/>
        <v>0.999999811568008+0.000714502535368452i</v>
      </c>
      <c r="AA116" s="160">
        <f t="shared" si="83"/>
        <v>1.00000006682496</v>
      </c>
      <c r="AB116" s="160">
        <f t="shared" si="84"/>
        <v>7.145025484157631E-4</v>
      </c>
      <c r="AC116" s="171" t="str">
        <f t="shared" si="85"/>
        <v>6.73480950437293-1.01784906926707i</v>
      </c>
      <c r="AD116" s="190">
        <f t="shared" si="86"/>
        <v>16.664587831935304</v>
      </c>
      <c r="AE116" s="169">
        <f t="shared" si="87"/>
        <v>-8.5942185959877868</v>
      </c>
      <c r="AF116" s="98" t="str">
        <f t="shared" si="72"/>
        <v>-0.0000816326530612245</v>
      </c>
      <c r="AG116" s="98" t="str">
        <f t="shared" si="73"/>
        <v>0.0000133328785453707i</v>
      </c>
      <c r="AH116" s="98">
        <f t="shared" si="88"/>
        <v>1.33328785453707E-5</v>
      </c>
      <c r="AI116" s="98">
        <f t="shared" si="89"/>
        <v>1.5707963267948966</v>
      </c>
      <c r="AJ116" s="98" t="str">
        <f t="shared" si="74"/>
        <v>1+0.00147692900267316i</v>
      </c>
      <c r="AK116" s="98">
        <f t="shared" si="90"/>
        <v>1.0000010906590446</v>
      </c>
      <c r="AL116" s="98">
        <f t="shared" si="91"/>
        <v>1.4769279287899964E-3</v>
      </c>
      <c r="AM116" s="98" t="str">
        <f t="shared" si="75"/>
        <v>1+0.14916982926999i</v>
      </c>
      <c r="AN116" s="98">
        <f t="shared" si="92"/>
        <v>1.0110646062267425</v>
      </c>
      <c r="AO116" s="98">
        <f t="shared" si="93"/>
        <v>0.14807794598353088</v>
      </c>
      <c r="AP116" s="168" t="str">
        <f t="shared" si="94"/>
        <v>-0.904271117969306+6.12399336216287i</v>
      </c>
      <c r="AQ116" s="98">
        <f t="shared" si="95"/>
        <v>15.834368444405786</v>
      </c>
      <c r="AR116" s="169">
        <f t="shared" si="96"/>
        <v>98.399619606857812</v>
      </c>
      <c r="AS116" s="168" t="str">
        <f t="shared" si="97"/>
        <v>0.143207224045574+42.1643402160014i</v>
      </c>
      <c r="AT116" s="190">
        <f t="shared" si="98"/>
        <v>32.498956276341097</v>
      </c>
      <c r="AU116" s="169">
        <f t="shared" si="99"/>
        <v>89.805401010870042</v>
      </c>
      <c r="AV116" s="225"/>
      <c r="AX116">
        <f t="shared" si="100"/>
        <v>0</v>
      </c>
      <c r="AY116">
        <f t="shared" si="101"/>
        <v>0</v>
      </c>
    </row>
    <row r="117" spans="14:51" x14ac:dyDescent="0.2">
      <c r="N117" s="170">
        <v>99</v>
      </c>
      <c r="O117" s="199">
        <f t="shared" si="76"/>
        <v>97.723722095581124</v>
      </c>
      <c r="P117" s="189" t="str">
        <f t="shared" si="67"/>
        <v>6.8875</v>
      </c>
      <c r="Q117" s="160" t="str">
        <f t="shared" si="68"/>
        <v>1+0.153504063708464i</v>
      </c>
      <c r="R117" s="160">
        <f t="shared" si="77"/>
        <v>1.0117131498478271</v>
      </c>
      <c r="S117" s="160">
        <f t="shared" si="78"/>
        <v>0.15231513068667282</v>
      </c>
      <c r="T117" s="160" t="str">
        <f t="shared" si="69"/>
        <v>1+0.000245606501933542i</v>
      </c>
      <c r="U117" s="160">
        <f t="shared" si="79"/>
        <v>1.0000000301612764</v>
      </c>
      <c r="V117" s="160">
        <f t="shared" si="80"/>
        <v>2.4560649699500504E-4</v>
      </c>
      <c r="W117" s="98" t="str">
        <f t="shared" si="70"/>
        <v>1-0.000637828519564255i</v>
      </c>
      <c r="X117" s="160">
        <f t="shared" si="81"/>
        <v>1.0000002034125894</v>
      </c>
      <c r="Y117" s="160">
        <f t="shared" si="82"/>
        <v>-6.3782843306936683E-4</v>
      </c>
      <c r="Z117" s="98" t="str">
        <f t="shared" si="71"/>
        <v>0.999999802687482+0.000731145437409367i</v>
      </c>
      <c r="AA117" s="160">
        <f t="shared" si="83"/>
        <v>1.0000000699743243</v>
      </c>
      <c r="AB117" s="160">
        <f t="shared" si="84"/>
        <v>7.3114545138981213E-4</v>
      </c>
      <c r="AC117" s="171" t="str">
        <f t="shared" si="85"/>
        <v>6.72777908430478-1.04047862169322i</v>
      </c>
      <c r="AD117" s="190">
        <f t="shared" si="86"/>
        <v>16.660085761828604</v>
      </c>
      <c r="AE117" s="169">
        <f t="shared" si="87"/>
        <v>-8.7913783544742383</v>
      </c>
      <c r="AF117" s="98" t="str">
        <f t="shared" si="72"/>
        <v>-0.0000816326530612245</v>
      </c>
      <c r="AG117" s="98" t="str">
        <f t="shared" si="73"/>
        <v>0.0000136434411824083i</v>
      </c>
      <c r="AH117" s="98">
        <f t="shared" si="88"/>
        <v>1.3643441182408301E-5</v>
      </c>
      <c r="AI117" s="98">
        <f t="shared" si="89"/>
        <v>1.5707963267948966</v>
      </c>
      <c r="AJ117" s="98" t="str">
        <f t="shared" si="74"/>
        <v>1+0.00151133109853165i</v>
      </c>
      <c r="AK117" s="98">
        <f t="shared" si="90"/>
        <v>1.0000011420601924</v>
      </c>
      <c r="AL117" s="98">
        <f t="shared" si="91"/>
        <v>1.5113299478451796E-3</v>
      </c>
      <c r="AM117" s="98" t="str">
        <f t="shared" si="75"/>
        <v>1+0.152644440951697i</v>
      </c>
      <c r="AN117" s="98">
        <f t="shared" si="92"/>
        <v>1.0115830788192615</v>
      </c>
      <c r="AO117" s="98">
        <f t="shared" si="93"/>
        <v>0.15147518925498543</v>
      </c>
      <c r="AP117" s="168" t="str">
        <f t="shared" si="94"/>
        <v>-0.904271025008261+5.98465576377149i</v>
      </c>
      <c r="AQ117" s="98">
        <f t="shared" si="95"/>
        <v>15.638820969015967</v>
      </c>
      <c r="AR117" s="169">
        <f t="shared" si="96"/>
        <v>98.592296217792779</v>
      </c>
      <c r="AS117" s="168" t="str">
        <f t="shared" si="97"/>
        <v>0.143170691803921+41.2043165440036i</v>
      </c>
      <c r="AT117" s="190">
        <f t="shared" si="98"/>
        <v>32.298906730844578</v>
      </c>
      <c r="AU117" s="169">
        <f t="shared" si="99"/>
        <v>89.800917863318546</v>
      </c>
      <c r="AV117" s="225"/>
      <c r="AX117">
        <f t="shared" si="100"/>
        <v>0</v>
      </c>
      <c r="AY117">
        <f t="shared" si="101"/>
        <v>0</v>
      </c>
    </row>
    <row r="118" spans="14:51" x14ac:dyDescent="0.2">
      <c r="N118" s="170">
        <v>100</v>
      </c>
      <c r="O118" s="199">
        <f t="shared" si="76"/>
        <v>100</v>
      </c>
      <c r="P118" s="189" t="str">
        <f t="shared" si="67"/>
        <v>6.8875</v>
      </c>
      <c r="Q118" s="160" t="str">
        <f t="shared" si="68"/>
        <v>1+0.15707963267949i</v>
      </c>
      <c r="R118" s="160">
        <f t="shared" si="77"/>
        <v>1.0122618292728041</v>
      </c>
      <c r="S118" s="160">
        <f t="shared" si="78"/>
        <v>0.15580649996954207</v>
      </c>
      <c r="T118" s="160" t="str">
        <f t="shared" si="69"/>
        <v>1+0.000251327412287184i</v>
      </c>
      <c r="U118" s="160">
        <f t="shared" si="79"/>
        <v>1.0000000315827335</v>
      </c>
      <c r="V118" s="160">
        <f t="shared" si="80"/>
        <v>2.5132740699544632E-4</v>
      </c>
      <c r="W118" s="98" t="str">
        <f t="shared" si="70"/>
        <v>1-0.00065268545434691i</v>
      </c>
      <c r="X118" s="160">
        <f t="shared" si="81"/>
        <v>1.0000002129991286</v>
      </c>
      <c r="Y118" s="160">
        <f t="shared" si="82"/>
        <v>-6.5268536166596851E-4</v>
      </c>
      <c r="Z118" s="98" t="str">
        <f t="shared" si="71"/>
        <v>0.99999979338843+0.000748176002439053i</v>
      </c>
      <c r="AA118" s="160">
        <f t="shared" si="83"/>
        <v>1.0000000732721139</v>
      </c>
      <c r="AB118" s="160">
        <f t="shared" si="84"/>
        <v>7.4817601741936914E-4</v>
      </c>
      <c r="AC118" s="171" t="str">
        <f t="shared" si="85"/>
        <v>6.72043292858796-1.06356055071513i</v>
      </c>
      <c r="AD118" s="190">
        <f t="shared" si="86"/>
        <v>16.655376512628269</v>
      </c>
      <c r="AE118" s="169">
        <f t="shared" si="87"/>
        <v>-8.9929183139676176</v>
      </c>
      <c r="AF118" s="98" t="str">
        <f t="shared" si="72"/>
        <v>-0.0000816326530612245</v>
      </c>
      <c r="AG118" s="98" t="str">
        <f t="shared" si="73"/>
        <v>0.000013961237752553i</v>
      </c>
      <c r="AH118" s="98">
        <f t="shared" si="88"/>
        <v>1.3961237752553001E-5</v>
      </c>
      <c r="AI118" s="98">
        <f t="shared" si="89"/>
        <v>1.5707963267948966</v>
      </c>
      <c r="AJ118" s="98" t="str">
        <f t="shared" si="74"/>
        <v>1+0.00154653452214341i</v>
      </c>
      <c r="AK118" s="98">
        <f t="shared" si="90"/>
        <v>1.0000011958837991</v>
      </c>
      <c r="AL118" s="98">
        <f t="shared" si="91"/>
        <v>1.5465332891607224E-3</v>
      </c>
      <c r="AM118" s="98" t="str">
        <f t="shared" si="75"/>
        <v>1+0.156199986736485i</v>
      </c>
      <c r="AN118" s="98">
        <f t="shared" si="92"/>
        <v>1.0121257016084899</v>
      </c>
      <c r="AO118" s="98">
        <f t="shared" si="93"/>
        <v>0.15494792021519366</v>
      </c>
      <c r="AP118" s="168" t="str">
        <f t="shared" si="94"/>
        <v>-0.904270927666131+5.84849130906914i</v>
      </c>
      <c r="AQ118" s="98">
        <f t="shared" si="95"/>
        <v>15.443478446192081</v>
      </c>
      <c r="AR118" s="169">
        <f t="shared" si="96"/>
        <v>98.789252042315013</v>
      </c>
      <c r="AS118" s="168" t="str">
        <f t="shared" si="97"/>
        <v>0.143132518873978+40.266140461853i</v>
      </c>
      <c r="AT118" s="190">
        <f t="shared" si="98"/>
        <v>32.09885495882034</v>
      </c>
      <c r="AU118" s="169">
        <f t="shared" si="99"/>
        <v>89.796333728347392</v>
      </c>
      <c r="AV118" s="225"/>
      <c r="AX118">
        <f t="shared" si="100"/>
        <v>0</v>
      </c>
      <c r="AY118">
        <f t="shared" si="101"/>
        <v>0</v>
      </c>
    </row>
    <row r="119" spans="14:51" x14ac:dyDescent="0.2">
      <c r="N119" s="170">
        <v>1</v>
      </c>
      <c r="O119" s="199">
        <f>10^(2+(N119/100))</f>
        <v>102.32929922807544</v>
      </c>
      <c r="P119" s="189" t="str">
        <f t="shared" si="67"/>
        <v>6.8875</v>
      </c>
      <c r="Q119" s="160" t="str">
        <f t="shared" si="68"/>
        <v>1+0.160738487350957i</v>
      </c>
      <c r="R119" s="160">
        <f t="shared" si="77"/>
        <v>1.0128360485862822</v>
      </c>
      <c r="S119" s="160">
        <f t="shared" si="78"/>
        <v>0.1593752330844635</v>
      </c>
      <c r="T119" s="160" t="str">
        <f t="shared" si="69"/>
        <v>1+0.000257181579761531i</v>
      </c>
      <c r="U119" s="160">
        <f t="shared" si="79"/>
        <v>1.000000033071182</v>
      </c>
      <c r="V119" s="160">
        <f t="shared" si="80"/>
        <v>2.5718157409133192E-4</v>
      </c>
      <c r="W119" s="98" t="str">
        <f t="shared" si="70"/>
        <v>1-0.000667888451596773i</v>
      </c>
      <c r="X119" s="160">
        <f t="shared" si="81"/>
        <v>1.0000002230374669</v>
      </c>
      <c r="Y119" s="160">
        <f t="shared" si="82"/>
        <v>-6.6788835228735624E-4</v>
      </c>
      <c r="Z119" s="98" t="str">
        <f t="shared" si="71"/>
        <v>0.999999783651126+0.000765603260288511i</v>
      </c>
      <c r="AA119" s="160">
        <f t="shared" si="83"/>
        <v>1.0000000767253225</v>
      </c>
      <c r="AB119" s="160">
        <f t="shared" si="84"/>
        <v>7.656032763402093E-4</v>
      </c>
      <c r="AC119" s="171" t="str">
        <f t="shared" si="85"/>
        <v>6.71275760632882-1.08710033868045i</v>
      </c>
      <c r="AD119" s="190">
        <f t="shared" si="86"/>
        <v>16.650450790502013</v>
      </c>
      <c r="AE119" s="169">
        <f t="shared" si="87"/>
        <v>-9.1989258161772369</v>
      </c>
      <c r="AF119" s="98" t="str">
        <f t="shared" si="72"/>
        <v>-0.0000816326530612245</v>
      </c>
      <c r="AG119" s="98" t="str">
        <f t="shared" si="73"/>
        <v>0.000014286436755753i</v>
      </c>
      <c r="AH119" s="98">
        <f t="shared" si="88"/>
        <v>1.4286436755753E-5</v>
      </c>
      <c r="AI119" s="98">
        <f t="shared" si="89"/>
        <v>1.5707963267948966</v>
      </c>
      <c r="AJ119" s="98" t="str">
        <f t="shared" si="74"/>
        <v>1+0.00158255793882962i</v>
      </c>
      <c r="AK119" s="98">
        <f t="shared" si="90"/>
        <v>1.0000012522440307</v>
      </c>
      <c r="AL119" s="98">
        <f t="shared" si="91"/>
        <v>1.5825566176649567E-3</v>
      </c>
      <c r="AM119" s="98" t="str">
        <f t="shared" si="75"/>
        <v>1+0.159838351821791i</v>
      </c>
      <c r="AN119" s="98">
        <f t="shared" si="92"/>
        <v>1.0126935857963684</v>
      </c>
      <c r="AO119" s="98">
        <f t="shared" si="93"/>
        <v>0.15849764493461024</v>
      </c>
      <c r="AP119" s="168" t="str">
        <f t="shared" si="94"/>
        <v>-0.904270825736416+5.71542780185857i</v>
      </c>
      <c r="AQ119" s="98">
        <f t="shared" si="95"/>
        <v>15.248350074914665</v>
      </c>
      <c r="AR119" s="169">
        <f t="shared" si="96"/>
        <v>98.990572302483514</v>
      </c>
      <c r="AS119" s="168" t="str">
        <f t="shared" si="97"/>
        <v>0.143092635460742+39.3493145712662i</v>
      </c>
      <c r="AT119" s="190">
        <f t="shared" si="98"/>
        <v>31.898800865416668</v>
      </c>
      <c r="AU119" s="169">
        <f t="shared" si="99"/>
        <v>89.791646486306291</v>
      </c>
      <c r="AV119" s="225"/>
      <c r="AX119">
        <f t="shared" si="100"/>
        <v>0</v>
      </c>
      <c r="AY119">
        <f t="shared" si="101"/>
        <v>0</v>
      </c>
    </row>
    <row r="120" spans="14:51" x14ac:dyDescent="0.2">
      <c r="N120" s="170">
        <v>2</v>
      </c>
      <c r="O120" s="199">
        <f t="shared" ref="O120:O183" si="102">10^(2+(N120/100))</f>
        <v>104.71285480508998</v>
      </c>
      <c r="P120" s="189" t="str">
        <f t="shared" si="67"/>
        <v>6.8875</v>
      </c>
      <c r="Q120" s="160" t="str">
        <f t="shared" si="68"/>
        <v>1+0.164482567696043i</v>
      </c>
      <c r="R120" s="160">
        <f t="shared" si="77"/>
        <v>1.0134369813046509</v>
      </c>
      <c r="S120" s="160">
        <f t="shared" si="78"/>
        <v>0.16302285842828446</v>
      </c>
      <c r="T120" s="160" t="str">
        <f t="shared" si="69"/>
        <v>1+0.000263172108313668i</v>
      </c>
      <c r="U120" s="160">
        <f t="shared" si="79"/>
        <v>1.0000000346297786</v>
      </c>
      <c r="V120" s="160">
        <f t="shared" si="80"/>
        <v>2.6317210223794022E-4</v>
      </c>
      <c r="W120" s="98" t="str">
        <f t="shared" si="70"/>
        <v>1-0.000683445572144222i</v>
      </c>
      <c r="X120" s="160">
        <f t="shared" si="81"/>
        <v>1.0000002335488978</v>
      </c>
      <c r="Y120" s="160">
        <f t="shared" si="82"/>
        <v>-6.8344546573226599E-4</v>
      </c>
      <c r="Z120" s="98" t="str">
        <f t="shared" si="71"/>
        <v>0.999999773454918+0.000783436451120532i</v>
      </c>
      <c r="AA120" s="160">
        <f t="shared" si="83"/>
        <v>1.000000080341277</v>
      </c>
      <c r="AB120" s="160">
        <f t="shared" si="84"/>
        <v>7.8343646832023587E-4</v>
      </c>
      <c r="AC120" s="171" t="str">
        <f t="shared" si="85"/>
        <v>6.70473918552618-1.11110326798947i</v>
      </c>
      <c r="AD120" s="190">
        <f t="shared" si="86"/>
        <v>16.645298907264245</v>
      </c>
      <c r="AE120" s="169">
        <f t="shared" si="87"/>
        <v>-9.4094892452208274</v>
      </c>
      <c r="AF120" s="98" t="str">
        <f t="shared" si="72"/>
        <v>-0.0000816326530612245</v>
      </c>
      <c r="AG120" s="98" t="str">
        <f t="shared" si="73"/>
        <v>0.0000146192106168243i</v>
      </c>
      <c r="AH120" s="98">
        <f t="shared" si="88"/>
        <v>1.46192106168243E-5</v>
      </c>
      <c r="AI120" s="98">
        <f t="shared" si="89"/>
        <v>1.5707963267948966</v>
      </c>
      <c r="AJ120" s="98" t="str">
        <f t="shared" si="74"/>
        <v>1+0.00161942044868262i</v>
      </c>
      <c r="AK120" s="98">
        <f t="shared" si="90"/>
        <v>1.0000013112604351</v>
      </c>
      <c r="AL120" s="98">
        <f t="shared" si="91"/>
        <v>1.6194190330292781E-3</v>
      </c>
      <c r="AM120" s="98" t="str">
        <f t="shared" si="75"/>
        <v>1+0.163561465316945i</v>
      </c>
      <c r="AN120" s="98">
        <f t="shared" si="92"/>
        <v>1.013287892425754</v>
      </c>
      <c r="AO120" s="98">
        <f t="shared" si="93"/>
        <v>0.16212588751351553</v>
      </c>
      <c r="AP120" s="168" t="str">
        <f t="shared" si="94"/>
        <v>-0.904270719002931+5.58539469010596i</v>
      </c>
      <c r="AQ120" s="98">
        <f t="shared" si="95"/>
        <v>15.05344544496522</v>
      </c>
      <c r="AR120" s="169">
        <f t="shared" si="96"/>
        <v>99.196343228481396</v>
      </c>
      <c r="AS120" s="168" t="str">
        <f t="shared" si="97"/>
        <v>0.14305096916488+38.4533527964146i</v>
      </c>
      <c r="AT120" s="190">
        <f t="shared" si="98"/>
        <v>31.698744352229461</v>
      </c>
      <c r="AU120" s="169">
        <f t="shared" si="99"/>
        <v>89.786853983260585</v>
      </c>
      <c r="AV120" s="225"/>
      <c r="AX120">
        <f t="shared" si="100"/>
        <v>0</v>
      </c>
      <c r="AY120">
        <f t="shared" si="101"/>
        <v>0</v>
      </c>
    </row>
    <row r="121" spans="14:51" x14ac:dyDescent="0.2">
      <c r="N121" s="170">
        <v>3</v>
      </c>
      <c r="O121" s="199">
        <f t="shared" si="102"/>
        <v>107.15193052376065</v>
      </c>
      <c r="P121" s="189" t="str">
        <f t="shared" si="67"/>
        <v>6.8875</v>
      </c>
      <c r="Q121" s="160" t="str">
        <f t="shared" si="68"/>
        <v>1+0.168313858875705i</v>
      </c>
      <c r="R121" s="160">
        <f t="shared" si="77"/>
        <v>1.0140658534284797</v>
      </c>
      <c r="S121" s="160">
        <f t="shared" si="78"/>
        <v>0.16675092156481852</v>
      </c>
      <c r="T121" s="160" t="str">
        <f t="shared" si="69"/>
        <v>1+0.000269302174201128i</v>
      </c>
      <c r="U121" s="160">
        <f t="shared" si="79"/>
        <v>1.00000003626183</v>
      </c>
      <c r="V121" s="160">
        <f t="shared" si="80"/>
        <v>2.6930216769086842E-4</v>
      </c>
      <c r="W121" s="98" t="str">
        <f t="shared" si="70"/>
        <v>1-0.000699365064580493i</v>
      </c>
      <c r="X121" s="160">
        <f t="shared" si="81"/>
        <v>1.0000002445557168</v>
      </c>
      <c r="Y121" s="160">
        <f t="shared" si="82"/>
        <v>-6.9936495055802938E-4</v>
      </c>
      <c r="Z121" s="98" t="str">
        <f t="shared" si="71"/>
        <v>0.999999762778177+0.000801685030328944i</v>
      </c>
      <c r="AA121" s="160">
        <f t="shared" si="83"/>
        <v>1.0000000841276455</v>
      </c>
      <c r="AB121" s="160">
        <f t="shared" si="84"/>
        <v>8.0168504875875832E-4</v>
      </c>
      <c r="AC121" s="171" t="str">
        <f t="shared" si="85"/>
        <v>6.69636322105461-1.13557439688278i</v>
      </c>
      <c r="AD121" s="190">
        <f t="shared" si="86"/>
        <v>16.639910765756941</v>
      </c>
      <c r="AE121" s="169">
        <f t="shared" si="87"/>
        <v>-9.6246979877576706</v>
      </c>
      <c r="AF121" s="98" t="str">
        <f t="shared" si="72"/>
        <v>-0.0000816326530612245</v>
      </c>
      <c r="AG121" s="98" t="str">
        <f t="shared" si="73"/>
        <v>0.0000149597357768727i</v>
      </c>
      <c r="AH121" s="98">
        <f t="shared" si="88"/>
        <v>1.4959735776872699E-5</v>
      </c>
      <c r="AI121" s="98">
        <f t="shared" si="89"/>
        <v>1.5707963267948966</v>
      </c>
      <c r="AJ121" s="98" t="str">
        <f t="shared" si="74"/>
        <v>1+0.00165714159669308i</v>
      </c>
      <c r="AK121" s="98">
        <f t="shared" si="90"/>
        <v>1.0000013730581931</v>
      </c>
      <c r="AL121" s="98">
        <f t="shared" si="91"/>
        <v>1.6571400797933068E-3</v>
      </c>
      <c r="AM121" s="98" t="str">
        <f t="shared" si="75"/>
        <v>1+0.167371301266001i</v>
      </c>
      <c r="AN121" s="98">
        <f t="shared" si="92"/>
        <v>1.0139098344958857</v>
      </c>
      <c r="AO121" s="98">
        <f t="shared" si="93"/>
        <v>0.16583418939813349</v>
      </c>
      <c r="AP121" s="168" t="str">
        <f t="shared" si="94"/>
        <v>-0.904270607239282+5.4583230285332i</v>
      </c>
      <c r="AQ121" s="98">
        <f t="shared" si="95"/>
        <v>14.858774551458358</v>
      </c>
      <c r="AR121" s="169">
        <f t="shared" si="96"/>
        <v>99.406652018852043</v>
      </c>
      <c r="AS121" s="168" t="str">
        <f t="shared" si="97"/>
        <v>0.143007444920132+37.5777801263397i</v>
      </c>
      <c r="AT121" s="190">
        <f t="shared" si="98"/>
        <v>31.498685317215298</v>
      </c>
      <c r="AU121" s="169">
        <f t="shared" si="99"/>
        <v>89.781954031094372</v>
      </c>
      <c r="AV121" s="225"/>
      <c r="AX121">
        <f t="shared" si="100"/>
        <v>0</v>
      </c>
      <c r="AY121">
        <f t="shared" si="101"/>
        <v>0</v>
      </c>
    </row>
    <row r="122" spans="14:51" x14ac:dyDescent="0.2">
      <c r="N122" s="170">
        <v>4</v>
      </c>
      <c r="O122" s="199">
        <f t="shared" si="102"/>
        <v>109.64781961431861</v>
      </c>
      <c r="P122" s="189" t="str">
        <f t="shared" si="67"/>
        <v>6.8875</v>
      </c>
      <c r="Q122" s="160" t="str">
        <f t="shared" si="68"/>
        <v>1+0.172234392291241i</v>
      </c>
      <c r="R122" s="160">
        <f t="shared" si="77"/>
        <v>1.0147239456561243</v>
      </c>
      <c r="S122" s="160">
        <f t="shared" si="78"/>
        <v>0.17056098443864523</v>
      </c>
      <c r="T122" s="160" t="str">
        <f t="shared" si="69"/>
        <v>1+0.000275575027665986i</v>
      </c>
      <c r="U122" s="160">
        <f t="shared" si="79"/>
        <v>1.0000000379707972</v>
      </c>
      <c r="V122" s="160">
        <f t="shared" si="80"/>
        <v>2.7557502069011717E-4</v>
      </c>
      <c r="W122" s="98" t="str">
        <f t="shared" si="70"/>
        <v>1-0.000715655369631195i</v>
      </c>
      <c r="X122" s="160">
        <f t="shared" si="81"/>
        <v>1.0000002560812713</v>
      </c>
      <c r="Y122" s="160">
        <f t="shared" si="82"/>
        <v>-7.1565524745392567E-4</v>
      </c>
      <c r="Z122" s="98" t="str">
        <f t="shared" si="71"/>
        <v>0.999999751598257+0.000820358673551992i</v>
      </c>
      <c r="AA122" s="160">
        <f t="shared" si="83"/>
        <v>1.0000000880924609</v>
      </c>
      <c r="AB122" s="160">
        <f t="shared" si="84"/>
        <v>8.2035869329989328E-4</v>
      </c>
      <c r="AC122" s="171" t="str">
        <f t="shared" si="85"/>
        <v>6.68761474304499-1.16051853369756i</v>
      </c>
      <c r="AD122" s="190">
        <f t="shared" si="86"/>
        <v>16.634275844889913</v>
      </c>
      <c r="AE122" s="169">
        <f t="shared" si="87"/>
        <v>-9.8446423883845426</v>
      </c>
      <c r="AF122" s="98" t="str">
        <f t="shared" si="72"/>
        <v>-0.0000816326530612245</v>
      </c>
      <c r="AG122" s="98" t="str">
        <f t="shared" si="73"/>
        <v>0.0000153081927868455i</v>
      </c>
      <c r="AH122" s="98">
        <f t="shared" si="88"/>
        <v>1.5308192786845502E-5</v>
      </c>
      <c r="AI122" s="98">
        <f t="shared" si="89"/>
        <v>1.5707963267948966</v>
      </c>
      <c r="AJ122" s="98" t="str">
        <f t="shared" si="74"/>
        <v>1+0.00169574138311297i</v>
      </c>
      <c r="AK122" s="98">
        <f t="shared" si="90"/>
        <v>1.0000014377683857</v>
      </c>
      <c r="AL122" s="98">
        <f t="shared" si="91"/>
        <v>1.6957397577257052E-3</v>
      </c>
      <c r="AM122" s="98" t="str">
        <f t="shared" si="75"/>
        <v>1+0.17126987969441i</v>
      </c>
      <c r="AN122" s="98">
        <f t="shared" si="92"/>
        <v>1.0145606791565194</v>
      </c>
      <c r="AO122" s="98">
        <f t="shared" si="93"/>
        <v>0.16962410861511973</v>
      </c>
      <c r="AP122" s="168" t="str">
        <f t="shared" si="94"/>
        <v>-0.904270490208408+5.33414544206216i</v>
      </c>
      <c r="AQ122" s="98">
        <f t="shared" si="95"/>
        <v>14.66434780971753</v>
      </c>
      <c r="AR122" s="169">
        <f t="shared" si="96"/>
        <v>99.621586796044824</v>
      </c>
      <c r="AS122" s="168" t="str">
        <f t="shared" si="97"/>
        <v>0.142961984933232+36.7221323632438i</v>
      </c>
      <c r="AT122" s="190">
        <f t="shared" si="98"/>
        <v>31.29862365460745</v>
      </c>
      <c r="AU122" s="169">
        <f t="shared" si="99"/>
        <v>89.776944407660281</v>
      </c>
      <c r="AV122" s="225"/>
      <c r="AX122">
        <f t="shared" si="100"/>
        <v>0</v>
      </c>
      <c r="AY122">
        <f t="shared" si="101"/>
        <v>0</v>
      </c>
    </row>
    <row r="123" spans="14:51" x14ac:dyDescent="0.2">
      <c r="N123" s="170">
        <v>5</v>
      </c>
      <c r="O123" s="199">
        <f t="shared" si="102"/>
        <v>112.20184543019634</v>
      </c>
      <c r="P123" s="189" t="str">
        <f t="shared" si="67"/>
        <v>6.8875</v>
      </c>
      <c r="Q123" s="160" t="str">
        <f t="shared" si="68"/>
        <v>1+0.176246246661361i</v>
      </c>
      <c r="R123" s="160">
        <f t="shared" si="77"/>
        <v>1.0154125956783366</v>
      </c>
      <c r="S123" s="160">
        <f t="shared" si="78"/>
        <v>0.1744546245008404</v>
      </c>
      <c r="T123" s="160" t="str">
        <f t="shared" si="69"/>
        <v>1+0.000281993994658178i</v>
      </c>
      <c r="U123" s="160">
        <f t="shared" si="79"/>
        <v>1.0000000397603057</v>
      </c>
      <c r="V123" s="160">
        <f t="shared" si="80"/>
        <v>2.8199398718339993E-4</v>
      </c>
      <c r="W123" s="98" t="str">
        <f t="shared" si="70"/>
        <v>1-0.000732325124631695i</v>
      </c>
      <c r="X123" s="160">
        <f t="shared" si="81"/>
        <v>1.0000002681500082</v>
      </c>
      <c r="Y123" s="160">
        <f t="shared" si="82"/>
        <v>-7.3232499371639413E-4</v>
      </c>
      <c r="Z123" s="98" t="str">
        <f t="shared" si="71"/>
        <v>0.999999739891444+0.000839467281802488i</v>
      </c>
      <c r="AA123" s="160">
        <f t="shared" si="83"/>
        <v>1.0000000922441321</v>
      </c>
      <c r="AB123" s="160">
        <f t="shared" si="84"/>
        <v>8.394673029627444E-4</v>
      </c>
      <c r="AC123" s="171" t="str">
        <f t="shared" si="85"/>
        <v>6.67847824575283-1.18594020953294i</v>
      </c>
      <c r="AD123" s="190">
        <f t="shared" si="86"/>
        <v>16.628383184352838</v>
      </c>
      <c r="AE123" s="169">
        <f t="shared" si="87"/>
        <v>-10.069413699994925</v>
      </c>
      <c r="AF123" s="98" t="str">
        <f t="shared" si="72"/>
        <v>-0.0000816326530612245</v>
      </c>
      <c r="AG123" s="98" t="str">
        <f t="shared" si="73"/>
        <v>0.0000156647664032618i</v>
      </c>
      <c r="AH123" s="98">
        <f t="shared" si="88"/>
        <v>1.5664766403261801E-5</v>
      </c>
      <c r="AI123" s="98">
        <f t="shared" si="89"/>
        <v>1.5707963267948966</v>
      </c>
      <c r="AJ123" s="98" t="str">
        <f t="shared" si="74"/>
        <v>1+0.00173524027405998i</v>
      </c>
      <c r="AK123" s="98">
        <f t="shared" si="90"/>
        <v>1.0000015055282712</v>
      </c>
      <c r="AL123" s="98">
        <f t="shared" si="91"/>
        <v>1.7352385324262891E-3</v>
      </c>
      <c r="AM123" s="98" t="str">
        <f t="shared" si="75"/>
        <v>1+0.175259267680058i</v>
      </c>
      <c r="AN123" s="98">
        <f t="shared" si="92"/>
        <v>1.015241749982609</v>
      </c>
      <c r="AO123" s="98">
        <f t="shared" si="93"/>
        <v>0.1734972189192564</v>
      </c>
      <c r="AP123" s="168" t="str">
        <f t="shared" si="94"/>
        <v>-0.904270367662065+5.21279609009155i</v>
      </c>
      <c r="AQ123" s="98">
        <f t="shared" si="95"/>
        <v>14.470176070482246</v>
      </c>
      <c r="AR123" s="169">
        <f t="shared" si="96"/>
        <v>99.841236556974152</v>
      </c>
      <c r="AS123" s="168" t="str">
        <f t="shared" si="97"/>
        <v>0.142914508625649+35.8859558765214i</v>
      </c>
      <c r="AT123" s="190">
        <f t="shared" si="98"/>
        <v>31.098559254835081</v>
      </c>
      <c r="AU123" s="169">
        <f t="shared" si="99"/>
        <v>89.771822856979227</v>
      </c>
      <c r="AV123" s="225"/>
      <c r="AX123">
        <f t="shared" si="100"/>
        <v>0</v>
      </c>
      <c r="AY123">
        <f t="shared" si="101"/>
        <v>0</v>
      </c>
    </row>
    <row r="124" spans="14:51" x14ac:dyDescent="0.2">
      <c r="N124" s="170">
        <v>6</v>
      </c>
      <c r="O124" s="199">
        <f t="shared" si="102"/>
        <v>114.81536214968835</v>
      </c>
      <c r="P124" s="189" t="str">
        <f t="shared" si="67"/>
        <v>6.8875</v>
      </c>
      <c r="Q124" s="160" t="str">
        <f t="shared" si="68"/>
        <v>1+0.180351549124356i</v>
      </c>
      <c r="R124" s="160">
        <f t="shared" si="77"/>
        <v>1.0161332005556925</v>
      </c>
      <c r="S124" s="160">
        <f t="shared" si="78"/>
        <v>0.17843343374127932</v>
      </c>
      <c r="T124" s="160" t="str">
        <f t="shared" si="69"/>
        <v>1+0.00028856247859897i</v>
      </c>
      <c r="U124" s="160">
        <f t="shared" si="79"/>
        <v>1.0000000416341512</v>
      </c>
      <c r="V124" s="160">
        <f t="shared" si="80"/>
        <v>2.88562470589601E-4</v>
      </c>
      <c r="W124" s="98" t="str">
        <f t="shared" si="70"/>
        <v>1-0.000749383168106743i</v>
      </c>
      <c r="X124" s="160">
        <f t="shared" si="81"/>
        <v>1.0000002807875268</v>
      </c>
      <c r="Y124" s="160">
        <f t="shared" si="82"/>
        <v>-7.4938302782847287E-4</v>
      </c>
      <c r="Z124" s="98" t="str">
        <f t="shared" si="71"/>
        <v>0.999999727632905+0.000859020986717459i</v>
      </c>
      <c r="AA124" s="160">
        <f t="shared" si="83"/>
        <v>1.0000000965914653</v>
      </c>
      <c r="AB124" s="160">
        <f t="shared" si="84"/>
        <v>8.5902100939108184E-4</v>
      </c>
      <c r="AC124" s="171" t="str">
        <f t="shared" si="85"/>
        <v>6.66893767701353-1.21184364926701i</v>
      </c>
      <c r="AD124" s="190">
        <f t="shared" si="86"/>
        <v>16.622221369014639</v>
      </c>
      <c r="AE124" s="169">
        <f t="shared" si="87"/>
        <v>-10.299104028796391</v>
      </c>
      <c r="AF124" s="98" t="str">
        <f t="shared" si="72"/>
        <v>-0.0000816326530612245</v>
      </c>
      <c r="AG124" s="98" t="str">
        <f t="shared" si="73"/>
        <v>0.0000160296456861728i</v>
      </c>
      <c r="AH124" s="98">
        <f t="shared" si="88"/>
        <v>1.6029645686172801E-5</v>
      </c>
      <c r="AI124" s="98">
        <f t="shared" si="89"/>
        <v>1.5707963267948966</v>
      </c>
      <c r="AJ124" s="98" t="str">
        <f t="shared" si="74"/>
        <v>1+0.00177565921236891i</v>
      </c>
      <c r="AK124" s="98">
        <f t="shared" si="90"/>
        <v>1.0000015764815766</v>
      </c>
      <c r="AL124" s="98">
        <f t="shared" si="91"/>
        <v>1.7756573461749463E-3</v>
      </c>
      <c r="AM124" s="98" t="str">
        <f t="shared" si="75"/>
        <v>1+0.17934158044926i</v>
      </c>
      <c r="AN124" s="98">
        <f t="shared" si="92"/>
        <v>1.0159544293313743</v>
      </c>
      <c r="AO124" s="98">
        <f t="shared" si="93"/>
        <v>0.17745510884904636</v>
      </c>
      <c r="AP124" s="168" t="str">
        <f t="shared" si="94"/>
        <v>-0.904270239340327+5.09421063158737i</v>
      </c>
      <c r="AQ124" s="98">
        <f t="shared" si="95"/>
        <v>14.27627063543186</v>
      </c>
      <c r="AR124" s="169">
        <f t="shared" si="96"/>
        <v>100.06569111828772</v>
      </c>
      <c r="AS124" s="168" t="str">
        <f t="shared" si="97"/>
        <v>0.142864932578889+35.0688073624016i</v>
      </c>
      <c r="AT124" s="190">
        <f t="shared" si="98"/>
        <v>30.898492004446489</v>
      </c>
      <c r="AU124" s="169">
        <f t="shared" si="99"/>
        <v>89.766587089491338</v>
      </c>
      <c r="AV124" s="225"/>
      <c r="AX124">
        <f t="shared" si="100"/>
        <v>0</v>
      </c>
      <c r="AY124">
        <f t="shared" si="101"/>
        <v>0</v>
      </c>
    </row>
    <row r="125" spans="14:51" x14ac:dyDescent="0.2">
      <c r="N125" s="170">
        <v>7</v>
      </c>
      <c r="O125" s="199">
        <f t="shared" si="102"/>
        <v>117.48975549395293</v>
      </c>
      <c r="P125" s="189" t="str">
        <f t="shared" si="67"/>
        <v>6.8875</v>
      </c>
      <c r="Q125" s="160" t="str">
        <f t="shared" si="68"/>
        <v>1+0.184552476365932i</v>
      </c>
      <c r="R125" s="160">
        <f t="shared" si="77"/>
        <v>1.0168872191805727</v>
      </c>
      <c r="S125" s="160">
        <f t="shared" si="78"/>
        <v>0.18249901762193163</v>
      </c>
      <c r="T125" s="160" t="str">
        <f t="shared" si="69"/>
        <v>1+0.000295283962185491i</v>
      </c>
      <c r="U125" s="160">
        <f t="shared" si="79"/>
        <v>1.0000000435963081</v>
      </c>
      <c r="V125" s="160">
        <f t="shared" si="80"/>
        <v>2.9528395360329748E-4</v>
      </c>
      <c r="W125" s="98" t="str">
        <f t="shared" si="70"/>
        <v>1-0.00076683854445678i</v>
      </c>
      <c r="X125" s="160">
        <f t="shared" si="81"/>
        <v>1.0000002940206334</v>
      </c>
      <c r="Y125" s="160">
        <f t="shared" si="82"/>
        <v>-7.668383941459078E-4</v>
      </c>
      <c r="Z125" s="98" t="str">
        <f t="shared" si="71"/>
        <v>0.99999971479664+0.000879030155930074i</v>
      </c>
      <c r="AA125" s="160">
        <f t="shared" si="83"/>
        <v>1.000000101143683</v>
      </c>
      <c r="AB125" s="160">
        <f t="shared" si="84"/>
        <v>8.790301802252973E-4</v>
      </c>
      <c r="AC125" s="171" t="str">
        <f t="shared" si="85"/>
        <v>6.65897642839269-1.23823274086951i</v>
      </c>
      <c r="AD125" s="190">
        <f t="shared" si="86"/>
        <v>16.61577851302863</v>
      </c>
      <c r="AE125" s="169">
        <f t="shared" si="87"/>
        <v>-10.533806273665578</v>
      </c>
      <c r="AF125" s="98" t="str">
        <f t="shared" si="72"/>
        <v>-0.0000816326530612245</v>
      </c>
      <c r="AG125" s="98" t="str">
        <f t="shared" si="73"/>
        <v>0.000016403024099404i</v>
      </c>
      <c r="AH125" s="98">
        <f t="shared" si="88"/>
        <v>1.6403024099404E-5</v>
      </c>
      <c r="AI125" s="98">
        <f t="shared" si="89"/>
        <v>1.5707963267948966</v>
      </c>
      <c r="AJ125" s="98" t="str">
        <f t="shared" si="74"/>
        <v>1+0.00181701962869587i</v>
      </c>
      <c r="AK125" s="98">
        <f t="shared" si="90"/>
        <v>1.000001650778803</v>
      </c>
      <c r="AL125" s="98">
        <f t="shared" si="91"/>
        <v>1.8170176290331888E-3</v>
      </c>
      <c r="AM125" s="98" t="str">
        <f t="shared" si="75"/>
        <v>1+0.183518982498283i</v>
      </c>
      <c r="AN125" s="98">
        <f t="shared" si="92"/>
        <v>1.0167001607835051</v>
      </c>
      <c r="AO125" s="98">
        <f t="shared" si="93"/>
        <v>0.18149938068468105</v>
      </c>
      <c r="AP125" s="168" t="str">
        <f t="shared" si="94"/>
        <v>-0.904270104971021+4.97832619096844i</v>
      </c>
      <c r="AQ125" s="98">
        <f t="shared" si="95"/>
        <v>14.082643273008273</v>
      </c>
      <c r="AR125" s="169">
        <f t="shared" si="96"/>
        <v>100.29504105602602</v>
      </c>
      <c r="AS125" s="168" t="str">
        <f t="shared" si="97"/>
        <v>0.142813170483107+34.2702536090734i</v>
      </c>
      <c r="AT125" s="190">
        <f t="shared" si="98"/>
        <v>30.698421786036892</v>
      </c>
      <c r="AU125" s="169">
        <f t="shared" si="99"/>
        <v>89.761234782360461</v>
      </c>
      <c r="AV125" s="225"/>
      <c r="AX125">
        <f t="shared" si="100"/>
        <v>0</v>
      </c>
      <c r="AY125">
        <f t="shared" si="101"/>
        <v>0</v>
      </c>
    </row>
    <row r="126" spans="14:51" x14ac:dyDescent="0.2">
      <c r="N126" s="170">
        <v>8</v>
      </c>
      <c r="O126" s="199">
        <f t="shared" si="102"/>
        <v>120.22644346174135</v>
      </c>
      <c r="P126" s="189" t="str">
        <f t="shared" si="67"/>
        <v>6.8875</v>
      </c>
      <c r="Q126" s="160" t="str">
        <f t="shared" si="68"/>
        <v>1+0.188851255773318i</v>
      </c>
      <c r="R126" s="160">
        <f t="shared" si="77"/>
        <v>1.0176761748253513</v>
      </c>
      <c r="S126" s="160">
        <f t="shared" si="78"/>
        <v>0.18665299390541384</v>
      </c>
      <c r="T126" s="160" t="str">
        <f t="shared" si="69"/>
        <v>1+0.000302162009237308i</v>
      </c>
      <c r="U126" s="160">
        <f t="shared" si="79"/>
        <v>1.0000000456509388</v>
      </c>
      <c r="V126" s="160">
        <f t="shared" si="80"/>
        <v>3.0216200004132201E-4</v>
      </c>
      <c r="W126" s="98" t="str">
        <f t="shared" si="70"/>
        <v>1-0.000784700508753398i</v>
      </c>
      <c r="X126" s="160">
        <f t="shared" si="81"/>
        <v>1.0000003078773969</v>
      </c>
      <c r="Y126" s="160">
        <f t="shared" si="82"/>
        <v>-7.8470034769239944E-4</v>
      </c>
      <c r="Z126" s="98" t="str">
        <f t="shared" si="71"/>
        <v>0.999999701355419+0.000899505398566705i</v>
      </c>
      <c r="AA126" s="160">
        <f t="shared" si="83"/>
        <v>1.0000001059104389</v>
      </c>
      <c r="AB126" s="160">
        <f t="shared" si="84"/>
        <v>8.9950542459950561E-4</v>
      </c>
      <c r="AC126" s="171" t="str">
        <f t="shared" si="85"/>
        <v>6.64857732614901-1.26511100295743i</v>
      </c>
      <c r="AD126" s="190">
        <f t="shared" si="86"/>
        <v>16.609042243665275</v>
      </c>
      <c r="AE126" s="169">
        <f t="shared" si="87"/>
        <v>-10.773614059513626</v>
      </c>
      <c r="AF126" s="98" t="str">
        <f t="shared" si="72"/>
        <v>-0.0000816326530612245</v>
      </c>
      <c r="AG126" s="98" t="str">
        <f t="shared" si="73"/>
        <v>0.0000167850996131325i</v>
      </c>
      <c r="AH126" s="98">
        <f t="shared" si="88"/>
        <v>1.67850996131325E-5</v>
      </c>
      <c r="AI126" s="98">
        <f t="shared" si="89"/>
        <v>1.5707963267948966</v>
      </c>
      <c r="AJ126" s="98" t="str">
        <f t="shared" si="74"/>
        <v>1+0.00185934345288106i</v>
      </c>
      <c r="AK126" s="98">
        <f t="shared" si="90"/>
        <v>1.000001728577544</v>
      </c>
      <c r="AL126" s="98">
        <f t="shared" si="91"/>
        <v>1.8593413102040933E-3</v>
      </c>
      <c r="AM126" s="98" t="str">
        <f t="shared" si="75"/>
        <v>1+0.187793688740987i</v>
      </c>
      <c r="AN126" s="98">
        <f t="shared" si="92"/>
        <v>1.0174804516701768</v>
      </c>
      <c r="AO126" s="98">
        <f t="shared" si="93"/>
        <v>0.18563164930267426</v>
      </c>
      <c r="AP126" s="168" t="str">
        <f t="shared" si="94"/>
        <v>-0.90426996426911+4.86508132476884i</v>
      </c>
      <c r="AQ126" s="98">
        <f t="shared" si="95"/>
        <v>13.889306234516399</v>
      </c>
      <c r="AR126" s="169">
        <f t="shared" si="96"/>
        <v>100.52937763934682</v>
      </c>
      <c r="AS126" s="168" t="str">
        <f t="shared" si="97"/>
        <v>0.142759133090589+33.4898712671699i</v>
      </c>
      <c r="AT126" s="190">
        <f t="shared" si="98"/>
        <v>30.498348478181683</v>
      </c>
      <c r="AU126" s="169">
        <f t="shared" si="99"/>
        <v>89.7557635798332</v>
      </c>
      <c r="AV126" s="225"/>
      <c r="AX126">
        <f t="shared" si="100"/>
        <v>0</v>
      </c>
      <c r="AY126">
        <f t="shared" si="101"/>
        <v>0</v>
      </c>
    </row>
    <row r="127" spans="14:51" x14ac:dyDescent="0.2">
      <c r="N127" s="170">
        <v>9</v>
      </c>
      <c r="O127" s="199">
        <f t="shared" si="102"/>
        <v>123.02687708123821</v>
      </c>
      <c r="P127" s="189" t="str">
        <f t="shared" si="67"/>
        <v>6.8875</v>
      </c>
      <c r="Q127" s="160" t="str">
        <f t="shared" si="68"/>
        <v>1+0.193250166616256i</v>
      </c>
      <c r="R127" s="160">
        <f t="shared" si="77"/>
        <v>1.0185016577783321</v>
      </c>
      <c r="S127" s="160">
        <f t="shared" si="78"/>
        <v>0.19089699137288083</v>
      </c>
      <c r="T127" s="160" t="str">
        <f t="shared" si="69"/>
        <v>1+0.00030920026658601i</v>
      </c>
      <c r="U127" s="160">
        <f t="shared" si="79"/>
        <v>1.0000000478024014</v>
      </c>
      <c r="V127" s="160">
        <f t="shared" si="80"/>
        <v>3.0920025673233351E-4</v>
      </c>
      <c r="W127" s="98" t="str">
        <f t="shared" si="70"/>
        <v>1-0.000802978531646494i</v>
      </c>
      <c r="X127" s="160">
        <f t="shared" si="81"/>
        <v>1.0000003223872092</v>
      </c>
      <c r="Y127" s="160">
        <f t="shared" si="82"/>
        <v>-8.0297835906652769E-4</v>
      </c>
      <c r="Z127" s="98" t="str">
        <f t="shared" si="71"/>
        <v>0.999999687280734+0.000920457570872015i</v>
      </c>
      <c r="AA127" s="160">
        <f t="shared" si="83"/>
        <v>1.0000001109018464</v>
      </c>
      <c r="AB127" s="160">
        <f t="shared" si="84"/>
        <v>9.2045759876666197E-4</v>
      </c>
      <c r="AC127" s="171" t="str">
        <f t="shared" si="85"/>
        <v>6.63772262313709-1.29248155054372i</v>
      </c>
      <c r="AD127" s="190">
        <f t="shared" si="86"/>
        <v>16.601999684897567</v>
      </c>
      <c r="AE127" s="169">
        <f t="shared" si="87"/>
        <v>-11.018621664321165</v>
      </c>
      <c r="AF127" s="98" t="str">
        <f t="shared" si="72"/>
        <v>-0.0000816326530612245</v>
      </c>
      <c r="AG127" s="98" t="str">
        <f t="shared" si="73"/>
        <v>0.0000171760748088529i</v>
      </c>
      <c r="AH127" s="98">
        <f t="shared" si="88"/>
        <v>1.7176074808852899E-5</v>
      </c>
      <c r="AI127" s="98">
        <f t="shared" si="89"/>
        <v>1.5707963267948966</v>
      </c>
      <c r="AJ127" s="98" t="str">
        <f t="shared" si="74"/>
        <v>1+0.00190265312557629i</v>
      </c>
      <c r="AK127" s="98">
        <f t="shared" si="90"/>
        <v>1.0000018100428201</v>
      </c>
      <c r="AL127" s="98">
        <f t="shared" si="91"/>
        <v>1.9026508296567798E-3</v>
      </c>
      <c r="AM127" s="98" t="str">
        <f t="shared" si="75"/>
        <v>1+0.192167965683205i</v>
      </c>
      <c r="AN127" s="98">
        <f t="shared" si="92"/>
        <v>1.0182968756874498</v>
      </c>
      <c r="AO127" s="98">
        <f t="shared" si="93"/>
        <v>0.18985354092130008</v>
      </c>
      <c r="AP127" s="168" t="str">
        <f t="shared" si="94"/>
        <v>-0.90426981693618+4.75441598905996i</v>
      </c>
      <c r="AQ127" s="98">
        <f t="shared" si="95"/>
        <v>13.696272270478858</v>
      </c>
      <c r="AR127" s="169">
        <f t="shared" si="96"/>
        <v>100.76879275797837</v>
      </c>
      <c r="AS127" s="168" t="str">
        <f t="shared" si="97"/>
        <v>0.142702728172754+32.7272466254916i</v>
      </c>
      <c r="AT127" s="190">
        <f t="shared" si="98"/>
        <v>30.298271955376435</v>
      </c>
      <c r="AU127" s="169">
        <f t="shared" si="99"/>
        <v>89.750171093657215</v>
      </c>
      <c r="AV127" s="225"/>
      <c r="AX127">
        <f t="shared" si="100"/>
        <v>0</v>
      </c>
      <c r="AY127">
        <f t="shared" si="101"/>
        <v>0</v>
      </c>
    </row>
    <row r="128" spans="14:51" x14ac:dyDescent="0.2">
      <c r="N128" s="170">
        <v>10</v>
      </c>
      <c r="O128" s="199">
        <f t="shared" si="102"/>
        <v>125.89254117941677</v>
      </c>
      <c r="P128" s="189" t="str">
        <f t="shared" si="67"/>
        <v>6.8875</v>
      </c>
      <c r="Q128" s="160" t="str">
        <f t="shared" si="68"/>
        <v>1+0.197751541255503i</v>
      </c>
      <c r="R128" s="160">
        <f t="shared" si="77"/>
        <v>1.0193653280688562</v>
      </c>
      <c r="S128" s="160">
        <f t="shared" si="78"/>
        <v>0.19523264842518726</v>
      </c>
      <c r="T128" s="160" t="str">
        <f t="shared" si="69"/>
        <v>1+0.000316402466008805i</v>
      </c>
      <c r="U128" s="160">
        <f t="shared" si="79"/>
        <v>1.000000050055259</v>
      </c>
      <c r="V128" s="160">
        <f t="shared" si="80"/>
        <v>3.164024554504004E-4</v>
      </c>
      <c r="W128" s="98" t="str">
        <f t="shared" si="70"/>
        <v>1-0.000821682304385746i</v>
      </c>
      <c r="X128" s="160">
        <f t="shared" si="81"/>
        <v>1.0000003375808477</v>
      </c>
      <c r="Y128" s="160">
        <f t="shared" si="82"/>
        <v>-8.2168211946298379E-4</v>
      </c>
      <c r="Z128" s="98" t="str">
        <f t="shared" si="71"/>
        <v>0.999999672542729+0.000941897781965098i</v>
      </c>
      <c r="AA128" s="160">
        <f t="shared" si="83"/>
        <v>1.0000001161284917</v>
      </c>
      <c r="AB128" s="160">
        <f t="shared" si="84"/>
        <v>9.4189781185474958E-4</v>
      </c>
      <c r="AC128" s="171" t="str">
        <f t="shared" si="85"/>
        <v>6.62639399178784-1.32034705893435i</v>
      </c>
      <c r="AD128" s="190">
        <f t="shared" si="86"/>
        <v>16.594637440768217</v>
      </c>
      <c r="AE128" s="169">
        <f t="shared" si="87"/>
        <v>-11.268923939498247</v>
      </c>
      <c r="AF128" s="98" t="str">
        <f t="shared" si="72"/>
        <v>-0.0000816326530612245</v>
      </c>
      <c r="AG128" s="98" t="str">
        <f t="shared" si="73"/>
        <v>0.0000175761569867891i</v>
      </c>
      <c r="AH128" s="98">
        <f t="shared" si="88"/>
        <v>1.75761569867891E-5</v>
      </c>
      <c r="AI128" s="98">
        <f t="shared" si="89"/>
        <v>1.5707963267948966</v>
      </c>
      <c r="AJ128" s="98" t="str">
        <f t="shared" si="74"/>
        <v>1+0.00194697161014329i</v>
      </c>
      <c r="AK128" s="98">
        <f t="shared" si="90"/>
        <v>1.0000018953474292</v>
      </c>
      <c r="AL128" s="98">
        <f t="shared" si="91"/>
        <v>1.9469691500214634E-3</v>
      </c>
      <c r="AM128" s="98" t="str">
        <f t="shared" si="75"/>
        <v>1+0.196644132624472i</v>
      </c>
      <c r="AN128" s="98">
        <f t="shared" si="92"/>
        <v>1.0191510755995066</v>
      </c>
      <c r="AO128" s="98">
        <f t="shared" si="93"/>
        <v>0.19416669173078685</v>
      </c>
      <c r="AP128" s="168" t="str">
        <f t="shared" si="94"/>
        <v>-0.904269662659714+4.6462715076142i</v>
      </c>
      <c r="AQ128" s="98">
        <f t="shared" si="95"/>
        <v>13.503554647215445</v>
      </c>
      <c r="AR128" s="169">
        <f t="shared" si="96"/>
        <v>101.01337884305339</v>
      </c>
      <c r="AS128" s="168" t="str">
        <f t="shared" si="97"/>
        <v>0.142643860484532+31.9819753918461i</v>
      </c>
      <c r="AT128" s="190">
        <f t="shared" si="98"/>
        <v>30.098192087983669</v>
      </c>
      <c r="AU128" s="169">
        <f t="shared" si="99"/>
        <v>89.744454903555138</v>
      </c>
      <c r="AV128" s="225"/>
      <c r="AX128">
        <f t="shared" si="100"/>
        <v>0</v>
      </c>
      <c r="AY128">
        <f t="shared" si="101"/>
        <v>0</v>
      </c>
    </row>
    <row r="129" spans="14:51" x14ac:dyDescent="0.2">
      <c r="N129" s="170">
        <v>11</v>
      </c>
      <c r="O129" s="199">
        <f t="shared" si="102"/>
        <v>128.82495516931343</v>
      </c>
      <c r="P129" s="189" t="str">
        <f t="shared" si="67"/>
        <v>6.8875</v>
      </c>
      <c r="Q129" s="160" t="str">
        <f t="shared" si="68"/>
        <v>1+0.202357766379475i</v>
      </c>
      <c r="R129" s="160">
        <f t="shared" si="77"/>
        <v>1.0202689182828664</v>
      </c>
      <c r="S129" s="160">
        <f t="shared" si="78"/>
        <v>0.19966161156109546</v>
      </c>
      <c r="T129" s="160" t="str">
        <f t="shared" si="69"/>
        <v>1+0.00032377242620716i</v>
      </c>
      <c r="U129" s="160">
        <f t="shared" si="79"/>
        <v>1.0000000524142907</v>
      </c>
      <c r="V129" s="160">
        <f t="shared" si="80"/>
        <v>3.2377241489362575E-4</v>
      </c>
      <c r="W129" s="98" t="str">
        <f t="shared" si="70"/>
        <v>1-0.000840821743959036i</v>
      </c>
      <c r="X129" s="160">
        <f t="shared" si="81"/>
        <v>1.0000003534905402</v>
      </c>
      <c r="Y129" s="160">
        <f t="shared" si="82"/>
        <v>-8.4082154581073011E-4</v>
      </c>
      <c r="Z129" s="98" t="str">
        <f t="shared" si="71"/>
        <v>0.999999657110143+0.000963837399729671i</v>
      </c>
      <c r="AA129" s="160">
        <f t="shared" si="83"/>
        <v>1.0000001216014611</v>
      </c>
      <c r="AB129" s="160">
        <f t="shared" si="84"/>
        <v>9.6383743175700867E-4</v>
      </c>
      <c r="AC129" s="171" t="str">
        <f t="shared" si="85"/>
        <v>6.614572518315-1.34870972573348i</v>
      </c>
      <c r="AD129" s="190">
        <f t="shared" si="86"/>
        <v>16.586941578571931</v>
      </c>
      <c r="AE129" s="169">
        <f t="shared" si="87"/>
        <v>-11.52461622321005</v>
      </c>
      <c r="AF129" s="98" t="str">
        <f t="shared" si="72"/>
        <v>-0.0000816326530612245</v>
      </c>
      <c r="AG129" s="98" t="str">
        <f t="shared" si="73"/>
        <v>0.0000179855582758077i</v>
      </c>
      <c r="AH129" s="98">
        <f t="shared" si="88"/>
        <v>1.7985558275807702E-5</v>
      </c>
      <c r="AI129" s="98">
        <f t="shared" si="89"/>
        <v>1.5707963267948966</v>
      </c>
      <c r="AJ129" s="98" t="str">
        <f t="shared" si="74"/>
        <v>1+0.00199232240482921i</v>
      </c>
      <c r="AK129" s="98">
        <f t="shared" si="90"/>
        <v>1.0000019846723129</v>
      </c>
      <c r="AL129" s="98">
        <f t="shared" si="91"/>
        <v>1.9923197687614618E-3</v>
      </c>
      <c r="AM129" s="98" t="str">
        <f t="shared" si="75"/>
        <v>1+0.20122456288775i</v>
      </c>
      <c r="AN129" s="98">
        <f t="shared" si="92"/>
        <v>1.0200447660320433</v>
      </c>
      <c r="AO129" s="98">
        <f t="shared" si="93"/>
        <v>0.19857274640209591</v>
      </c>
      <c r="AP129" s="168" t="str">
        <f t="shared" si="94"/>
        <v>-0.904269501112482+4.54059054079411i</v>
      </c>
      <c r="AQ129" s="98">
        <f t="shared" si="95"/>
        <v>13.311167163616481</v>
      </c>
      <c r="AR129" s="169">
        <f t="shared" si="96"/>
        <v>101.26322878097122</v>
      </c>
      <c r="AS129" s="168" t="str">
        <f t="shared" si="97"/>
        <v>0.142582431733419+31.2536624788923i</v>
      </c>
      <c r="AT129" s="190">
        <f t="shared" si="98"/>
        <v>29.898108742188402</v>
      </c>
      <c r="AU129" s="169">
        <f t="shared" si="99"/>
        <v>89.738612557761172</v>
      </c>
      <c r="AV129" s="225"/>
      <c r="AX129">
        <f t="shared" si="100"/>
        <v>0</v>
      </c>
      <c r="AY129">
        <f t="shared" si="101"/>
        <v>0</v>
      </c>
    </row>
    <row r="130" spans="14:51" x14ac:dyDescent="0.2">
      <c r="N130" s="170">
        <v>12</v>
      </c>
      <c r="O130" s="199">
        <f t="shared" si="102"/>
        <v>131.82567385564084</v>
      </c>
      <c r="P130" s="189" t="str">
        <f t="shared" si="67"/>
        <v>6.8875</v>
      </c>
      <c r="Q130" s="160" t="str">
        <f t="shared" si="68"/>
        <v>1+0.207071284269703i</v>
      </c>
      <c r="R130" s="160">
        <f t="shared" si="77"/>
        <v>1.0212142364700485</v>
      </c>
      <c r="S130" s="160">
        <f t="shared" si="78"/>
        <v>0.20418553372620782</v>
      </c>
      <c r="T130" s="160" t="str">
        <f t="shared" si="69"/>
        <v>1+0.000331314054831524i</v>
      </c>
      <c r="U130" s="160">
        <f t="shared" si="79"/>
        <v>1.0000000548845001</v>
      </c>
      <c r="V130" s="160">
        <f t="shared" si="80"/>
        <v>3.3131404270885369E-4</v>
      </c>
      <c r="W130" s="98" t="str">
        <f t="shared" si="70"/>
        <v>1-0.000860406998350565i</v>
      </c>
      <c r="X130" s="160">
        <f t="shared" si="81"/>
        <v>1.0000003701500328</v>
      </c>
      <c r="Y130" s="160">
        <f t="shared" si="82"/>
        <v>-8.6040678603083415E-4</v>
      </c>
      <c r="Z130" s="98" t="str">
        <f t="shared" si="71"/>
        <v>0.999999640950242+0.000986288056841477i</v>
      </c>
      <c r="AA130" s="160">
        <f t="shared" si="83"/>
        <v>1.0000001273323638</v>
      </c>
      <c r="AB130" s="160">
        <f t="shared" si="84"/>
        <v>9.8628809115938634E-4</v>
      </c>
      <c r="AC130" s="171" t="str">
        <f t="shared" si="85"/>
        <v>6.60223869830695-1.37757123092359i</v>
      </c>
      <c r="AD130" s="190">
        <f t="shared" si="86"/>
        <v>16.578897611890046</v>
      </c>
      <c r="AE130" s="169">
        <f t="shared" si="87"/>
        <v>-11.785794246308615</v>
      </c>
      <c r="AF130" s="98" t="str">
        <f t="shared" si="72"/>
        <v>-0.0000816326530612245</v>
      </c>
      <c r="AG130" s="98" t="str">
        <f t="shared" si="73"/>
        <v>0.0000184044957458912i</v>
      </c>
      <c r="AH130" s="98">
        <f t="shared" si="88"/>
        <v>1.8404495745891199E-5</v>
      </c>
      <c r="AI130" s="98">
        <f t="shared" si="89"/>
        <v>1.5707963267948966</v>
      </c>
      <c r="AJ130" s="98" t="str">
        <f t="shared" si="74"/>
        <v>1+0.00203872955522567i</v>
      </c>
      <c r="AK130" s="98">
        <f t="shared" si="90"/>
        <v>1.0000020782069403</v>
      </c>
      <c r="AL130" s="98">
        <f t="shared" si="91"/>
        <v>2.0387267306285054E-3</v>
      </c>
      <c r="AM130" s="98" t="str">
        <f t="shared" si="75"/>
        <v>1+0.205911685077793i</v>
      </c>
      <c r="AN130" s="98">
        <f t="shared" si="92"/>
        <v>1.0209797363569837</v>
      </c>
      <c r="AO130" s="98">
        <f t="shared" si="93"/>
        <v>0.20307335646797015</v>
      </c>
      <c r="AP130" s="168" t="str">
        <f t="shared" si="94"/>
        <v>-0.904269331951812+4.43731705515021i</v>
      </c>
      <c r="AQ130" s="98">
        <f t="shared" si="95"/>
        <v>13.119124168073064</v>
      </c>
      <c r="AR130" s="169">
        <f t="shared" si="96"/>
        <v>101.51843581992483</v>
      </c>
      <c r="AS130" s="168" t="str">
        <f t="shared" si="97"/>
        <v>0.142518340557086+30.5419217948735i</v>
      </c>
      <c r="AT130" s="190">
        <f t="shared" si="98"/>
        <v>29.698021779963124</v>
      </c>
      <c r="AU130" s="169">
        <f t="shared" si="99"/>
        <v>89.73264157361622</v>
      </c>
      <c r="AV130" s="225"/>
      <c r="AX130">
        <f t="shared" si="100"/>
        <v>0</v>
      </c>
      <c r="AY130">
        <f t="shared" si="101"/>
        <v>0</v>
      </c>
    </row>
    <row r="131" spans="14:51" x14ac:dyDescent="0.2">
      <c r="N131" s="170">
        <v>13</v>
      </c>
      <c r="O131" s="199">
        <f t="shared" si="102"/>
        <v>134.89628825916537</v>
      </c>
      <c r="P131" s="189" t="str">
        <f t="shared" si="67"/>
        <v>6.8875</v>
      </c>
      <c r="Q131" s="160" t="str">
        <f t="shared" si="68"/>
        <v>1+0.211894594095763i</v>
      </c>
      <c r="R131" s="160">
        <f t="shared" si="77"/>
        <v>1.0222031691434967</v>
      </c>
      <c r="S131" s="160">
        <f t="shared" si="78"/>
        <v>0.20880607252618014</v>
      </c>
      <c r="T131" s="160" t="str">
        <f t="shared" si="69"/>
        <v>1+0.00033903135055322i</v>
      </c>
      <c r="U131" s="160">
        <f t="shared" si="79"/>
        <v>1.0000000574711267</v>
      </c>
      <c r="V131" s="160">
        <f t="shared" si="80"/>
        <v>3.3903133756354477E-4</v>
      </c>
      <c r="W131" s="98" t="str">
        <f t="shared" si="70"/>
        <v>1-0.00088044845192145i</v>
      </c>
      <c r="X131" s="160">
        <f t="shared" si="81"/>
        <v>1.000000387594663</v>
      </c>
      <c r="Y131" s="160">
        <f t="shared" si="82"/>
        <v>-8.8044822441676429E-4</v>
      </c>
      <c r="Z131" s="98" t="str">
        <f t="shared" si="71"/>
        <v>0.999999624028748+0.00100926165693608i</v>
      </c>
      <c r="AA131" s="160">
        <f t="shared" si="83"/>
        <v>1.0000001333333557</v>
      </c>
      <c r="AB131" s="160">
        <f t="shared" si="84"/>
        <v>1.0092616937083809E-3</v>
      </c>
      <c r="AC131" s="171" t="str">
        <f t="shared" si="85"/>
        <v>6.58937243387495-1.40693269499444i</v>
      </c>
      <c r="AD131" s="190">
        <f t="shared" si="86"/>
        <v>16.570490483520434</v>
      </c>
      <c r="AE131" s="169">
        <f t="shared" si="87"/>
        <v>-12.052554030500211</v>
      </c>
      <c r="AF131" s="98" t="str">
        <f t="shared" si="72"/>
        <v>-0.0000816326530612245</v>
      </c>
      <c r="AG131" s="98" t="str">
        <f t="shared" si="73"/>
        <v>0.0000188331915232314i</v>
      </c>
      <c r="AH131" s="98">
        <f t="shared" si="88"/>
        <v>1.8833191523231401E-5</v>
      </c>
      <c r="AI131" s="98">
        <f t="shared" si="89"/>
        <v>1.5707963267948966</v>
      </c>
      <c r="AJ131" s="98" t="str">
        <f t="shared" si="74"/>
        <v>1+0.00208621766701808i</v>
      </c>
      <c r="AK131" s="98">
        <f t="shared" si="90"/>
        <v>1.0000021761497093</v>
      </c>
      <c r="AL131" s="98">
        <f t="shared" si="91"/>
        <v>2.0862146404080442E-3</v>
      </c>
      <c r="AM131" s="98" t="str">
        <f t="shared" si="75"/>
        <v>1+0.210707984368826i</v>
      </c>
      <c r="AN131" s="98">
        <f t="shared" si="92"/>
        <v>1.0219578536695011</v>
      </c>
      <c r="AO131" s="98">
        <f t="shared" si="93"/>
        <v>0.20767017856984529</v>
      </c>
      <c r="AP131" s="168" t="str">
        <f t="shared" si="94"/>
        <v>-0.904269154818923+4.33639629371129i</v>
      </c>
      <c r="AQ131" s="98">
        <f t="shared" si="95"/>
        <v>12.927440575522887</v>
      </c>
      <c r="AR131" s="169">
        <f t="shared" si="96"/>
        <v>101.77909346872653</v>
      </c>
      <c r="AS131" s="168" t="str">
        <f t="shared" si="97"/>
        <v>0.142451482507916+29.8463760391284i</v>
      </c>
      <c r="AT131" s="190">
        <f t="shared" si="98"/>
        <v>29.497931059043317</v>
      </c>
      <c r="AU131" s="169">
        <f t="shared" si="99"/>
        <v>89.726539438226325</v>
      </c>
      <c r="AV131" s="225"/>
      <c r="AX131">
        <f t="shared" si="100"/>
        <v>0</v>
      </c>
      <c r="AY131">
        <f t="shared" si="101"/>
        <v>0</v>
      </c>
    </row>
    <row r="132" spans="14:51" x14ac:dyDescent="0.2">
      <c r="N132" s="170">
        <v>14</v>
      </c>
      <c r="O132" s="199">
        <f t="shared" si="102"/>
        <v>138.0384264602886</v>
      </c>
      <c r="P132" s="189" t="str">
        <f t="shared" si="67"/>
        <v>6.8875</v>
      </c>
      <c r="Q132" s="160" t="str">
        <f t="shared" si="68"/>
        <v>1+0.216830253240369i</v>
      </c>
      <c r="R132" s="160">
        <f t="shared" si="77"/>
        <v>1.0232376843726401</v>
      </c>
      <c r="S132" s="160">
        <f t="shared" si="78"/>
        <v>0.21352488829771249</v>
      </c>
      <c r="T132" s="160" t="str">
        <f t="shared" si="69"/>
        <v>1+0.00034692840518459i</v>
      </c>
      <c r="U132" s="160">
        <f t="shared" si="79"/>
        <v>1.0000000601796573</v>
      </c>
      <c r="V132" s="160">
        <f t="shared" si="80"/>
        <v>3.4692839126590226E-4</v>
      </c>
      <c r="W132" s="98" t="str">
        <f t="shared" si="70"/>
        <v>1-0.000900956730915659i</v>
      </c>
      <c r="X132" s="160">
        <f t="shared" si="81"/>
        <v>1.0000004058614331</v>
      </c>
      <c r="Y132" s="160">
        <f t="shared" si="82"/>
        <v>-9.0095648714000158E-4</v>
      </c>
      <c r="Z132" s="98" t="str">
        <f t="shared" si="71"/>
        <v>0.999999606309769+0.00103277038092036i</v>
      </c>
      <c r="AA132" s="160">
        <f t="shared" si="83"/>
        <v>1.0000001396171667</v>
      </c>
      <c r="AB132" s="160">
        <f t="shared" si="84"/>
        <v>1.0327704203225883E-3</v>
      </c>
      <c r="AC132" s="171" t="str">
        <f t="shared" si="85"/>
        <v>6.57595303253984-1.43679463510376i</v>
      </c>
      <c r="AD132" s="190">
        <f t="shared" si="86"/>
        <v>16.561704548349486</v>
      </c>
      <c r="AE132" s="169">
        <f t="shared" si="87"/>
        <v>-12.324991778376949</v>
      </c>
      <c r="AF132" s="98" t="str">
        <f t="shared" si="72"/>
        <v>-0.0000816326530612245</v>
      </c>
      <c r="AG132" s="98" t="str">
        <f t="shared" si="73"/>
        <v>0.000019271872908004i</v>
      </c>
      <c r="AH132" s="98">
        <f t="shared" si="88"/>
        <v>1.9271872908003999E-5</v>
      </c>
      <c r="AI132" s="98">
        <f t="shared" si="89"/>
        <v>1.5707963267948966</v>
      </c>
      <c r="AJ132" s="98" t="str">
        <f t="shared" si="74"/>
        <v>1+0.00213481191903191i</v>
      </c>
      <c r="AK132" s="98">
        <f t="shared" si="90"/>
        <v>1.0000022787083687</v>
      </c>
      <c r="AL132" s="98">
        <f t="shared" si="91"/>
        <v>2.134808675961226E-3</v>
      </c>
      <c r="AM132" s="98" t="str">
        <f t="shared" si="75"/>
        <v>1+0.215616003822223i</v>
      </c>
      <c r="AN132" s="98">
        <f t="shared" si="92"/>
        <v>1.0229810658581442</v>
      </c>
      <c r="AO132" s="98">
        <f t="shared" si="93"/>
        <v>0.2123648725641353</v>
      </c>
      <c r="AP132" s="168" t="str">
        <f t="shared" si="94"/>
        <v>-0.90426896933809+4.23777474695145i</v>
      </c>
      <c r="AQ132" s="98">
        <f t="shared" si="95"/>
        <v>12.736131884565392</v>
      </c>
      <c r="AR132" s="169">
        <f t="shared" si="96"/>
        <v>102.04529538755799</v>
      </c>
      <c r="AS132" s="168" t="str">
        <f t="shared" si="97"/>
        <v>0.142381750047548+29.1666565022719i</v>
      </c>
      <c r="AT132" s="190">
        <f t="shared" si="98"/>
        <v>29.29783643291487</v>
      </c>
      <c r="AU132" s="169">
        <f t="shared" si="99"/>
        <v>89.720303609181045</v>
      </c>
      <c r="AV132" s="225"/>
      <c r="AX132">
        <f t="shared" si="100"/>
        <v>0</v>
      </c>
      <c r="AY132">
        <f t="shared" si="101"/>
        <v>0</v>
      </c>
    </row>
    <row r="133" spans="14:51" x14ac:dyDescent="0.2">
      <c r="N133" s="170">
        <v>15</v>
      </c>
      <c r="O133" s="199">
        <f t="shared" si="102"/>
        <v>141.25375446227542</v>
      </c>
      <c r="P133" s="189" t="str">
        <f t="shared" si="67"/>
        <v>6.8875</v>
      </c>
      <c r="Q133" s="160" t="str">
        <f t="shared" si="68"/>
        <v>1+0.22188087865533i</v>
      </c>
      <c r="R133" s="160">
        <f t="shared" si="77"/>
        <v>1.0243198349699478</v>
      </c>
      <c r="S133" s="160">
        <f t="shared" si="78"/>
        <v>0.21834364203076884</v>
      </c>
      <c r="T133" s="160" t="str">
        <f t="shared" si="69"/>
        <v>1+0.000355009405848529i</v>
      </c>
      <c r="U133" s="160">
        <f t="shared" si="79"/>
        <v>1.0000000630158372</v>
      </c>
      <c r="V133" s="160">
        <f t="shared" si="80"/>
        <v>3.5500939093438636E-4</v>
      </c>
      <c r="W133" s="98" t="str">
        <f t="shared" si="70"/>
        <v>1-0.000921942709094171i</v>
      </c>
      <c r="X133" s="160">
        <f t="shared" si="81"/>
        <v>1.000000424989089</v>
      </c>
      <c r="Y133" s="160">
        <f t="shared" si="82"/>
        <v>-9.2194244788385395E-4</v>
      </c>
      <c r="Z133" s="98" t="str">
        <f t="shared" si="71"/>
        <v>0.99999958775572+0.00105682669343093i</v>
      </c>
      <c r="AA133" s="160">
        <f t="shared" si="83"/>
        <v>1.0000001461971242</v>
      </c>
      <c r="AB133" s="160">
        <f t="shared" si="84"/>
        <v>1.0568267356511766E-3</v>
      </c>
      <c r="AC133" s="171" t="str">
        <f t="shared" si="85"/>
        <v>6.56195920805171-1.46715691926268i</v>
      </c>
      <c r="AD133" s="190">
        <f t="shared" si="86"/>
        <v>16.552523556219739</v>
      </c>
      <c r="AE133" s="169">
        <f t="shared" si="87"/>
        <v>-12.603203754937356</v>
      </c>
      <c r="AF133" s="98" t="str">
        <f t="shared" si="72"/>
        <v>-0.0000816326530612245</v>
      </c>
      <c r="AG133" s="98" t="str">
        <f t="shared" si="73"/>
        <v>0.0000197207724948858i</v>
      </c>
      <c r="AH133" s="98">
        <f t="shared" si="88"/>
        <v>1.9720772494885799E-5</v>
      </c>
      <c r="AI133" s="98">
        <f t="shared" si="89"/>
        <v>1.5707963267948966</v>
      </c>
      <c r="AJ133" s="98" t="str">
        <f t="shared" si="74"/>
        <v>1+0.00218453807658278i</v>
      </c>
      <c r="AK133" s="98">
        <f t="shared" si="90"/>
        <v>1.0000023861004572</v>
      </c>
      <c r="AL133" s="98">
        <f t="shared" si="91"/>
        <v>2.1845346015703817E-3</v>
      </c>
      <c r="AM133" s="98" t="str">
        <f t="shared" si="75"/>
        <v>1+0.220638345734861i</v>
      </c>
      <c r="AN133" s="98">
        <f t="shared" si="92"/>
        <v>1.0240514047686355</v>
      </c>
      <c r="AO133" s="98">
        <f t="shared" si="93"/>
        <v>0.21715909948133039</v>
      </c>
      <c r="AP133" s="168" t="str">
        <f t="shared" si="94"/>
        <v>-0.904268775115902+4.14140012441869i</v>
      </c>
      <c r="AQ133" s="98">
        <f t="shared" si="95"/>
        <v>12.545214194595204</v>
      </c>
      <c r="AR133" s="169">
        <f t="shared" si="96"/>
        <v>102.31713527027155</v>
      </c>
      <c r="AS133" s="168" t="str">
        <f t="shared" si="97"/>
        <v>0.142309032550772+28.5024028709402i</v>
      </c>
      <c r="AT133" s="190">
        <f t="shared" si="98"/>
        <v>29.09773775081494</v>
      </c>
      <c r="AU133" s="169">
        <f t="shared" si="99"/>
        <v>89.71393151533421</v>
      </c>
      <c r="AV133" s="225"/>
      <c r="AX133">
        <f t="shared" si="100"/>
        <v>0</v>
      </c>
      <c r="AY133">
        <f t="shared" si="101"/>
        <v>0</v>
      </c>
    </row>
    <row r="134" spans="14:51" x14ac:dyDescent="0.2">
      <c r="N134" s="170">
        <v>16</v>
      </c>
      <c r="O134" s="199">
        <f t="shared" si="102"/>
        <v>144.54397707459285</v>
      </c>
      <c r="P134" s="189" t="str">
        <f t="shared" si="67"/>
        <v>6.8875</v>
      </c>
      <c r="Q134" s="160" t="str">
        <f t="shared" si="68"/>
        <v>1+0.227049148249096i</v>
      </c>
      <c r="R134" s="160">
        <f t="shared" si="77"/>
        <v>1.0254517617716787</v>
      </c>
      <c r="S134" s="160">
        <f t="shared" si="78"/>
        <v>0.22326399313547982</v>
      </c>
      <c r="T134" s="160" t="str">
        <f t="shared" si="69"/>
        <v>1+0.000363278637198554i</v>
      </c>
      <c r="U134" s="160">
        <f t="shared" si="79"/>
        <v>1.000000065985682</v>
      </c>
      <c r="V134" s="160">
        <f t="shared" si="80"/>
        <v>3.6327862121776232E-4</v>
      </c>
      <c r="W134" s="98" t="str">
        <f t="shared" si="70"/>
        <v>1-0.0009434175135004i</v>
      </c>
      <c r="X134" s="160">
        <f t="shared" si="81"/>
        <v>1.0000004450182034</v>
      </c>
      <c r="Y134" s="160">
        <f t="shared" si="82"/>
        <v>-9.4341723360850927E-4</v>
      </c>
      <c r="Z134" s="98" t="str">
        <f t="shared" si="71"/>
        <v>0.999999568327246+0.00108144334944311i</v>
      </c>
      <c r="AA134" s="160">
        <f t="shared" si="83"/>
        <v>1.0000001530871865</v>
      </c>
      <c r="AB134" s="160">
        <f t="shared" si="84"/>
        <v>1.0814433946829166E-3</v>
      </c>
      <c r="AC134" s="171" t="str">
        <f t="shared" si="85"/>
        <v>6.54736908334818-1.4980187185505i</v>
      </c>
      <c r="AD134" s="190">
        <f t="shared" si="86"/>
        <v>16.54293063485116</v>
      </c>
      <c r="AE134" s="169">
        <f t="shared" si="87"/>
        <v>-12.88728616022097</v>
      </c>
      <c r="AF134" s="98" t="str">
        <f t="shared" si="72"/>
        <v>-0.0000816326530612245</v>
      </c>
      <c r="AG134" s="98" t="str">
        <f t="shared" si="73"/>
        <v>0.0000201801282963797i</v>
      </c>
      <c r="AH134" s="98">
        <f t="shared" si="88"/>
        <v>2.0180128296379701E-5</v>
      </c>
      <c r="AI134" s="98">
        <f t="shared" si="89"/>
        <v>1.5707963267948966</v>
      </c>
      <c r="AJ134" s="98" t="str">
        <f t="shared" si="74"/>
        <v>1+0.00223542250513764i</v>
      </c>
      <c r="AK134" s="98">
        <f t="shared" si="90"/>
        <v>1.000002498553767</v>
      </c>
      <c r="AL134" s="98">
        <f t="shared" si="91"/>
        <v>2.2354187815952719E-3</v>
      </c>
      <c r="AM134" s="98" t="str">
        <f t="shared" si="75"/>
        <v>1+0.225777673018901i</v>
      </c>
      <c r="AN134" s="98">
        <f t="shared" si="92"/>
        <v>1.025170989461675</v>
      </c>
      <c r="AO134" s="98">
        <f t="shared" si="93"/>
        <v>0.22205451933138892</v>
      </c>
      <c r="AP134" s="168" t="str">
        <f t="shared" si="94"/>
        <v>-0.904268571740384+4.04722132700979i</v>
      </c>
      <c r="AQ134" s="98">
        <f t="shared" si="95"/>
        <v>12.354704222896071</v>
      </c>
      <c r="AR134" s="169">
        <f t="shared" si="96"/>
        <v>102.59470671786507</v>
      </c>
      <c r="AS134" s="168" t="str">
        <f t="shared" si="97"/>
        <v>0.142233216321054+27.8532630369953i</v>
      </c>
      <c r="AT134" s="190">
        <f t="shared" si="98"/>
        <v>28.897634857747228</v>
      </c>
      <c r="AU134" s="169">
        <f t="shared" si="99"/>
        <v>89.707420557644099</v>
      </c>
      <c r="AV134" s="225"/>
      <c r="AX134">
        <f t="shared" si="100"/>
        <v>0</v>
      </c>
      <c r="AY134">
        <f t="shared" si="101"/>
        <v>0</v>
      </c>
    </row>
    <row r="135" spans="14:51" x14ac:dyDescent="0.2">
      <c r="N135" s="170">
        <v>17</v>
      </c>
      <c r="O135" s="199">
        <f t="shared" si="102"/>
        <v>147.91083881682084</v>
      </c>
      <c r="P135" s="189" t="str">
        <f t="shared" si="67"/>
        <v>6.8875</v>
      </c>
      <c r="Q135" s="160" t="str">
        <f t="shared" si="68"/>
        <v>1+0.232337802306614i</v>
      </c>
      <c r="R135" s="160">
        <f t="shared" si="77"/>
        <v>1.0266356970126584</v>
      </c>
      <c r="S135" s="160">
        <f t="shared" si="78"/>
        <v>0.22828759704720064</v>
      </c>
      <c r="T135" s="160" t="str">
        <f t="shared" si="69"/>
        <v>1+0.000371740483690583i</v>
      </c>
      <c r="U135" s="160">
        <f t="shared" si="79"/>
        <v>1.0000000690954913</v>
      </c>
      <c r="V135" s="160">
        <f t="shared" si="80"/>
        <v>3.7174046656685629E-4</v>
      </c>
      <c r="W135" s="98" t="str">
        <f t="shared" si="70"/>
        <v>1-0.000965392530359893i</v>
      </c>
      <c r="X135" s="160">
        <f t="shared" si="81"/>
        <v>1.0000004659912602</v>
      </c>
      <c r="Y135" s="160">
        <f t="shared" si="82"/>
        <v>-9.6539223045033625E-4</v>
      </c>
      <c r="Z135" s="98" t="str">
        <f t="shared" si="71"/>
        <v>0.999999547983136+0.00110663340103376i</v>
      </c>
      <c r="AA135" s="160">
        <f t="shared" si="83"/>
        <v>1.0000001603019675</v>
      </c>
      <c r="AB135" s="160">
        <f t="shared" si="84"/>
        <v>1.1066334495090835E-3</v>
      </c>
      <c r="AC135" s="171" t="str">
        <f t="shared" si="85"/>
        <v>6.53216019586941-1.52937845737672i</v>
      </c>
      <c r="AD135" s="190">
        <f t="shared" si="86"/>
        <v>16.532908272881425</v>
      </c>
      <c r="AE135" s="169">
        <f t="shared" si="87"/>
        <v>-13.177334992683658</v>
      </c>
      <c r="AF135" s="98" t="str">
        <f t="shared" si="72"/>
        <v>-0.0000816326530612245</v>
      </c>
      <c r="AG135" s="98" t="str">
        <f t="shared" si="73"/>
        <v>0.0000206501838690119i</v>
      </c>
      <c r="AH135" s="98">
        <f t="shared" si="88"/>
        <v>2.0650183869011902E-5</v>
      </c>
      <c r="AI135" s="98">
        <f t="shared" si="89"/>
        <v>1.5707963267948966</v>
      </c>
      <c r="AJ135" s="98" t="str">
        <f t="shared" si="74"/>
        <v>1+0.00228749218429403i</v>
      </c>
      <c r="AK135" s="98">
        <f t="shared" si="90"/>
        <v>1.0000026163068241</v>
      </c>
      <c r="AL135" s="98">
        <f t="shared" si="91"/>
        <v>2.2874881944470625E-3</v>
      </c>
      <c r="AM135" s="98" t="str">
        <f t="shared" si="75"/>
        <v>1+0.231036710613697i</v>
      </c>
      <c r="AN135" s="98">
        <f t="shared" si="92"/>
        <v>1.026342029564802</v>
      </c>
      <c r="AO135" s="98">
        <f t="shared" si="93"/>
        <v>0.22705278874886581</v>
      </c>
      <c r="AP135" s="168" t="str">
        <f t="shared" si="94"/>
        <v>-0.904268358780172+3.95518841987692i</v>
      </c>
      <c r="AQ135" s="98">
        <f t="shared" si="95"/>
        <v>12.1646193216325</v>
      </c>
      <c r="AR135" s="169">
        <f t="shared" si="96"/>
        <v>102.87810310275762</v>
      </c>
      <c r="AS135" s="168" t="str">
        <f t="shared" si="97"/>
        <v>0.142154184617632+27.2188929110894i</v>
      </c>
      <c r="AT135" s="190">
        <f t="shared" si="98"/>
        <v>28.697527594513911</v>
      </c>
      <c r="AU135" s="169">
        <f t="shared" si="99"/>
        <v>89.70076811007398</v>
      </c>
      <c r="AV135" s="225"/>
      <c r="AX135">
        <f t="shared" si="100"/>
        <v>0</v>
      </c>
      <c r="AY135">
        <f t="shared" si="101"/>
        <v>0</v>
      </c>
    </row>
    <row r="136" spans="14:51" x14ac:dyDescent="0.2">
      <c r="N136" s="170">
        <v>18</v>
      </c>
      <c r="O136" s="199">
        <f t="shared" si="102"/>
        <v>151.3561248436209</v>
      </c>
      <c r="P136" s="189" t="str">
        <f t="shared" si="67"/>
        <v>6.8875</v>
      </c>
      <c r="Q136" s="160" t="str">
        <f t="shared" si="68"/>
        <v>1+0.237749644942269i</v>
      </c>
      <c r="R136" s="160">
        <f t="shared" si="77"/>
        <v>1.0278739677947755</v>
      </c>
      <c r="S136" s="160">
        <f t="shared" si="78"/>
        <v>0.23341610266331489</v>
      </c>
      <c r="T136" s="160" t="str">
        <f t="shared" si="69"/>
        <v>1+0.000380399431907631i</v>
      </c>
      <c r="U136" s="160">
        <f t="shared" si="79"/>
        <v>1.0000000723518614</v>
      </c>
      <c r="V136" s="160">
        <f t="shared" si="80"/>
        <v>3.803994135592273E-4</v>
      </c>
      <c r="W136" s="98" t="str">
        <f t="shared" si="70"/>
        <v>1-0.000987879411117463i</v>
      </c>
      <c r="X136" s="160">
        <f t="shared" si="81"/>
        <v>1.0000004879527464</v>
      </c>
      <c r="Y136" s="160">
        <f t="shared" si="82"/>
        <v>-9.8787908975859172E-4</v>
      </c>
      <c r="Z136" s="98" t="str">
        <f t="shared" si="71"/>
        <v>0.999999526680237+0.00113241020430166i</v>
      </c>
      <c r="AA136" s="160">
        <f t="shared" si="83"/>
        <v>1.0000001678567703</v>
      </c>
      <c r="AB136" s="160">
        <f t="shared" si="84"/>
        <v>1.1324102562439028E-3</v>
      </c>
      <c r="AC136" s="171" t="str">
        <f t="shared" si="85"/>
        <v>6.51630950545897-1.56123376182329i</v>
      </c>
      <c r="AD136" s="190">
        <f t="shared" si="86"/>
        <v>16.522438303096024</v>
      </c>
      <c r="AE136" s="169">
        <f t="shared" si="87"/>
        <v>-13.473445902946544</v>
      </c>
      <c r="AF136" s="98" t="str">
        <f t="shared" si="72"/>
        <v>-0.0000816326530612245</v>
      </c>
      <c r="AG136" s="98" t="str">
        <f t="shared" si="73"/>
        <v>0.0000211311884424689i</v>
      </c>
      <c r="AH136" s="98">
        <f t="shared" si="88"/>
        <v>2.1131188442468899E-5</v>
      </c>
      <c r="AI136" s="98">
        <f t="shared" si="89"/>
        <v>1.5707963267948966</v>
      </c>
      <c r="AJ136" s="98" t="str">
        <f t="shared" si="74"/>
        <v>1+0.00234077472208508i</v>
      </c>
      <c r="AK136" s="98">
        <f t="shared" si="90"/>
        <v>1.0000027396093971</v>
      </c>
      <c r="AL136" s="98">
        <f t="shared" si="91"/>
        <v>2.3407704468876621E-3</v>
      </c>
      <c r="AM136" s="98" t="str">
        <f t="shared" si="75"/>
        <v>1+0.236418246930593i</v>
      </c>
      <c r="AN136" s="98">
        <f t="shared" si="92"/>
        <v>1.0275668287180815</v>
      </c>
      <c r="AO136" s="98">
        <f t="shared" si="93"/>
        <v>0.23215555847133387</v>
      </c>
      <c r="AP136" s="168" t="str">
        <f t="shared" si="94"/>
        <v>-0.904268135783576+3.86525260595147i</v>
      </c>
      <c r="AQ136" s="98">
        <f t="shared" si="95"/>
        <v>11.974977494669012</v>
      </c>
      <c r="AR136" s="169">
        <f t="shared" si="96"/>
        <v>103.16741742349446</v>
      </c>
      <c r="AS136" s="168" t="str">
        <f t="shared" si="97"/>
        <v>0.142071817696709+26.5989562404879i</v>
      </c>
      <c r="AT136" s="190">
        <f t="shared" si="98"/>
        <v>28.497415797765022</v>
      </c>
      <c r="AU136" s="169">
        <f t="shared" si="99"/>
        <v>89.693971520547919</v>
      </c>
      <c r="AV136" s="225"/>
      <c r="AX136">
        <f t="shared" si="100"/>
        <v>0</v>
      </c>
      <c r="AY136">
        <f t="shared" si="101"/>
        <v>0</v>
      </c>
    </row>
    <row r="137" spans="14:51" x14ac:dyDescent="0.2">
      <c r="N137" s="170">
        <v>19</v>
      </c>
      <c r="O137" s="199">
        <f t="shared" si="102"/>
        <v>154.8816618912482</v>
      </c>
      <c r="P137" s="189" t="str">
        <f t="shared" si="67"/>
        <v>6.8875</v>
      </c>
      <c r="Q137" s="160" t="str">
        <f t="shared" si="68"/>
        <v>1+0.243287545586662i</v>
      </c>
      <c r="R137" s="160">
        <f t="shared" si="77"/>
        <v>1.0291689996485427</v>
      </c>
      <c r="S137" s="160">
        <f t="shared" si="78"/>
        <v>0.23865114960547207</v>
      </c>
      <c r="T137" s="160" t="str">
        <f t="shared" si="69"/>
        <v>1+0.000389260072938659i</v>
      </c>
      <c r="U137" s="160">
        <f t="shared" si="79"/>
        <v>1.0000000757616994</v>
      </c>
      <c r="V137" s="160">
        <f t="shared" si="80"/>
        <v>3.8926005327799031E-4</v>
      </c>
      <c r="W137" s="98" t="str">
        <f t="shared" si="70"/>
        <v>1-0.00101089007861494i</v>
      </c>
      <c r="X137" s="160">
        <f t="shared" si="81"/>
        <v>1.0000005109492449</v>
      </c>
      <c r="Y137" s="160">
        <f t="shared" si="82"/>
        <v>-1.010889734272715E-3</v>
      </c>
      <c r="Z137" s="98" t="str">
        <f t="shared" si="71"/>
        <v>0.999999504373364+0.00115878742644911i</v>
      </c>
      <c r="AA137" s="160">
        <f t="shared" si="83"/>
        <v>1.0000001757676211</v>
      </c>
      <c r="AB137" s="160">
        <f t="shared" si="84"/>
        <v>1.1587874821062227E-3</v>
      </c>
      <c r="AC137" s="171" t="str">
        <f t="shared" si="85"/>
        <v>6.49979340509124-1.5935814061166i</v>
      </c>
      <c r="AD137" s="190">
        <f t="shared" si="86"/>
        <v>16.511501885926233</v>
      </c>
      <c r="AE137" s="169">
        <f t="shared" si="87"/>
        <v>-13.775714037557085</v>
      </c>
      <c r="AF137" s="98" t="str">
        <f t="shared" si="72"/>
        <v>-0.0000816326530612245</v>
      </c>
      <c r="AG137" s="98" t="str">
        <f t="shared" si="73"/>
        <v>0.0000216233970517425i</v>
      </c>
      <c r="AH137" s="98">
        <f t="shared" si="88"/>
        <v>2.1623397051742501E-5</v>
      </c>
      <c r="AI137" s="98">
        <f t="shared" si="89"/>
        <v>1.5707963267948966</v>
      </c>
      <c r="AJ137" s="98" t="str">
        <f t="shared" si="74"/>
        <v>1+0.00239529836961759i</v>
      </c>
      <c r="AK137" s="98">
        <f t="shared" si="90"/>
        <v>1.0000028687230249</v>
      </c>
      <c r="AL137" s="98">
        <f t="shared" si="91"/>
        <v>2.3952937886617329E-3</v>
      </c>
      <c r="AM137" s="98" t="str">
        <f t="shared" si="75"/>
        <v>1+0.241925135331377i</v>
      </c>
      <c r="AN137" s="98">
        <f t="shared" si="92"/>
        <v>1.0288477881130449</v>
      </c>
      <c r="AO137" s="98">
        <f t="shared" si="93"/>
        <v>0.23736447064476718</v>
      </c>
      <c r="AP137" s="168" t="str">
        <f t="shared" si="94"/>
        <v>-0.904267902277576+3.77736620007113i</v>
      </c>
      <c r="AQ137" s="98">
        <f t="shared" si="95"/>
        <v>11.785797414140935</v>
      </c>
      <c r="AR137" s="169">
        <f t="shared" si="96"/>
        <v>103.46274214951781</v>
      </c>
      <c r="AS137" s="168" t="str">
        <f t="shared" si="97"/>
        <v>0.141985992867191+25.9931244310545i</v>
      </c>
      <c r="AT137" s="190">
        <f t="shared" si="98"/>
        <v>28.297299300067166</v>
      </c>
      <c r="AU137" s="169">
        <f t="shared" si="99"/>
        <v>89.687028111960728</v>
      </c>
      <c r="AV137" s="225"/>
      <c r="AX137">
        <f t="shared" si="100"/>
        <v>0</v>
      </c>
      <c r="AY137">
        <f t="shared" si="101"/>
        <v>0</v>
      </c>
    </row>
    <row r="138" spans="14:51" x14ac:dyDescent="0.2">
      <c r="N138" s="170">
        <v>20</v>
      </c>
      <c r="O138" s="199">
        <f t="shared" si="102"/>
        <v>158.48931924611153</v>
      </c>
      <c r="P138" s="189" t="str">
        <f t="shared" si="67"/>
        <v>6.8875</v>
      </c>
      <c r="Q138" s="160" t="str">
        <f t="shared" si="68"/>
        <v>1+0.248954440508016i</v>
      </c>
      <c r="R138" s="160">
        <f t="shared" si="77"/>
        <v>1.0305233201867192</v>
      </c>
      <c r="S138" s="160">
        <f t="shared" si="78"/>
        <v>0.24399436530116353</v>
      </c>
      <c r="T138" s="160" t="str">
        <f t="shared" si="69"/>
        <v>1+0.000398327104812825i</v>
      </c>
      <c r="U138" s="160">
        <f t="shared" si="79"/>
        <v>1.0000000793322381</v>
      </c>
      <c r="V138" s="160">
        <f t="shared" si="80"/>
        <v>3.9832708374603904E-4</v>
      </c>
      <c r="W138" s="98" t="str">
        <f t="shared" si="70"/>
        <v>1-0.00103443673341281i</v>
      </c>
      <c r="X138" s="160">
        <f t="shared" si="81"/>
        <v>1.0000005350295345</v>
      </c>
      <c r="Y138" s="160">
        <f t="shared" si="82"/>
        <v>-1.0344363644434788E-3</v>
      </c>
      <c r="Z138" s="98" t="str">
        <f t="shared" si="71"/>
        <v>0.9999994810152+0.00118577905302843i</v>
      </c>
      <c r="AA138" s="160">
        <f t="shared" si="83"/>
        <v>1.0000001840512991</v>
      </c>
      <c r="AB138" s="160">
        <f t="shared" si="84"/>
        <v>1.1857791126660977E-3</v>
      </c>
      <c r="AC138" s="171" t="str">
        <f t="shared" si="85"/>
        <v>6.48258773467698-1.62641725729771i</v>
      </c>
      <c r="AD138" s="190">
        <f t="shared" si="86"/>
        <v>16.500079493300277</v>
      </c>
      <c r="AE138" s="169">
        <f t="shared" si="87"/>
        <v>-14.084233872413511</v>
      </c>
      <c r="AF138" s="98" t="str">
        <f t="shared" si="72"/>
        <v>-0.0000816326530612245</v>
      </c>
      <c r="AG138" s="98" t="str">
        <f t="shared" si="73"/>
        <v>0.0000221270706723524i</v>
      </c>
      <c r="AH138" s="98">
        <f t="shared" si="88"/>
        <v>2.21270706723524E-5</v>
      </c>
      <c r="AI138" s="98">
        <f t="shared" si="89"/>
        <v>1.5707963267948966</v>
      </c>
      <c r="AJ138" s="98" t="str">
        <f t="shared" si="74"/>
        <v>1+0.0024510920360512i</v>
      </c>
      <c r="AK138" s="98">
        <f t="shared" si="90"/>
        <v>1.0000030039215728</v>
      </c>
      <c r="AL138" s="98">
        <f t="shared" si="91"/>
        <v>2.4510871274693587E-3</v>
      </c>
      <c r="AM138" s="98" t="str">
        <f t="shared" si="75"/>
        <v>1+0.247560295641171i</v>
      </c>
      <c r="AN138" s="98">
        <f t="shared" si="92"/>
        <v>1.0301874101239754</v>
      </c>
      <c r="AO138" s="98">
        <f t="shared" si="93"/>
        <v>0.24268115594973061</v>
      </c>
      <c r="AP138" s="168" t="str">
        <f t="shared" si="94"/>
        <v>-0.904267657766914+3.69148260369669i</v>
      </c>
      <c r="AQ138" s="98">
        <f t="shared" si="95"/>
        <v>11.597098436693816</v>
      </c>
      <c r="AR138" s="169">
        <f t="shared" si="96"/>
        <v>103.76416905565284</v>
      </c>
      <c r="AS138" s="168" t="str">
        <f t="shared" si="97"/>
        <v>0.141896584561702+25.4010763733059i</v>
      </c>
      <c r="AT138" s="190">
        <f t="shared" si="98"/>
        <v>28.097177929994096</v>
      </c>
      <c r="AU138" s="169">
        <f t="shared" si="99"/>
        <v>89.679935183239337</v>
      </c>
      <c r="AV138" s="225"/>
      <c r="AX138">
        <f t="shared" si="100"/>
        <v>0</v>
      </c>
      <c r="AY138">
        <f t="shared" si="101"/>
        <v>0</v>
      </c>
    </row>
    <row r="139" spans="14:51" x14ac:dyDescent="0.2">
      <c r="N139" s="170">
        <v>21</v>
      </c>
      <c r="O139" s="199">
        <f t="shared" si="102"/>
        <v>162.18100973589304</v>
      </c>
      <c r="P139" s="189" t="str">
        <f t="shared" si="67"/>
        <v>6.8875</v>
      </c>
      <c r="Q139" s="160" t="str">
        <f t="shared" si="68"/>
        <v>1+0.254753334369027i</v>
      </c>
      <c r="R139" s="160">
        <f t="shared" si="77"/>
        <v>1.0319395628485892</v>
      </c>
      <c r="S139" s="160">
        <f t="shared" si="78"/>
        <v>0.24944736187880839</v>
      </c>
      <c r="T139" s="160" t="str">
        <f t="shared" si="69"/>
        <v>1+0.000407605334990444i</v>
      </c>
      <c r="U139" s="160">
        <f t="shared" si="79"/>
        <v>1.0000000830710511</v>
      </c>
      <c r="V139" s="160">
        <f t="shared" si="80"/>
        <v>4.076053124169762E-4</v>
      </c>
      <c r="W139" s="98" t="str">
        <f t="shared" si="70"/>
        <v>1-0.00105853186025912i</v>
      </c>
      <c r="X139" s="160">
        <f t="shared" si="81"/>
        <v>1.0000005602446926</v>
      </c>
      <c r="Y139" s="160">
        <f t="shared" si="82"/>
        <v>-1.0585314649013706E-3</v>
      </c>
      <c r="Z139" s="98" t="str">
        <f t="shared" si="71"/>
        <v>0.9999994565562+0.00121339939535729i</v>
      </c>
      <c r="AA139" s="160">
        <f t="shared" si="83"/>
        <v>1.0000001927253754</v>
      </c>
      <c r="AB139" s="160">
        <f t="shared" si="84"/>
        <v>1.213399459260198E-3</v>
      </c>
      <c r="AC139" s="171" t="str">
        <f t="shared" si="85"/>
        <v>6.4646677982083-1.65973621818002i</v>
      </c>
      <c r="AD139" s="190">
        <f t="shared" si="86"/>
        <v>16.488150892939856</v>
      </c>
      <c r="AE139" s="169">
        <f t="shared" si="87"/>
        <v>-14.399099035519377</v>
      </c>
      <c r="AF139" s="98" t="str">
        <f t="shared" si="72"/>
        <v>-0.0000816326530612245</v>
      </c>
      <c r="AG139" s="98" t="str">
        <f t="shared" si="73"/>
        <v>0.0000226424763587192i</v>
      </c>
      <c r="AH139" s="98">
        <f t="shared" si="88"/>
        <v>2.2642476358719198E-5</v>
      </c>
      <c r="AI139" s="98">
        <f t="shared" si="89"/>
        <v>1.5707963267948966</v>
      </c>
      <c r="AJ139" s="98" t="str">
        <f t="shared" si="74"/>
        <v>1+0.00250818530392635i</v>
      </c>
      <c r="AK139" s="98">
        <f t="shared" si="90"/>
        <v>1.0000031454918124</v>
      </c>
      <c r="AL139" s="98">
        <f t="shared" si="91"/>
        <v>2.5081800442870389E-3</v>
      </c>
      <c r="AM139" s="98" t="str">
        <f t="shared" si="75"/>
        <v>1+0.253326715696561i</v>
      </c>
      <c r="AN139" s="98">
        <f t="shared" si="92"/>
        <v>1.0315883020302268</v>
      </c>
      <c r="AO139" s="98">
        <f t="shared" si="93"/>
        <v>0.24810723054246916</v>
      </c>
      <c r="AP139" s="168" t="str">
        <f t="shared" si="94"/>
        <v>-0.904267401732955+3.60755628020478i</v>
      </c>
      <c r="AQ139" s="98">
        <f t="shared" si="95"/>
        <v>11.408900619299921</v>
      </c>
      <c r="AR139" s="169">
        <f t="shared" si="96"/>
        <v>104.07178904596614</v>
      </c>
      <c r="AS139" s="168" t="str">
        <f t="shared" si="97"/>
        <v>0.14180346442614+24.8224982724397i</v>
      </c>
      <c r="AT139" s="190">
        <f t="shared" si="98"/>
        <v>27.897051512239777</v>
      </c>
      <c r="AU139" s="169">
        <f t="shared" si="99"/>
        <v>89.672690010446772</v>
      </c>
      <c r="AV139" s="225"/>
      <c r="AX139">
        <f t="shared" si="100"/>
        <v>0</v>
      </c>
      <c r="AY139">
        <f t="shared" si="101"/>
        <v>0</v>
      </c>
    </row>
    <row r="140" spans="14:51" x14ac:dyDescent="0.2">
      <c r="N140" s="170">
        <v>22</v>
      </c>
      <c r="O140" s="199">
        <f t="shared" si="102"/>
        <v>165.95869074375622</v>
      </c>
      <c r="P140" s="189" t="str">
        <f t="shared" si="67"/>
        <v>6.8875</v>
      </c>
      <c r="Q140" s="160" t="str">
        <f t="shared" si="68"/>
        <v>1+0.260687301819983i</v>
      </c>
      <c r="R140" s="160">
        <f t="shared" si="77"/>
        <v>1.0334204707330812</v>
      </c>
      <c r="S140" s="160">
        <f t="shared" si="78"/>
        <v>0.25501173287084278</v>
      </c>
      <c r="T140" s="160" t="str">
        <f t="shared" si="69"/>
        <v>1+0.000417099682911972i</v>
      </c>
      <c r="U140" s="160">
        <f t="shared" si="79"/>
        <v>1.000000086986069</v>
      </c>
      <c r="V140" s="160">
        <f t="shared" si="80"/>
        <v>4.1709965872406562E-4</v>
      </c>
      <c r="W140" s="98" t="str">
        <f t="shared" si="70"/>
        <v>1-0.00108318823470907i</v>
      </c>
      <c r="X140" s="160">
        <f t="shared" si="81"/>
        <v>1.0000005866482038</v>
      </c>
      <c r="Y140" s="160">
        <f t="shared" si="82"/>
        <v>-1.0831878110756225E-3</v>
      </c>
      <c r="Z140" s="98" t="str">
        <f t="shared" si="71"/>
        <v>0.999999430944483+0.00124166309810683i</v>
      </c>
      <c r="AA140" s="160">
        <f t="shared" si="83"/>
        <v>1.000000201808249</v>
      </c>
      <c r="AB140" s="160">
        <f t="shared" si="84"/>
        <v>1.241663166580025E-3</v>
      </c>
      <c r="AC140" s="171" t="str">
        <f t="shared" si="85"/>
        <v>6.44600838451382-1.69353216870633i</v>
      </c>
      <c r="AD140" s="190">
        <f t="shared" si="86"/>
        <v>16.475695133202287</v>
      </c>
      <c r="AE140" s="169">
        <f t="shared" si="87"/>
        <v>-14.72040211875208</v>
      </c>
      <c r="AF140" s="98" t="str">
        <f t="shared" si="72"/>
        <v>-0.0000816326530612245</v>
      </c>
      <c r="AG140" s="98" t="str">
        <f t="shared" si="73"/>
        <v>0.00002316988738576i</v>
      </c>
      <c r="AH140" s="98">
        <f t="shared" si="88"/>
        <v>2.3169887385760001E-5</v>
      </c>
      <c r="AI140" s="98">
        <f t="shared" si="89"/>
        <v>1.5707963267948966</v>
      </c>
      <c r="AJ140" s="98" t="str">
        <f t="shared" si="74"/>
        <v>1+0.00256660844484941i</v>
      </c>
      <c r="AK140" s="98">
        <f t="shared" si="90"/>
        <v>1.0000032937340302</v>
      </c>
      <c r="AL140" s="98">
        <f t="shared" si="91"/>
        <v>2.5666028090453527E-3</v>
      </c>
      <c r="AM140" s="98" t="str">
        <f t="shared" si="75"/>
        <v>1+0.259227452929791i</v>
      </c>
      <c r="AN140" s="98">
        <f t="shared" si="92"/>
        <v>1.0330531798278668</v>
      </c>
      <c r="AO140" s="98">
        <f t="shared" si="93"/>
        <v>0.25364429280530704</v>
      </c>
      <c r="AP140" s="168" t="str">
        <f t="shared" si="94"/>
        <v>-0.904267133632653+3.52554273074373i</v>
      </c>
      <c r="AQ140" s="98">
        <f t="shared" si="95"/>
        <v>11.221224734554248</v>
      </c>
      <c r="AR140" s="169">
        <f t="shared" si="96"/>
        <v>104.3856919666798</v>
      </c>
      <c r="AS140" s="168" t="str">
        <f t="shared" si="97"/>
        <v>0.141706501426906+24.2570834822466i</v>
      </c>
      <c r="AT140" s="190">
        <f t="shared" si="98"/>
        <v>27.696919867756534</v>
      </c>
      <c r="AU140" s="169">
        <f t="shared" si="99"/>
        <v>89.665289847927724</v>
      </c>
      <c r="AV140" s="225"/>
      <c r="AX140">
        <f t="shared" si="100"/>
        <v>0</v>
      </c>
      <c r="AY140">
        <f t="shared" si="101"/>
        <v>0</v>
      </c>
    </row>
    <row r="141" spans="14:51" x14ac:dyDescent="0.2">
      <c r="N141" s="170">
        <v>23</v>
      </c>
      <c r="O141" s="199">
        <f t="shared" si="102"/>
        <v>169.82436524617444</v>
      </c>
      <c r="P141" s="189" t="str">
        <f t="shared" si="67"/>
        <v>6.8875</v>
      </c>
      <c r="Q141" s="160" t="str">
        <f t="shared" si="68"/>
        <v>1+0.266759489128965i</v>
      </c>
      <c r="R141" s="160">
        <f t="shared" si="77"/>
        <v>1.034968900518439</v>
      </c>
      <c r="S141" s="160">
        <f t="shared" si="78"/>
        <v>0.26068904971969148</v>
      </c>
      <c r="T141" s="160" t="str">
        <f t="shared" si="69"/>
        <v>1+0.000426815182606344i</v>
      </c>
      <c r="U141" s="160">
        <f t="shared" si="79"/>
        <v>1.000000091085596</v>
      </c>
      <c r="V141" s="160">
        <f t="shared" si="80"/>
        <v>4.2681515668853545E-4</v>
      </c>
      <c r="W141" s="98" t="str">
        <f t="shared" si="70"/>
        <v>1-0.00110841892989875i</v>
      </c>
      <c r="X141" s="160">
        <f t="shared" si="81"/>
        <v>1.0000006142960733</v>
      </c>
      <c r="Y141" s="160">
        <f t="shared" si="82"/>
        <v>-1.1084184759673475E-3</v>
      </c>
      <c r="Z141" s="98" t="str">
        <f t="shared" si="71"/>
        <v>0.999999404125723+0.00127058514706632i</v>
      </c>
      <c r="AA141" s="160">
        <f t="shared" si="83"/>
        <v>1.0000002113191861</v>
      </c>
      <c r="AB141" s="160">
        <f t="shared" si="84"/>
        <v>1.2705852204366651E-3</v>
      </c>
      <c r="AC141" s="171" t="str">
        <f t="shared" si="85"/>
        <v>6.42658379190276-1.72779790584242i</v>
      </c>
      <c r="AD141" s="190">
        <f t="shared" si="86"/>
        <v>16.462690528576534</v>
      </c>
      <c r="AE141" s="169">
        <f t="shared" si="87"/>
        <v>-15.048234478353901</v>
      </c>
      <c r="AF141" s="98" t="str">
        <f t="shared" si="72"/>
        <v>-0.0000816326530612245</v>
      </c>
      <c r="AG141" s="98" t="str">
        <f t="shared" si="73"/>
        <v>0.0000237095833937825i</v>
      </c>
      <c r="AH141" s="98">
        <f t="shared" si="88"/>
        <v>2.3709583393782501E-5</v>
      </c>
      <c r="AI141" s="98">
        <f t="shared" si="89"/>
        <v>1.5707963267948966</v>
      </c>
      <c r="AJ141" s="98" t="str">
        <f t="shared" si="74"/>
        <v>1+0.002626392435543i</v>
      </c>
      <c r="AK141" s="98">
        <f t="shared" si="90"/>
        <v>1.000003448962665</v>
      </c>
      <c r="AL141" s="98">
        <f t="shared" si="91"/>
        <v>2.6263863966712771E-3</v>
      </c>
      <c r="AM141" s="98" t="str">
        <f t="shared" si="75"/>
        <v>1+0.265265635989843i</v>
      </c>
      <c r="AN141" s="98">
        <f t="shared" si="92"/>
        <v>1.0345848721284763</v>
      </c>
      <c r="AO141" s="98">
        <f t="shared" si="93"/>
        <v>0.2592939199011402</v>
      </c>
      <c r="AP141" s="168" t="str">
        <f t="shared" si="94"/>
        <v>-0.904266852897331+3.44539847063972i</v>
      </c>
      <c r="AQ141" s="98">
        <f t="shared" si="95"/>
        <v>11.034092285343789</v>
      </c>
      <c r="AR141" s="169">
        <f t="shared" si="96"/>
        <v>104.70596640783864</v>
      </c>
      <c r="AS141" s="168" t="str">
        <f t="shared" si="97"/>
        <v>0.141605561979079+23.7045323428185i</v>
      </c>
      <c r="AT141" s="190">
        <f t="shared" si="98"/>
        <v>27.496782813920319</v>
      </c>
      <c r="AU141" s="169">
        <f t="shared" si="99"/>
        <v>89.657731929484754</v>
      </c>
      <c r="AV141" s="225"/>
      <c r="AX141">
        <f t="shared" si="100"/>
        <v>0</v>
      </c>
      <c r="AY141">
        <f t="shared" si="101"/>
        <v>0</v>
      </c>
    </row>
    <row r="142" spans="14:51" x14ac:dyDescent="0.2">
      <c r="N142" s="170">
        <v>24</v>
      </c>
      <c r="O142" s="199">
        <f t="shared" si="102"/>
        <v>173.78008287493768</v>
      </c>
      <c r="P142" s="189" t="str">
        <f t="shared" si="67"/>
        <v>6.8875</v>
      </c>
      <c r="Q142" s="160" t="str">
        <f t="shared" si="68"/>
        <v>1+0.272973115850065i</v>
      </c>
      <c r="R142" s="160">
        <f t="shared" si="77"/>
        <v>1.0365878264657042</v>
      </c>
      <c r="S142" s="160">
        <f t="shared" si="78"/>
        <v>0.26648085808209748</v>
      </c>
      <c r="T142" s="160" t="str">
        <f t="shared" si="69"/>
        <v>1+0.000436756985360104i</v>
      </c>
      <c r="U142" s="160">
        <f t="shared" si="79"/>
        <v>1.0000000953783277</v>
      </c>
      <c r="V142" s="160">
        <f t="shared" si="80"/>
        <v>4.3675695758867199E-4</v>
      </c>
      <c r="W142" s="98" t="str">
        <f t="shared" si="70"/>
        <v>1-0.00113423732347672i</v>
      </c>
      <c r="X142" s="160">
        <f t="shared" si="81"/>
        <v>1.0000006432469462</v>
      </c>
      <c r="Y142" s="160">
        <f t="shared" si="82"/>
        <v>-1.134236837080476E-3</v>
      </c>
      <c r="Z142" s="98" t="str">
        <f t="shared" si="71"/>
        <v>0.999999376043033+0.00130018087708898i</v>
      </c>
      <c r="AA142" s="160">
        <f t="shared" si="83"/>
        <v>1.0000002212783599</v>
      </c>
      <c r="AB142" s="160">
        <f t="shared" si="84"/>
        <v>1.3001809557067162E-3</v>
      </c>
      <c r="AC142" s="171" t="str">
        <f t="shared" si="85"/>
        <v>6.40636785698282-1.7625250821717i</v>
      </c>
      <c r="AD142" s="190">
        <f t="shared" si="86"/>
        <v>16.449114645948914</v>
      </c>
      <c r="AE142" s="169">
        <f t="shared" si="87"/>
        <v>-15.382686023884293</v>
      </c>
      <c r="AF142" s="98" t="str">
        <f t="shared" si="72"/>
        <v>-0.0000816326530612245</v>
      </c>
      <c r="AG142" s="98" t="str">
        <f t="shared" si="73"/>
        <v>0.0000242618505367538i</v>
      </c>
      <c r="AH142" s="98">
        <f t="shared" si="88"/>
        <v>2.42618505367538E-5</v>
      </c>
      <c r="AI142" s="98">
        <f t="shared" si="89"/>
        <v>1.5707963267948966</v>
      </c>
      <c r="AJ142" s="98" t="str">
        <f t="shared" si="74"/>
        <v>1+0.00268756897427034i</v>
      </c>
      <c r="AK142" s="98">
        <f t="shared" si="90"/>
        <v>1.0000036115069741</v>
      </c>
      <c r="AL142" s="98">
        <f t="shared" si="91"/>
        <v>2.6875625035039691E-3</v>
      </c>
      <c r="AM142" s="98" t="str">
        <f t="shared" si="75"/>
        <v>1+0.271444466401305i</v>
      </c>
      <c r="AN142" s="98">
        <f t="shared" si="92"/>
        <v>1.0361863241424725</v>
      </c>
      <c r="AO142" s="98">
        <f t="shared" si="93"/>
        <v>0.26505766412733905</v>
      </c>
      <c r="AP142" s="168" t="str">
        <f t="shared" si="94"/>
        <v>-0.904266558931559+3.36708100634056i</v>
      </c>
      <c r="AQ142" s="98">
        <f t="shared" si="95"/>
        <v>10.847525518775601</v>
      </c>
      <c r="AR142" s="169">
        <f t="shared" si="96"/>
        <v>105.03269949346425</v>
      </c>
      <c r="AS142" s="168" t="str">
        <f t="shared" si="97"/>
        <v>0.141500510095565+23.1645520219635i</v>
      </c>
      <c r="AT142" s="190">
        <f t="shared" si="98"/>
        <v>27.296640164724515</v>
      </c>
      <c r="AU142" s="169">
        <f t="shared" si="99"/>
        <v>89.650013469579946</v>
      </c>
      <c r="AV142" s="225"/>
      <c r="AX142">
        <f t="shared" si="100"/>
        <v>0</v>
      </c>
      <c r="AY142">
        <f t="shared" si="101"/>
        <v>0</v>
      </c>
    </row>
    <row r="143" spans="14:51" x14ac:dyDescent="0.2">
      <c r="N143" s="170">
        <v>25</v>
      </c>
      <c r="O143" s="199">
        <f t="shared" si="102"/>
        <v>177.82794100389242</v>
      </c>
      <c r="P143" s="189" t="str">
        <f t="shared" si="67"/>
        <v>6.8875</v>
      </c>
      <c r="Q143" s="160" t="str">
        <f t="shared" si="68"/>
        <v>1+0.279331476530415i</v>
      </c>
      <c r="R143" s="160">
        <f t="shared" si="77"/>
        <v>1.0382803445027078</v>
      </c>
      <c r="S143" s="160">
        <f t="shared" si="78"/>
        <v>0.27238867392772576</v>
      </c>
      <c r="T143" s="160" t="str">
        <f t="shared" si="69"/>
        <v>1+0.000446930362448664i</v>
      </c>
      <c r="U143" s="160">
        <f t="shared" si="79"/>
        <v>1.0000000998733696</v>
      </c>
      <c r="V143" s="160">
        <f t="shared" si="80"/>
        <v>4.4693033269103862E-4</v>
      </c>
      <c r="W143" s="98" t="str">
        <f t="shared" si="70"/>
        <v>1-0.00116065710469701i</v>
      </c>
      <c r="X143" s="160">
        <f t="shared" si="81"/>
        <v>1.0000006735622304</v>
      </c>
      <c r="Y143" s="160">
        <f t="shared" si="82"/>
        <v>-1.1606565835140636E-3</v>
      </c>
      <c r="Z143" s="98" t="str">
        <f t="shared" si="71"/>
        <v>0.999999346636847+0.0013304659802226i</v>
      </c>
      <c r="AA143" s="160">
        <f t="shared" si="83"/>
        <v>1.0000002317068959</v>
      </c>
      <c r="AB143" s="160">
        <f t="shared" si="84"/>
        <v>1.3304660644630163E-3</v>
      </c>
      <c r="AC143" s="171" t="str">
        <f t="shared" si="85"/>
        <v>6.38533398794209-1.7977041433848i</v>
      </c>
      <c r="AD143" s="190">
        <f t="shared" si="86"/>
        <v>16.434944291763344</v>
      </c>
      <c r="AE143" s="169">
        <f t="shared" si="87"/>
        <v>-15.723844995402777</v>
      </c>
      <c r="AF143" s="98" t="str">
        <f t="shared" si="72"/>
        <v>-0.0000816326530612245</v>
      </c>
      <c r="AG143" s="98" t="str">
        <f t="shared" si="73"/>
        <v>0.0000248269816340232i</v>
      </c>
      <c r="AH143" s="98">
        <f t="shared" si="88"/>
        <v>2.4826981634023202E-5</v>
      </c>
      <c r="AI143" s="98">
        <f t="shared" si="89"/>
        <v>1.5707963267948966</v>
      </c>
      <c r="AJ143" s="98" t="str">
        <f t="shared" si="74"/>
        <v>1+0.00275017049764203i</v>
      </c>
      <c r="AK143" s="98">
        <f t="shared" si="90"/>
        <v>1.0000037817117324</v>
      </c>
      <c r="AL143" s="98">
        <f t="shared" si="91"/>
        <v>2.75016356409236E-3</v>
      </c>
      <c r="AM143" s="98" t="str">
        <f t="shared" si="75"/>
        <v>1+0.277767220261845i</v>
      </c>
      <c r="AN143" s="98">
        <f t="shared" si="92"/>
        <v>1.037860601743795</v>
      </c>
      <c r="AO143" s="98">
        <f t="shared" si="93"/>
        <v>0.27093704906485311</v>
      </c>
      <c r="AP143" s="168" t="str">
        <f t="shared" si="94"/>
        <v>-0.904266251111812+3.29054881288508i</v>
      </c>
      <c r="AQ143" s="98">
        <f t="shared" si="95"/>
        <v>10.661547439241534</v>
      </c>
      <c r="AR143" s="169">
        <f t="shared" si="96"/>
        <v>105.3659766599518</v>
      </c>
      <c r="AS143" s="168" t="str">
        <f t="shared" si="97"/>
        <v>0.141391207560213+22.6368563602443i</v>
      </c>
      <c r="AT143" s="190">
        <f t="shared" si="98"/>
        <v>27.096491731004868</v>
      </c>
      <c r="AU143" s="169">
        <f t="shared" si="99"/>
        <v>89.642131664549041</v>
      </c>
      <c r="AV143" s="225"/>
      <c r="AX143">
        <f t="shared" si="100"/>
        <v>0</v>
      </c>
      <c r="AY143">
        <f t="shared" si="101"/>
        <v>0</v>
      </c>
    </row>
    <row r="144" spans="14:51" x14ac:dyDescent="0.2">
      <c r="N144" s="170">
        <v>26</v>
      </c>
      <c r="O144" s="199">
        <f t="shared" si="102"/>
        <v>181.9700858609983</v>
      </c>
      <c r="P144" s="189" t="str">
        <f t="shared" si="67"/>
        <v>6.8875</v>
      </c>
      <c r="Q144" s="160" t="str">
        <f t="shared" si="68"/>
        <v>1+0.285837942457007i</v>
      </c>
      <c r="R144" s="160">
        <f t="shared" si="77"/>
        <v>1.0400496763847653</v>
      </c>
      <c r="S144" s="160">
        <f t="shared" si="78"/>
        <v>0.2784139794288108</v>
      </c>
      <c r="T144" s="160" t="str">
        <f t="shared" si="69"/>
        <v>1+0.000457340707931212i</v>
      </c>
      <c r="U144" s="160">
        <f t="shared" si="79"/>
        <v>1.000000104580256</v>
      </c>
      <c r="V144" s="160">
        <f t="shared" si="80"/>
        <v>4.5734067604534208E-4</v>
      </c>
      <c r="W144" s="98" t="str">
        <f t="shared" si="70"/>
        <v>1-0.00118769228167732i</v>
      </c>
      <c r="X144" s="160">
        <f t="shared" si="81"/>
        <v>1.0000007053062292</v>
      </c>
      <c r="Y144" s="160">
        <f t="shared" si="82"/>
        <v>-1.1876917232197526E-3</v>
      </c>
      <c r="Z144" s="98" t="str">
        <f t="shared" si="71"/>
        <v>0.99999931584479+0.00136145651402973i</v>
      </c>
      <c r="AA144" s="160">
        <f t="shared" si="83"/>
        <v>1.0000002426269143</v>
      </c>
      <c r="AB144" s="160">
        <f t="shared" si="84"/>
        <v>1.3614566042949559E-3</v>
      </c>
      <c r="AC144" s="171" t="str">
        <f t="shared" si="85"/>
        <v>6.36345520258753-1.83332426489022i</v>
      </c>
      <c r="AD144" s="190">
        <f t="shared" si="86"/>
        <v>16.420155500208924</v>
      </c>
      <c r="AE144" s="169">
        <f t="shared" si="87"/>
        <v>-16.071797728695383</v>
      </c>
      <c r="AF144" s="98" t="str">
        <f t="shared" si="72"/>
        <v>-0.0000816326530612245</v>
      </c>
      <c r="AG144" s="98" t="str">
        <f t="shared" si="73"/>
        <v>0.0000254052763255789i</v>
      </c>
      <c r="AH144" s="98">
        <f t="shared" si="88"/>
        <v>2.5405276325578899E-5</v>
      </c>
      <c r="AI144" s="98">
        <f t="shared" si="89"/>
        <v>1.5707963267948966</v>
      </c>
      <c r="AJ144" s="98" t="str">
        <f t="shared" si="74"/>
        <v>1+0.00281423019781434i</v>
      </c>
      <c r="AK144" s="98">
        <f t="shared" si="90"/>
        <v>1.0000039599379626</v>
      </c>
      <c r="AL144" s="98">
        <f t="shared" si="91"/>
        <v>2.8142227683836036E-3</v>
      </c>
      <c r="AM144" s="98" t="str">
        <f t="shared" si="75"/>
        <v>1+0.284237249979248i</v>
      </c>
      <c r="AN144" s="98">
        <f t="shared" si="92"/>
        <v>1.0396108956122792</v>
      </c>
      <c r="AO144" s="98">
        <f t="shared" si="93"/>
        <v>0.27693356551908882</v>
      </c>
      <c r="AP144" s="168" t="str">
        <f t="shared" si="94"/>
        <v>-0.904265928785184+3.21576131188594i</v>
      </c>
      <c r="AQ144" s="98">
        <f t="shared" si="95"/>
        <v>10.476181820488344</v>
      </c>
      <c r="AR144" s="169">
        <f t="shared" si="96"/>
        <v>105.70588142251547</v>
      </c>
      <c r="AS144" s="168" t="str">
        <f t="shared" si="97"/>
        <v>0.141277514124976+22.1211657195557i</v>
      </c>
      <c r="AT144" s="190">
        <f t="shared" si="98"/>
        <v>26.896337320697285</v>
      </c>
      <c r="AU144" s="169">
        <f t="shared" si="99"/>
        <v>89.634083693820088</v>
      </c>
      <c r="AV144" s="225"/>
      <c r="AX144">
        <f t="shared" si="100"/>
        <v>0</v>
      </c>
      <c r="AY144">
        <f t="shared" si="101"/>
        <v>0</v>
      </c>
    </row>
    <row r="145" spans="14:51" x14ac:dyDescent="0.2">
      <c r="N145" s="170">
        <v>27</v>
      </c>
      <c r="O145" s="199">
        <f t="shared" si="102"/>
        <v>186.20871366628685</v>
      </c>
      <c r="P145" s="189" t="str">
        <f t="shared" si="67"/>
        <v>6.8875</v>
      </c>
      <c r="Q145" s="160" t="str">
        <f t="shared" si="68"/>
        <v>1+0.292495963444205i</v>
      </c>
      <c r="R145" s="160">
        <f t="shared" si="77"/>
        <v>1.0418991739276664</v>
      </c>
      <c r="S145" s="160">
        <f t="shared" si="78"/>
        <v>0.28455821863832859</v>
      </c>
      <c r="T145" s="160" t="str">
        <f t="shared" si="69"/>
        <v>1+0.000467993541510728i</v>
      </c>
      <c r="U145" s="160">
        <f t="shared" si="79"/>
        <v>1.0000001095089714</v>
      </c>
      <c r="V145" s="160">
        <f t="shared" si="80"/>
        <v>4.6799350734440302E-4</v>
      </c>
      <c r="W145" s="98" t="str">
        <f t="shared" si="70"/>
        <v>1-0.00121535718882634i</v>
      </c>
      <c r="X145" s="160">
        <f t="shared" si="81"/>
        <v>1.0000007385462755</v>
      </c>
      <c r="Y145" s="160">
        <f t="shared" si="82"/>
        <v>-1.2153565904282993E-3</v>
      </c>
      <c r="Z145" s="98" t="str">
        <f t="shared" si="71"/>
        <v>0.999999283601549+0.0013931689101016i</v>
      </c>
      <c r="AA145" s="160">
        <f t="shared" si="83"/>
        <v>1.0000002540615793</v>
      </c>
      <c r="AB145" s="160">
        <f t="shared" si="84"/>
        <v>1.3931690068225233E-3</v>
      </c>
      <c r="AC145" s="171" t="str">
        <f t="shared" si="85"/>
        <v>6.3407041714328-1.86937328780598i</v>
      </c>
      <c r="AD145" s="190">
        <f t="shared" si="86"/>
        <v>16.404723522575956</v>
      </c>
      <c r="AE145" s="169">
        <f t="shared" si="87"/>
        <v>-16.426628408401122</v>
      </c>
      <c r="AF145" s="98" t="str">
        <f t="shared" si="72"/>
        <v>-0.0000816326530612245</v>
      </c>
      <c r="AG145" s="98" t="str">
        <f t="shared" si="73"/>
        <v>0.000025997041230921i</v>
      </c>
      <c r="AH145" s="98">
        <f t="shared" si="88"/>
        <v>2.5997041230920999E-5</v>
      </c>
      <c r="AI145" s="98">
        <f t="shared" si="89"/>
        <v>1.5707963267948966</v>
      </c>
      <c r="AJ145" s="98" t="str">
        <f t="shared" si="74"/>
        <v>1+0.00287978204008829i</v>
      </c>
      <c r="AK145" s="98">
        <f t="shared" si="90"/>
        <v>1.0000041465637022</v>
      </c>
      <c r="AL145" s="98">
        <f t="shared" si="91"/>
        <v>2.8797740793116118E-3</v>
      </c>
      <c r="AM145" s="98" t="str">
        <f t="shared" si="75"/>
        <v>1+0.290857986048918i</v>
      </c>
      <c r="AN145" s="98">
        <f t="shared" si="92"/>
        <v>1.041440525449453</v>
      </c>
      <c r="AO145" s="98">
        <f t="shared" si="93"/>
        <v>0.28304866724984157</v>
      </c>
      <c r="AP145" s="168" t="str">
        <f t="shared" si="94"/>
        <v>-0.904265591268017+3.14267885001446i</v>
      </c>
      <c r="AQ145" s="98">
        <f t="shared" si="95"/>
        <v>10.291453216554462</v>
      </c>
      <c r="AR145" s="169">
        <f t="shared" si="96"/>
        <v>106.05249512952297</v>
      </c>
      <c r="AS145" s="168" t="str">
        <f t="shared" si="97"/>
        <v>0.141159287733585+21.6172068351588i</v>
      </c>
      <c r="AT145" s="190">
        <f t="shared" si="98"/>
        <v>26.696176739130408</v>
      </c>
      <c r="AU145" s="169">
        <f t="shared" si="99"/>
        <v>89.625866721121838</v>
      </c>
      <c r="AV145" s="225"/>
      <c r="AX145">
        <f t="shared" si="100"/>
        <v>0</v>
      </c>
      <c r="AY145">
        <f t="shared" si="101"/>
        <v>0</v>
      </c>
    </row>
    <row r="146" spans="14:51" x14ac:dyDescent="0.2">
      <c r="N146" s="170">
        <v>28</v>
      </c>
      <c r="O146" s="199">
        <f t="shared" si="102"/>
        <v>190.54607179632498</v>
      </c>
      <c r="P146" s="189" t="str">
        <f t="shared" si="67"/>
        <v>6.8875</v>
      </c>
      <c r="Q146" s="160" t="str">
        <f t="shared" si="68"/>
        <v>1+0.299309069662865i</v>
      </c>
      <c r="R146" s="160">
        <f t="shared" si="77"/>
        <v>1.043832323307939</v>
      </c>
      <c r="S146" s="160">
        <f t="shared" si="78"/>
        <v>0.29082279295509117</v>
      </c>
      <c r="T146" s="160" t="str">
        <f t="shared" si="69"/>
        <v>1+0.000478894511460584i</v>
      </c>
      <c r="U146" s="160">
        <f t="shared" si="79"/>
        <v>1.00000011466997</v>
      </c>
      <c r="V146" s="160">
        <f t="shared" si="80"/>
        <v>4.7889447485070742E-4</v>
      </c>
      <c r="W146" s="98" t="str">
        <f t="shared" si="70"/>
        <v>1-0.00124366649444404i</v>
      </c>
      <c r="X146" s="160">
        <f t="shared" si="81"/>
        <v>1.0000007733528757</v>
      </c>
      <c r="Y146" s="160">
        <f t="shared" si="82"/>
        <v>-1.2436658532490139E-3</v>
      </c>
      <c r="Z146" s="98" t="str">
        <f t="shared" si="71"/>
        <v>0.99999924983873+0.0014256199827704i</v>
      </c>
      <c r="AA146" s="160">
        <f t="shared" si="83"/>
        <v>1.0000002660351437</v>
      </c>
      <c r="AB146" s="160">
        <f t="shared" si="84"/>
        <v>1.4256200864087279E-3</v>
      </c>
      <c r="AC146" s="171" t="str">
        <f t="shared" si="85"/>
        <v>6.3170532661261-1.90583765462876i</v>
      </c>
      <c r="AD146" s="190">
        <f t="shared" si="86"/>
        <v>16.388622817930646</v>
      </c>
      <c r="AE146" s="169">
        <f t="shared" si="87"/>
        <v>-16.788418808948599</v>
      </c>
      <c r="AF146" s="98" t="str">
        <f t="shared" si="72"/>
        <v>-0.0000816326530612245</v>
      </c>
      <c r="AG146" s="98" t="str">
        <f t="shared" si="73"/>
        <v>0.0000266025901116353i</v>
      </c>
      <c r="AH146" s="98">
        <f t="shared" si="88"/>
        <v>2.6602590111635301E-5</v>
      </c>
      <c r="AI146" s="98">
        <f t="shared" si="89"/>
        <v>1.5707963267948966</v>
      </c>
      <c r="AJ146" s="98" t="str">
        <f t="shared" si="74"/>
        <v>1+0.00294686078091835i</v>
      </c>
      <c r="AK146" s="98">
        <f t="shared" si="90"/>
        <v>1.0000043419848046</v>
      </c>
      <c r="AL146" s="98">
        <f t="shared" si="91"/>
        <v>2.9468522507944549E-3</v>
      </c>
      <c r="AM146" s="98" t="str">
        <f t="shared" si="75"/>
        <v>1+0.297632938872753i</v>
      </c>
      <c r="AN146" s="98">
        <f t="shared" si="92"/>
        <v>1.0433529442628855</v>
      </c>
      <c r="AO146" s="98">
        <f t="shared" si="93"/>
        <v>0.28928376648843929</v>
      </c>
      <c r="AP146" s="168" t="str">
        <f t="shared" si="94"/>
        <v>-0.904265237844433+3.07126267797589i</v>
      </c>
      <c r="AQ146" s="98">
        <f t="shared" si="95"/>
        <v>10.107386971425317</v>
      </c>
      <c r="AR146" s="169">
        <f t="shared" si="96"/>
        <v>106.40589670461642</v>
      </c>
      <c r="AS146" s="168" t="str">
        <f t="shared" si="97"/>
        <v>0.141036384772944+21.1247126710945i</v>
      </c>
      <c r="AT146" s="190">
        <f t="shared" si="98"/>
        <v>26.496009789355949</v>
      </c>
      <c r="AU146" s="169">
        <f t="shared" si="99"/>
        <v>89.617477895667832</v>
      </c>
      <c r="AV146" s="225"/>
      <c r="AX146">
        <f t="shared" si="100"/>
        <v>0</v>
      </c>
      <c r="AY146">
        <f t="shared" si="101"/>
        <v>0</v>
      </c>
    </row>
    <row r="147" spans="14:51" x14ac:dyDescent="0.2">
      <c r="N147" s="170">
        <v>29</v>
      </c>
      <c r="O147" s="199">
        <f t="shared" si="102"/>
        <v>194.98445997580458</v>
      </c>
      <c r="P147" s="189" t="str">
        <f t="shared" ref="P147:P210" si="103">COMPLEX(Adc,0)</f>
        <v>6.8875</v>
      </c>
      <c r="Q147" s="160" t="str">
        <f t="shared" ref="Q147:Q210" si="104">IMSUM(COMPLEX(1,0),IMDIV(COMPLEX(0,2*PI()*O147),COMPLEX(wp_lf,0)))</f>
        <v>1+0.30628087351208i</v>
      </c>
      <c r="R147" s="160">
        <f t="shared" si="77"/>
        <v>1.0458527494247565</v>
      </c>
      <c r="S147" s="160">
        <f t="shared" si="78"/>
        <v>0.29720905637528133</v>
      </c>
      <c r="T147" s="160" t="str">
        <f t="shared" ref="T147:T210" si="105">IMSUM(COMPLEX(1,0),IMDIV(COMPLEX(0,2*PI()*O147),COMPLEX(wz_esr,0)))</f>
        <v>1+0.000490049397619328i</v>
      </c>
      <c r="U147" s="160">
        <f t="shared" si="79"/>
        <v>1.0000001200741988</v>
      </c>
      <c r="V147" s="160">
        <f t="shared" si="80"/>
        <v>4.900493583911387E-4</v>
      </c>
      <c r="W147" s="98" t="str">
        <f t="shared" ref="W147:W210" si="106">IMSUB(COMPLEX(1,0),IMDIV(COMPLEX(0,2*PI()*O147),COMPLEX(wz_rhp,0)))</f>
        <v>1-0.00127263520849895i</v>
      </c>
      <c r="X147" s="160">
        <f t="shared" si="81"/>
        <v>1.0000008097998589</v>
      </c>
      <c r="Y147" s="160">
        <f t="shared" si="82"/>
        <v>-1.272634521446131E-3</v>
      </c>
      <c r="Z147" s="98" t="str">
        <f t="shared" ref="Z147:Z210" si="107">IF(Dc_Mode_Loop="CCM",IMSUM(COMPLEX(1,0),IMDIV(COMPLEX(0,2*PI()*O147),COMPLEX(Q*(wsl/2),0)),IMDIV(IMPOWER(COMPLEX(0,2*PI()*O147),2),IMPOWER(COMPLEX(wsl/2,0),2))),COMPLEX(1,0))</f>
        <v>0.999999214484718+0.00145882693802435i</v>
      </c>
      <c r="AA147" s="160">
        <f t="shared" si="83"/>
        <v>1.0000002785730051</v>
      </c>
      <c r="AB147" s="160">
        <f t="shared" si="84"/>
        <v>1.4588270490748102E-3</v>
      </c>
      <c r="AC147" s="171" t="str">
        <f t="shared" si="85"/>
        <v>6.29247461350227-1.94270234491537i</v>
      </c>
      <c r="AD147" s="190">
        <f t="shared" si="86"/>
        <v>16.37182704526597</v>
      </c>
      <c r="AE147" s="169">
        <f t="shared" si="87"/>
        <v>-17.157248023273503</v>
      </c>
      <c r="AF147" s="98" t="str">
        <f t="shared" ref="AF147:AF210" si="108">COMPLEX(Adc_ea,0)</f>
        <v>-0.0000816326530612245</v>
      </c>
      <c r="AG147" s="98" t="str">
        <f t="shared" ref="AG147:AG210" si="109">COMPLEX(0,2*PI()*O147*wp0_ea)</f>
        <v>0.0000272222440377537i</v>
      </c>
      <c r="AH147" s="98">
        <f t="shared" si="88"/>
        <v>2.72222440377537E-5</v>
      </c>
      <c r="AI147" s="98">
        <f t="shared" si="89"/>
        <v>1.5707963267948966</v>
      </c>
      <c r="AJ147" s="98" t="str">
        <f t="shared" ref="AJ147:AJ210" si="110">IMSUM(COMPLEX(1,0),IMDIV(COMPLEX(0,2*PI()*O147),COMPLEX(wp1_ea,0)))</f>
        <v>1+0.00301550198634072i</v>
      </c>
      <c r="AK147" s="98">
        <f t="shared" si="90"/>
        <v>1.000004546615779</v>
      </c>
      <c r="AL147" s="98">
        <f t="shared" si="91"/>
        <v>3.0154928461505349E-3</v>
      </c>
      <c r="AM147" s="98" t="str">
        <f t="shared" ref="AM147:AM210" si="111">IMSUM(COMPLEX(1,0),IMDIV(COMPLEX(0,2*PI()*O147),COMPLEX(wz_ea,0)))</f>
        <v>1+0.304565700620412i</v>
      </c>
      <c r="AN147" s="98">
        <f t="shared" si="92"/>
        <v>1.0453517427136201</v>
      </c>
      <c r="AO147" s="98">
        <f t="shared" si="93"/>
        <v>0.29564022924135741</v>
      </c>
      <c r="AP147" s="168" t="str">
        <f t="shared" si="94"/>
        <v>-0.9042648677648+3.00147492996396i</v>
      </c>
      <c r="AQ147" s="98">
        <f t="shared" si="95"/>
        <v>9.92400922725108</v>
      </c>
      <c r="AR147" s="169">
        <f t="shared" si="96"/>
        <v>106.76616237657369</v>
      </c>
      <c r="AS147" s="168" t="str">
        <f t="shared" si="97"/>
        <v>0.14090866035369+20.643422278893i</v>
      </c>
      <c r="AT147" s="190">
        <f t="shared" si="98"/>
        <v>26.295836272517054</v>
      </c>
      <c r="AU147" s="169">
        <f t="shared" si="99"/>
        <v>89.608914353300207</v>
      </c>
      <c r="AV147" s="225"/>
      <c r="AX147">
        <f t="shared" si="100"/>
        <v>0</v>
      </c>
      <c r="AY147">
        <f t="shared" si="101"/>
        <v>0</v>
      </c>
    </row>
    <row r="148" spans="14:51" x14ac:dyDescent="0.2">
      <c r="N148" s="170">
        <v>30</v>
      </c>
      <c r="O148" s="199">
        <f t="shared" si="102"/>
        <v>199.52623149688802</v>
      </c>
      <c r="P148" s="189" t="str">
        <f t="shared" si="103"/>
        <v>6.8875</v>
      </c>
      <c r="Q148" s="160" t="str">
        <f t="shared" si="104"/>
        <v>1+0.31341507153454i</v>
      </c>
      <c r="R148" s="160">
        <f t="shared" ref="R148:R211" si="112">IMABS(Q148)</f>
        <v>1.0479642203171828</v>
      </c>
      <c r="S148" s="160">
        <f t="shared" ref="S148:S211" si="113">IMARGUMENT(Q148)</f>
        <v>0.30371831053107889</v>
      </c>
      <c r="T148" s="160" t="str">
        <f t="shared" si="105"/>
        <v>1+0.000501464114455264i</v>
      </c>
      <c r="U148" s="160">
        <f t="shared" ref="U148:U211" si="114">IMABS(T148)</f>
        <v>1.000000125733121</v>
      </c>
      <c r="V148" s="160">
        <f t="shared" ref="V148:V211" si="115">IMARGUMENT(T148)</f>
        <v>5.0146407242150225E-4</v>
      </c>
      <c r="W148" s="98" t="str">
        <f t="shared" si="106"/>
        <v>1-0.00130227869058673i</v>
      </c>
      <c r="X148" s="160">
        <f t="shared" ref="X148:X211" si="116">IMABS(W148)</f>
        <v>1.0000008479645344</v>
      </c>
      <c r="Y148" s="160">
        <f t="shared" ref="Y148:Y211" si="117">IMARGUMENT(W148)</f>
        <v>-1.3022779543964045E-3</v>
      </c>
      <c r="Z148" s="98" t="str">
        <f t="shared" si="107"/>
        <v>0.999999177464524+0.00149280738263071i</v>
      </c>
      <c r="AA148" s="160">
        <f t="shared" ref="AA148:AA211" si="118">IMABS(Z148)</f>
        <v>1.0000002917017605</v>
      </c>
      <c r="AB148" s="160">
        <f t="shared" ref="AB148:AB211" si="119">IMARGUMENT(Z148)</f>
        <v>1.4928075016234098E-3</v>
      </c>
      <c r="AC148" s="171" t="str">
        <f t="shared" ref="AC148:AC211" si="120">(IMDIV(IMPRODUCT(P148,T148,W148),IMPRODUCT(Q148,Z148)))</f>
        <v>6.26694015553457-1.97995081135196i</v>
      </c>
      <c r="AD148" s="190">
        <f t="shared" ref="AD148:AD211" si="121">20*LOG(IMABS(AC148))</f>
        <v>16.354309057295318</v>
      </c>
      <c r="AE148" s="169">
        <f t="shared" ref="AE148:AE211" si="122">(180/PI())*IMARGUMENT(AC148)</f>
        <v>-17.533192179355716</v>
      </c>
      <c r="AF148" s="98" t="str">
        <f t="shared" si="108"/>
        <v>-0.0000816326530612245</v>
      </c>
      <c r="AG148" s="98" t="str">
        <f t="shared" si="109"/>
        <v>0.0000278563315579899i</v>
      </c>
      <c r="AH148" s="98">
        <f t="shared" ref="AH148:AH211" si="123">IMABS(AG148)</f>
        <v>2.7856331557989901E-5</v>
      </c>
      <c r="AI148" s="98">
        <f t="shared" ref="AI148:AI211" si="124">IMARGUMENT(AG148)</f>
        <v>1.5707963267948966</v>
      </c>
      <c r="AJ148" s="98" t="str">
        <f t="shared" si="110"/>
        <v>1+0.00308574205083116i</v>
      </c>
      <c r="AK148" s="98">
        <f t="shared" ref="AK148:AK211" si="125">IMABS(AJ148)</f>
        <v>1.0000047608906693</v>
      </c>
      <c r="AL148" s="98">
        <f t="shared" ref="AL148:AL211" si="126">IMARGUMENT(AJ148)</f>
        <v>3.0857322569434412E-3</v>
      </c>
      <c r="AM148" s="98" t="str">
        <f t="shared" si="111"/>
        <v>1+0.311659947133947i</v>
      </c>
      <c r="AN148" s="98">
        <f t="shared" ref="AN148:AN211" si="127">IMABS(AM148)</f>
        <v>1.0474406535205394</v>
      </c>
      <c r="AO148" s="98">
        <f t="shared" ref="AO148:AO211" si="128">IMARGUMENT(AM148)</f>
        <v>0.30211937038064368</v>
      </c>
      <c r="AP148" s="168" t="str">
        <f t="shared" ref="AP148:AP211" si="129">IMPRODUCT(AF148,IMDIV(AM148,IMPRODUCT(AG148,AJ148)))</f>
        <v>-0.90426448024418+2.9332786035839i</v>
      </c>
      <c r="AQ148" s="98">
        <f t="shared" ref="AQ148:AQ211" si="130">20*LOG(IMABS(AP148))</f>
        <v>9.7413469309629299</v>
      </c>
      <c r="AR148" s="169">
        <f t="shared" ref="AR148:AR211" si="131">(180/PI())*IMARGUMENT(AP148)</f>
        <v>107.13336539693047</v>
      </c>
      <c r="AS148" s="168" t="str">
        <f t="shared" ref="AS148:AS211" si="132">IMPRODUCT(AC148,AP148)</f>
        <v>0.140775968621438+20.1730806595065i</v>
      </c>
      <c r="AT148" s="190">
        <f t="shared" ref="AT148:AT211" si="133">20*LOG(IMABS(AS148))</f>
        <v>26.09565598825823</v>
      </c>
      <c r="AU148" s="169">
        <f t="shared" ref="AU148:AU211" si="134">(180/PI())*IMARGUMENT(AS148)</f>
        <v>89.600173217574763</v>
      </c>
      <c r="AV148" s="225"/>
      <c r="AX148">
        <f t="shared" ref="AX148:AX211" si="135">SUM((AT149&lt;0)*(AT148&gt;0))*O148</f>
        <v>0</v>
      </c>
      <c r="AY148">
        <f t="shared" ref="AY148:AY211" si="136">IF(AX148&gt;0,AU148,0)</f>
        <v>0</v>
      </c>
    </row>
    <row r="149" spans="14:51" x14ac:dyDescent="0.2">
      <c r="N149" s="170">
        <v>31</v>
      </c>
      <c r="O149" s="199">
        <f t="shared" si="102"/>
        <v>204.17379446695315</v>
      </c>
      <c r="P149" s="189" t="str">
        <f t="shared" si="103"/>
        <v>6.8875</v>
      </c>
      <c r="Q149" s="160" t="str">
        <f t="shared" si="104"/>
        <v>1+0.320715446376465i</v>
      </c>
      <c r="R149" s="160">
        <f t="shared" si="112"/>
        <v>1.0501706516297507</v>
      </c>
      <c r="S149" s="160">
        <f t="shared" si="113"/>
        <v>0.31035179951829051</v>
      </c>
      <c r="T149" s="160" t="str">
        <f t="shared" si="105"/>
        <v>1+0.000513144714202344i</v>
      </c>
      <c r="U149" s="160">
        <f t="shared" si="114"/>
        <v>1.0000001316587401</v>
      </c>
      <c r="V149" s="160">
        <f t="shared" si="115"/>
        <v>5.1314466916235703E-4</v>
      </c>
      <c r="W149" s="98" t="str">
        <f t="shared" si="106"/>
        <v>1-0.00133261265807395i</v>
      </c>
      <c r="X149" s="160">
        <f t="shared" si="116"/>
        <v>1.0000008879278541</v>
      </c>
      <c r="Y149" s="160">
        <f t="shared" si="117"/>
        <v>-1.3326118692318419E-3</v>
      </c>
      <c r="Z149" s="98" t="str">
        <f t="shared" si="107"/>
        <v>0.999999138699621+0.00152757933347097i</v>
      </c>
      <c r="AA149" s="160">
        <f t="shared" si="118"/>
        <v>1.0000003054492552</v>
      </c>
      <c r="AB149" s="160">
        <f t="shared" si="119"/>
        <v>1.5275794609739333E-3</v>
      </c>
      <c r="AC149" s="171" t="str">
        <f t="shared" si="120"/>
        <v>6.24042171544779-2.01756491662796i</v>
      </c>
      <c r="AD149" s="190">
        <f t="shared" si="121"/>
        <v>16.336040896062528</v>
      </c>
      <c r="AE149" s="169">
        <f t="shared" si="122"/>
        <v>-17.916324144686346</v>
      </c>
      <c r="AF149" s="98" t="str">
        <f t="shared" si="108"/>
        <v>-0.0000816326530612245</v>
      </c>
      <c r="AG149" s="98" t="str">
        <f t="shared" si="109"/>
        <v>0.0000285051888739403i</v>
      </c>
      <c r="AH149" s="98">
        <f t="shared" si="123"/>
        <v>2.8505188873940301E-5</v>
      </c>
      <c r="AI149" s="98">
        <f t="shared" si="124"/>
        <v>1.5707963267948966</v>
      </c>
      <c r="AJ149" s="98" t="str">
        <f t="shared" si="110"/>
        <v>1+0.00315761821660155i</v>
      </c>
      <c r="AK149" s="98">
        <f t="shared" si="125"/>
        <v>1.0000049852639745</v>
      </c>
      <c r="AL149" s="98">
        <f t="shared" si="126"/>
        <v>3.1576077222646116E-3</v>
      </c>
      <c r="AM149" s="98" t="str">
        <f t="shared" si="111"/>
        <v>1+0.318919439876757i</v>
      </c>
      <c r="AN149" s="98">
        <f t="shared" si="127"/>
        <v>1.0496235559148359</v>
      </c>
      <c r="AO149" s="98">
        <f t="shared" si="128"/>
        <v>0.308722448522738</v>
      </c>
      <c r="AP149" s="168" t="str">
        <f t="shared" si="129"/>
        <v>-0.904264074460621+2.86663754023326i</v>
      </c>
      <c r="AQ149" s="98">
        <f t="shared" si="130"/>
        <v>9.5594278391156156</v>
      </c>
      <c r="AR149" s="169">
        <f t="shared" si="131"/>
        <v>107.50757574545402</v>
      </c>
      <c r="AS149" s="168" t="str">
        <f t="shared" si="132"/>
        <v>0.14063816309994+19.7134386283883i</v>
      </c>
      <c r="AT149" s="190">
        <f t="shared" si="133"/>
        <v>25.895468735178152</v>
      </c>
      <c r="AU149" s="169">
        <f t="shared" si="134"/>
        <v>89.591251600767677</v>
      </c>
      <c r="AV149" s="225"/>
      <c r="AX149">
        <f t="shared" si="135"/>
        <v>0</v>
      </c>
      <c r="AY149">
        <f t="shared" si="136"/>
        <v>0</v>
      </c>
    </row>
    <row r="150" spans="14:51" x14ac:dyDescent="0.2">
      <c r="N150" s="170">
        <v>32</v>
      </c>
      <c r="O150" s="199">
        <f t="shared" si="102"/>
        <v>208.92961308540396</v>
      </c>
      <c r="P150" s="189" t="str">
        <f t="shared" si="103"/>
        <v>6.8875</v>
      </c>
      <c r="Q150" s="160" t="str">
        <f t="shared" si="104"/>
        <v>1+0.328185868793232i</v>
      </c>
      <c r="R150" s="160">
        <f t="shared" si="112"/>
        <v>1.0524761111187124</v>
      </c>
      <c r="S150" s="160">
        <f t="shared" si="113"/>
        <v>0.31711070451648438</v>
      </c>
      <c r="T150" s="160" t="str">
        <f t="shared" si="105"/>
        <v>1+0.000525097390069172i</v>
      </c>
      <c r="U150" s="160">
        <f t="shared" si="114"/>
        <v>1.000000137863625</v>
      </c>
      <c r="V150" s="160">
        <f t="shared" si="115"/>
        <v>5.2509734180795692E-4</v>
      </c>
      <c r="W150" s="98" t="str">
        <f t="shared" si="106"/>
        <v>1-0.00136365319443171i</v>
      </c>
      <c r="X150" s="160">
        <f t="shared" si="116"/>
        <v>1.0000009297745851</v>
      </c>
      <c r="Y150" s="160">
        <f t="shared" si="117"/>
        <v>-1.3636523491722047E-3</v>
      </c>
      <c r="Z150" s="98" t="str">
        <f t="shared" si="107"/>
        <v>0.999999098107785+0.00156316122709376i</v>
      </c>
      <c r="AA150" s="160">
        <f t="shared" si="118"/>
        <v>1.0000003198446514</v>
      </c>
      <c r="AB150" s="160">
        <f t="shared" si="119"/>
        <v>1.5631613637156325E-3</v>
      </c>
      <c r="AC150" s="171" t="str">
        <f t="shared" si="120"/>
        <v>6.21289107023607-2.05552487157594i</v>
      </c>
      <c r="AD150" s="190">
        <f t="shared" si="121"/>
        <v>16.316993790549397</v>
      </c>
      <c r="AE150" s="169">
        <f t="shared" si="122"/>
        <v>-18.306713218865049</v>
      </c>
      <c r="AF150" s="98" t="str">
        <f t="shared" si="108"/>
        <v>-0.0000816326530612245</v>
      </c>
      <c r="AG150" s="98" t="str">
        <f t="shared" si="109"/>
        <v>0.0000291691600183424i</v>
      </c>
      <c r="AH150" s="98">
        <f t="shared" si="123"/>
        <v>2.9169160018342399E-5</v>
      </c>
      <c r="AI150" s="98">
        <f t="shared" si="124"/>
        <v>1.5707963267948966</v>
      </c>
      <c r="AJ150" s="98" t="str">
        <f t="shared" si="110"/>
        <v>1+0.00323116859334644i</v>
      </c>
      <c r="AK150" s="98">
        <f t="shared" si="125"/>
        <v>1.0000052202116141</v>
      </c>
      <c r="AL150" s="98">
        <f t="shared" si="126"/>
        <v>3.2311573484649853E-3</v>
      </c>
      <c r="AM150" s="98" t="str">
        <f t="shared" si="111"/>
        <v>1+0.326348027927991i</v>
      </c>
      <c r="AN150" s="98">
        <f t="shared" si="127"/>
        <v>1.0519044801370934</v>
      </c>
      <c r="AO150" s="98">
        <f t="shared" si="128"/>
        <v>0.31545066069882866</v>
      </c>
      <c r="AP150" s="168" t="str">
        <f t="shared" si="129"/>
        <v>-0.904263649553478+2.80151640593007i</v>
      </c>
      <c r="AQ150" s="98">
        <f t="shared" si="130"/>
        <v>9.3782805207768583</v>
      </c>
      <c r="AR150" s="169">
        <f t="shared" si="131"/>
        <v>107.88885982364658</v>
      </c>
      <c r="AS150" s="168" t="str">
        <f t="shared" si="132"/>
        <v>0.140495097067413+19.264252683642i</v>
      </c>
      <c r="AT150" s="190">
        <f t="shared" si="133"/>
        <v>25.695274311326266</v>
      </c>
      <c r="AU150" s="169">
        <f t="shared" si="134"/>
        <v>89.582146604781528</v>
      </c>
      <c r="AV150" s="225"/>
      <c r="AX150">
        <f t="shared" si="135"/>
        <v>0</v>
      </c>
      <c r="AY150">
        <f t="shared" si="136"/>
        <v>0</v>
      </c>
    </row>
    <row r="151" spans="14:51" x14ac:dyDescent="0.2">
      <c r="N151" s="170">
        <v>33</v>
      </c>
      <c r="O151" s="199">
        <f t="shared" si="102"/>
        <v>213.79620895022339</v>
      </c>
      <c r="P151" s="189" t="str">
        <f t="shared" si="103"/>
        <v>6.8875</v>
      </c>
      <c r="Q151" s="160" t="str">
        <f t="shared" si="104"/>
        <v>1+0.335830299701685i</v>
      </c>
      <c r="R151" s="160">
        <f t="shared" si="112"/>
        <v>1.0548848231905337</v>
      </c>
      <c r="S151" s="160">
        <f t="shared" si="113"/>
        <v>0.32399613820658646</v>
      </c>
      <c r="T151" s="160" t="str">
        <f t="shared" si="105"/>
        <v>1+0.000537328479522696i</v>
      </c>
      <c r="U151" s="160">
        <f t="shared" si="114"/>
        <v>1.000000144360937</v>
      </c>
      <c r="V151" s="160">
        <f t="shared" si="115"/>
        <v>5.3732842780987271E-4</v>
      </c>
      <c r="W151" s="98" t="str">
        <f t="shared" si="106"/>
        <v>1-0.00139541675776323i</v>
      </c>
      <c r="X151" s="160">
        <f t="shared" si="116"/>
        <v>1.0000009735934901</v>
      </c>
      <c r="Y151" s="160">
        <f t="shared" si="117"/>
        <v>-1.3954158520513998E-3</v>
      </c>
      <c r="Z151" s="98" t="str">
        <f t="shared" si="107"/>
        <v>0.999999055602914+0.00159957192949002i</v>
      </c>
      <c r="AA151" s="160">
        <f t="shared" si="118"/>
        <v>1.0000003349184827</v>
      </c>
      <c r="AB151" s="160">
        <f t="shared" si="119"/>
        <v>1.5995720758829788E-3</v>
      </c>
      <c r="AC151" s="171" t="str">
        <f t="shared" si="120"/>
        <v>6.18432002980662-2.09380917508251i</v>
      </c>
      <c r="AD151" s="190">
        <f t="shared" si="121"/>
        <v>16.297138156468996</v>
      </c>
      <c r="AE151" s="169">
        <f t="shared" si="122"/>
        <v>-18.704424814612118</v>
      </c>
      <c r="AF151" s="98" t="str">
        <f t="shared" si="108"/>
        <v>-0.0000816326530612245</v>
      </c>
      <c r="AG151" s="98" t="str">
        <f t="shared" si="109"/>
        <v>0.0000298485970374858i</v>
      </c>
      <c r="AH151" s="98">
        <f t="shared" si="123"/>
        <v>2.9848597037485801E-5</v>
      </c>
      <c r="AI151" s="98">
        <f t="shared" si="124"/>
        <v>1.5707963267948966</v>
      </c>
      <c r="AJ151" s="98" t="str">
        <f t="shared" si="110"/>
        <v>1+0.00330643217844907i</v>
      </c>
      <c r="AK151" s="98">
        <f t="shared" si="125"/>
        <v>1.0000054662319355</v>
      </c>
      <c r="AL151" s="98">
        <f t="shared" si="126"/>
        <v>3.3064201293450633E-3</v>
      </c>
      <c r="AM151" s="98" t="str">
        <f t="shared" si="111"/>
        <v>1+0.333949650023356i</v>
      </c>
      <c r="AN151" s="98">
        <f t="shared" si="127"/>
        <v>1.0542876119687274</v>
      </c>
      <c r="AO151" s="98">
        <f t="shared" si="128"/>
        <v>0.32230513682127471</v>
      </c>
      <c r="AP151" s="168" t="str">
        <f t="shared" si="129"/>
        <v>-0.904263204621486+2.73788067257832i</v>
      </c>
      <c r="AQ151" s="98">
        <f t="shared" si="130"/>
        <v>9.197934358277454</v>
      </c>
      <c r="AR151" s="169">
        <f t="shared" si="131"/>
        <v>108.27728013653693</v>
      </c>
      <c r="AS151" s="168" t="str">
        <f t="shared" si="132"/>
        <v>0.140346623967782+18.8252848771725i</v>
      </c>
      <c r="AT151" s="190">
        <f t="shared" si="133"/>
        <v>25.495072514746454</v>
      </c>
      <c r="AU151" s="169">
        <f t="shared" si="134"/>
        <v>89.57285532192482</v>
      </c>
      <c r="AV151" s="225"/>
      <c r="AX151">
        <f t="shared" si="135"/>
        <v>0</v>
      </c>
      <c r="AY151">
        <f t="shared" si="136"/>
        <v>0</v>
      </c>
    </row>
    <row r="152" spans="14:51" x14ac:dyDescent="0.2">
      <c r="N152" s="170">
        <v>34</v>
      </c>
      <c r="O152" s="199">
        <f t="shared" si="102"/>
        <v>218.77616239495524</v>
      </c>
      <c r="P152" s="189" t="str">
        <f t="shared" si="103"/>
        <v>6.8875</v>
      </c>
      <c r="Q152" s="160" t="str">
        <f t="shared" si="104"/>
        <v>1+0.34365279228028i</v>
      </c>
      <c r="R152" s="160">
        <f t="shared" si="112"/>
        <v>1.057401173463522</v>
      </c>
      <c r="S152" s="160">
        <f t="shared" si="113"/>
        <v>0.33100913899277806</v>
      </c>
      <c r="T152" s="160" t="str">
        <f t="shared" si="105"/>
        <v>1+0.000549844467648448i</v>
      </c>
      <c r="U152" s="160">
        <f t="shared" si="114"/>
        <v>1.0000001511644578</v>
      </c>
      <c r="V152" s="160">
        <f t="shared" si="115"/>
        <v>5.4984441223715995E-4</v>
      </c>
      <c r="W152" s="98" t="str">
        <f t="shared" si="106"/>
        <v>1-0.00142792018953025i</v>
      </c>
      <c r="X152" s="160">
        <f t="shared" si="116"/>
        <v>1.0000010194775142</v>
      </c>
      <c r="Y152" s="160">
        <f t="shared" si="117"/>
        <v>-1.4279192190425924E-3</v>
      </c>
      <c r="Z152" s="98" t="str">
        <f t="shared" si="107"/>
        <v>0.999999011094851+0.00163683074609615i</v>
      </c>
      <c r="AA152" s="160">
        <f t="shared" si="118"/>
        <v>1.0000003507027242</v>
      </c>
      <c r="AB152" s="160">
        <f t="shared" si="119"/>
        <v>1.6368309029590137E-3</v>
      </c>
      <c r="AC152" s="171" t="str">
        <f t="shared" si="120"/>
        <v>6.15468052294089-2.13239455632125i</v>
      </c>
      <c r="AD152" s="190">
        <f t="shared" si="121"/>
        <v>16.276443598438096</v>
      </c>
      <c r="AE152" s="169">
        <f t="shared" si="122"/>
        <v>-19.109520127588276</v>
      </c>
      <c r="AF152" s="98" t="str">
        <f t="shared" si="108"/>
        <v>-0.0000816326530612245</v>
      </c>
      <c r="AG152" s="98" t="str">
        <f t="shared" si="109"/>
        <v>0.0000305438601778712i</v>
      </c>
      <c r="AH152" s="98">
        <f t="shared" si="123"/>
        <v>3.0543860177871201E-5</v>
      </c>
      <c r="AI152" s="98">
        <f t="shared" si="124"/>
        <v>1.5707963267948966</v>
      </c>
      <c r="AJ152" s="98" t="str">
        <f t="shared" si="110"/>
        <v>1+0.00338344887765852i</v>
      </c>
      <c r="AK152" s="98">
        <f t="shared" si="125"/>
        <v>1.0000057238467728</v>
      </c>
      <c r="AL152" s="98">
        <f t="shared" si="126"/>
        <v>3.3834359668149573E-3</v>
      </c>
      <c r="AM152" s="98" t="str">
        <f t="shared" si="111"/>
        <v>1+0.341728336643511i</v>
      </c>
      <c r="AN152" s="98">
        <f t="shared" si="127"/>
        <v>1.0567772972888567</v>
      </c>
      <c r="AO152" s="98">
        <f t="shared" si="128"/>
        <v>0.32928693395252168</v>
      </c>
      <c r="AP152" s="168" t="str">
        <f t="shared" si="129"/>
        <v>-0.904262738720988+2.67569659966061i</v>
      </c>
      <c r="AQ152" s="98">
        <f t="shared" si="130"/>
        <v>9.0184195456293264</v>
      </c>
      <c r="AR152" s="169">
        <f t="shared" si="131"/>
        <v>108.67289496313141</v>
      </c>
      <c r="AS152" s="168" t="str">
        <f t="shared" si="132"/>
        <v>0.140192597856313+18.3963026887631i</v>
      </c>
      <c r="AT152" s="190">
        <f t="shared" si="133"/>
        <v>25.294863144067424</v>
      </c>
      <c r="AU152" s="169">
        <f t="shared" si="134"/>
        <v>89.563374835543129</v>
      </c>
      <c r="AV152" s="225"/>
      <c r="AX152">
        <f t="shared" si="135"/>
        <v>0</v>
      </c>
      <c r="AY152">
        <f t="shared" si="136"/>
        <v>0</v>
      </c>
    </row>
    <row r="153" spans="14:51" x14ac:dyDescent="0.2">
      <c r="N153" s="170">
        <v>35</v>
      </c>
      <c r="O153" s="199">
        <f t="shared" si="102"/>
        <v>223.87211385683412</v>
      </c>
      <c r="P153" s="189" t="str">
        <f t="shared" si="103"/>
        <v>6.8875</v>
      </c>
      <c r="Q153" s="160" t="str">
        <f t="shared" si="104"/>
        <v>1+0.351657494118125i</v>
      </c>
      <c r="R153" s="160">
        <f t="shared" si="112"/>
        <v>1.0600297133427152</v>
      </c>
      <c r="S153" s="160">
        <f t="shared" si="113"/>
        <v>0.33815066503732655</v>
      </c>
      <c r="T153" s="160" t="str">
        <f t="shared" si="105"/>
        <v>1+0.000562651990589i</v>
      </c>
      <c r="U153" s="160">
        <f t="shared" si="114"/>
        <v>1.0000001582886187</v>
      </c>
      <c r="V153" s="160">
        <f t="shared" si="115"/>
        <v>5.6265193121473559E-4</v>
      </c>
      <c r="W153" s="98" t="str">
        <f t="shared" si="106"/>
        <v>1-0.00146118072348251i</v>
      </c>
      <c r="X153" s="160">
        <f t="shared" si="116"/>
        <v>1.0000010675239834</v>
      </c>
      <c r="Y153" s="160">
        <f t="shared" si="117"/>
        <v>-1.4611796835863095E-3</v>
      </c>
      <c r="Z153" s="98" t="str">
        <f t="shared" si="107"/>
        <v>0.999998964489187+0.00167495743202987i</v>
      </c>
      <c r="AA153" s="160">
        <f t="shared" si="118"/>
        <v>1.0000003672308553</v>
      </c>
      <c r="AB153" s="160">
        <f t="shared" si="119"/>
        <v>1.6749576001114372E-3</v>
      </c>
      <c r="AC153" s="171" t="str">
        <f t="shared" si="120"/>
        <v>6.12394469023139-2.17125591990344i</v>
      </c>
      <c r="AD153" s="190">
        <f t="shared" si="121"/>
        <v>16.254878914727776</v>
      </c>
      <c r="AE153" s="169">
        <f t="shared" si="122"/>
        <v>-19.522055795516845</v>
      </c>
      <c r="AF153" s="98" t="str">
        <f t="shared" si="108"/>
        <v>-0.0000816326530612245</v>
      </c>
      <c r="AG153" s="98" t="str">
        <f t="shared" si="109"/>
        <v>0.0000312553180772189i</v>
      </c>
      <c r="AH153" s="98">
        <f t="shared" si="123"/>
        <v>3.1255318077218899E-5</v>
      </c>
      <c r="AI153" s="98">
        <f t="shared" si="124"/>
        <v>1.5707963267948966</v>
      </c>
      <c r="AJ153" s="98" t="str">
        <f t="shared" si="110"/>
        <v>1+0.00346225952624815i</v>
      </c>
      <c r="AK153" s="98">
        <f t="shared" si="125"/>
        <v>1.0000059936025518</v>
      </c>
      <c r="AL153" s="98">
        <f t="shared" si="126"/>
        <v>3.462245692034504E-3</v>
      </c>
      <c r="AM153" s="98" t="str">
        <f t="shared" si="111"/>
        <v>1+0.349688212151064i</v>
      </c>
      <c r="AN153" s="98">
        <f t="shared" si="127"/>
        <v>1.0593780466469029</v>
      </c>
      <c r="AO153" s="98">
        <f t="shared" si="128"/>
        <v>0.33639703038463498</v>
      </c>
      <c r="AP153" s="168" t="str">
        <f t="shared" si="129"/>
        <v>-0.904262250863772+2.61493121634844i</v>
      </c>
      <c r="AQ153" s="98">
        <f t="shared" si="130"/>
        <v>8.8397670844138094</v>
      </c>
      <c r="AR153" s="169">
        <f t="shared" si="131"/>
        <v>109.07575801598274</v>
      </c>
      <c r="AS153" s="168" t="str">
        <f t="shared" si="132"/>
        <v>0.140032873882972+17.9770789030105i</v>
      </c>
      <c r="AT153" s="190">
        <f t="shared" si="133"/>
        <v>25.094645999141576</v>
      </c>
      <c r="AU153" s="169">
        <f t="shared" si="134"/>
        <v>89.553702220465894</v>
      </c>
      <c r="AV153" s="225"/>
      <c r="AX153">
        <f t="shared" si="135"/>
        <v>0</v>
      </c>
      <c r="AY153">
        <f t="shared" si="136"/>
        <v>0</v>
      </c>
    </row>
    <row r="154" spans="14:51" x14ac:dyDescent="0.2">
      <c r="N154" s="170">
        <v>36</v>
      </c>
      <c r="O154" s="199">
        <f t="shared" si="102"/>
        <v>229.08676527677744</v>
      </c>
      <c r="P154" s="189" t="str">
        <f t="shared" si="103"/>
        <v>6.8875</v>
      </c>
      <c r="Q154" s="160" t="str">
        <f t="shared" si="104"/>
        <v>1+0.359848649414088i</v>
      </c>
      <c r="R154" s="160">
        <f t="shared" si="112"/>
        <v>1.062775164597453</v>
      </c>
      <c r="S154" s="160">
        <f t="shared" si="113"/>
        <v>0.34542158811911672</v>
      </c>
      <c r="T154" s="160" t="str">
        <f t="shared" si="105"/>
        <v>1+0.00057575783906254i</v>
      </c>
      <c r="U154" s="160">
        <f t="shared" si="114"/>
        <v>1.0000001657485309</v>
      </c>
      <c r="V154" s="160">
        <f t="shared" si="115"/>
        <v>5.757577754418701E-4</v>
      </c>
      <c r="W154" s="98" t="str">
        <f t="shared" si="106"/>
        <v>1-0.00149521599479538i</v>
      </c>
      <c r="X154" s="160">
        <f t="shared" si="116"/>
        <v>1.0000011178348107</v>
      </c>
      <c r="Y154" s="160">
        <f t="shared" si="117"/>
        <v>-1.4952148805265927E-3</v>
      </c>
      <c r="Z154" s="98" t="str">
        <f t="shared" si="107"/>
        <v>0.999998915687066+0.00171397220256473i</v>
      </c>
      <c r="AA154" s="160">
        <f t="shared" si="118"/>
        <v>1.0000003845379357</v>
      </c>
      <c r="AB154" s="160">
        <f t="shared" si="119"/>
        <v>1.7139723826673523E-3</v>
      </c>
      <c r="AC154" s="171" t="str">
        <f t="shared" si="120"/>
        <v>6.09208498411155-2.21036629458786i</v>
      </c>
      <c r="AD154" s="190">
        <f t="shared" si="121"/>
        <v>16.232412104795465</v>
      </c>
      <c r="AE154" s="169">
        <f t="shared" si="122"/>
        <v>-19.942083547225142</v>
      </c>
      <c r="AF154" s="98" t="str">
        <f t="shared" si="108"/>
        <v>-0.0000816326530612245</v>
      </c>
      <c r="AG154" s="98" t="str">
        <f t="shared" si="109"/>
        <v>0.000031983347959924i</v>
      </c>
      <c r="AH154" s="98">
        <f t="shared" si="123"/>
        <v>3.1983347959923999E-5</v>
      </c>
      <c r="AI154" s="98">
        <f t="shared" si="124"/>
        <v>1.5707963267948966</v>
      </c>
      <c r="AJ154" s="98" t="str">
        <f t="shared" si="110"/>
        <v>1+0.00354290591066702i</v>
      </c>
      <c r="AK154" s="98">
        <f t="shared" si="125"/>
        <v>1.0000062760714514</v>
      </c>
      <c r="AL154" s="98">
        <f t="shared" si="126"/>
        <v>3.5428910870450498E-3</v>
      </c>
      <c r="AM154" s="98" t="str">
        <f t="shared" si="111"/>
        <v>1+0.357833496977369i</v>
      </c>
      <c r="AN154" s="98">
        <f t="shared" si="127"/>
        <v>1.0620945398405233</v>
      </c>
      <c r="AO154" s="98">
        <f t="shared" si="128"/>
        <v>0.34363631953972756</v>
      </c>
      <c r="AP154" s="168" t="str">
        <f t="shared" si="129"/>
        <v>-0.904261740015127+2.55555230402065i</v>
      </c>
      <c r="AQ154" s="98">
        <f t="shared" si="130"/>
        <v>8.6620087769386096</v>
      </c>
      <c r="AR154" s="169">
        <f t="shared" si="131"/>
        <v>109.48591809047312</v>
      </c>
      <c r="AS154" s="168" t="str">
        <f t="shared" si="132"/>
        <v>0.139867308810855+17.5673914890507i</v>
      </c>
      <c r="AT154" s="190">
        <f t="shared" si="133"/>
        <v>24.894420881734082</v>
      </c>
      <c r="AU154" s="169">
        <f t="shared" si="134"/>
        <v>89.543834543247982</v>
      </c>
      <c r="AV154" s="225"/>
      <c r="AX154">
        <f t="shared" si="135"/>
        <v>0</v>
      </c>
      <c r="AY154">
        <f t="shared" si="136"/>
        <v>0</v>
      </c>
    </row>
    <row r="155" spans="14:51" x14ac:dyDescent="0.2">
      <c r="N155" s="170">
        <v>37</v>
      </c>
      <c r="O155" s="199">
        <f t="shared" si="102"/>
        <v>234.42288153199232</v>
      </c>
      <c r="P155" s="189" t="str">
        <f t="shared" si="103"/>
        <v>6.8875</v>
      </c>
      <c r="Q155" s="160" t="str">
        <f t="shared" si="104"/>
        <v>1+0.368230601227128i</v>
      </c>
      <c r="R155" s="160">
        <f t="shared" si="112"/>
        <v>1.0656424239303222</v>
      </c>
      <c r="S155" s="160">
        <f t="shared" si="113"/>
        <v>0.35282268732880789</v>
      </c>
      <c r="T155" s="160" t="str">
        <f t="shared" si="105"/>
        <v>1+0.000589168961963404i</v>
      </c>
      <c r="U155" s="160">
        <f t="shared" si="114"/>
        <v>1.0000001735600179</v>
      </c>
      <c r="V155" s="160">
        <f t="shared" si="115"/>
        <v>5.891688937926285E-4</v>
      </c>
      <c r="W155" s="98" t="str">
        <f t="shared" si="106"/>
        <v>1-0.0015300440494202i</v>
      </c>
      <c r="X155" s="160">
        <f t="shared" si="116"/>
        <v>1.0000011705167116</v>
      </c>
      <c r="Y155" s="160">
        <f t="shared" si="117"/>
        <v>-1.5300428554597589E-3</v>
      </c>
      <c r="Z155" s="98" t="str">
        <f t="shared" si="107"/>
        <v>0.999998864584971+0.00175389574384849i</v>
      </c>
      <c r="AA155" s="160">
        <f t="shared" si="118"/>
        <v>1.0000004026606748</v>
      </c>
      <c r="AB155" s="160">
        <f t="shared" si="119"/>
        <v>1.7538959368319034E-3</v>
      </c>
      <c r="AC155" s="171" t="str">
        <f t="shared" si="120"/>
        <v>6.05907427604818-2.24969678623444i</v>
      </c>
      <c r="AD155" s="190">
        <f t="shared" si="121"/>
        <v>16.20901037980331</v>
      </c>
      <c r="AE155" s="169">
        <f t="shared" si="122"/>
        <v>-20.369649842347435</v>
      </c>
      <c r="AF155" s="98" t="str">
        <f t="shared" si="108"/>
        <v>-0.0000816326530612245</v>
      </c>
      <c r="AG155" s="98" t="str">
        <f t="shared" si="109"/>
        <v>0.0000327283358370672i</v>
      </c>
      <c r="AH155" s="98">
        <f t="shared" si="123"/>
        <v>3.2728335837067197E-5</v>
      </c>
      <c r="AI155" s="98">
        <f t="shared" si="124"/>
        <v>1.5707963267948966</v>
      </c>
      <c r="AJ155" s="98" t="str">
        <f t="shared" si="110"/>
        <v>1+0.0036254307906956i</v>
      </c>
      <c r="AK155" s="98">
        <f t="shared" si="125"/>
        <v>1.0000065718526143</v>
      </c>
      <c r="AL155" s="98">
        <f t="shared" si="126"/>
        <v>3.6254149069041234E-3</v>
      </c>
      <c r="AM155" s="98" t="str">
        <f t="shared" si="111"/>
        <v>1+0.366168509860256i</v>
      </c>
      <c r="AN155" s="98">
        <f t="shared" si="127"/>
        <v>1.0649316304877419</v>
      </c>
      <c r="AO155" s="98">
        <f t="shared" si="128"/>
        <v>0.35100560370364642</v>
      </c>
      <c r="AP155" s="168" t="str">
        <f t="shared" si="129"/>
        <v>-0.904261205091535+2.49752837918054i</v>
      </c>
      <c r="AQ155" s="98">
        <f t="shared" si="130"/>
        <v>8.4851772164573163</v>
      </c>
      <c r="AR155" s="169">
        <f t="shared" si="131"/>
        <v>109.903418704511</v>
      </c>
      <c r="AS155" s="168" t="str">
        <f t="shared" si="132"/>
        <v>0.139695761573323+17.167023483004i</v>
      </c>
      <c r="AT155" s="190">
        <f t="shared" si="133"/>
        <v>24.694187596260619</v>
      </c>
      <c r="AU155" s="169">
        <f t="shared" si="134"/>
        <v>89.533768862163555</v>
      </c>
      <c r="AV155" s="225"/>
      <c r="AX155">
        <f t="shared" si="135"/>
        <v>0</v>
      </c>
      <c r="AY155">
        <f t="shared" si="136"/>
        <v>0</v>
      </c>
    </row>
    <row r="156" spans="14:51" x14ac:dyDescent="0.2">
      <c r="N156" s="170">
        <v>38</v>
      </c>
      <c r="O156" s="199">
        <f t="shared" si="102"/>
        <v>239.88329190194912</v>
      </c>
      <c r="P156" s="189" t="str">
        <f t="shared" si="103"/>
        <v>6.8875</v>
      </c>
      <c r="Q156" s="160" t="str">
        <f t="shared" si="104"/>
        <v>1+0.37680779377905i</v>
      </c>
      <c r="R156" s="160">
        <f t="shared" si="112"/>
        <v>1.0686365675254779</v>
      </c>
      <c r="S156" s="160">
        <f t="shared" si="113"/>
        <v>0.36035464261590355</v>
      </c>
      <c r="T156" s="160" t="str">
        <f t="shared" si="105"/>
        <v>1+0.00060289247004648i</v>
      </c>
      <c r="U156" s="160">
        <f t="shared" si="114"/>
        <v>1.0000001817396487</v>
      </c>
      <c r="V156" s="160">
        <f t="shared" si="115"/>
        <v>6.0289239700017877E-4</v>
      </c>
      <c r="W156" s="98" t="str">
        <f t="shared" si="106"/>
        <v>1-0.00156568335365256i</v>
      </c>
      <c r="X156" s="160">
        <f t="shared" si="116"/>
        <v>1.0000012256814308</v>
      </c>
      <c r="Y156" s="160">
        <f t="shared" si="117"/>
        <v>-1.5656820743009821E-3</v>
      </c>
      <c r="Z156" s="98" t="str">
        <f t="shared" si="107"/>
        <v>0.99999881107451+0.00179474922387121i</v>
      </c>
      <c r="AA156" s="160">
        <f t="shared" si="118"/>
        <v>1.0000004216375162</v>
      </c>
      <c r="AB156" s="160">
        <f t="shared" si="119"/>
        <v>1.794749430656634E-3</v>
      </c>
      <c r="AC156" s="171" t="str">
        <f t="shared" si="120"/>
        <v>6.0248859709128-2.28921653572862i</v>
      </c>
      <c r="AD156" s="190">
        <f t="shared" si="121"/>
        <v>16.184640176330422</v>
      </c>
      <c r="AE156" s="169">
        <f t="shared" si="122"/>
        <v>-20.804795502564598</v>
      </c>
      <c r="AF156" s="98" t="str">
        <f t="shared" si="108"/>
        <v>-0.0000816326530612245</v>
      </c>
      <c r="AG156" s="98" t="str">
        <f t="shared" si="109"/>
        <v>0.0000334906767110819i</v>
      </c>
      <c r="AH156" s="98">
        <f t="shared" si="123"/>
        <v>3.3490676711081898E-5</v>
      </c>
      <c r="AI156" s="98">
        <f t="shared" si="124"/>
        <v>1.5707963267948966</v>
      </c>
      <c r="AJ156" s="98" t="str">
        <f t="shared" si="110"/>
        <v>1+0.0037098779221177i</v>
      </c>
      <c r="AK156" s="98">
        <f t="shared" si="125"/>
        <v>1.0000068815734204</v>
      </c>
      <c r="AL156" s="98">
        <f t="shared" si="126"/>
        <v>3.7098609023348177E-3</v>
      </c>
      <c r="AM156" s="98" t="str">
        <f t="shared" si="111"/>
        <v>1+0.374697670133887i</v>
      </c>
      <c r="AN156" s="98">
        <f t="shared" si="127"/>
        <v>1.0678943505814436</v>
      </c>
      <c r="AO156" s="98">
        <f t="shared" si="128"/>
        <v>0.35850558760761658</v>
      </c>
      <c r="AP156" s="168" t="str">
        <f t="shared" si="129"/>
        <v>-0.904260644958465+2.44082867676292i</v>
      </c>
      <c r="AQ156" s="98">
        <f t="shared" si="130"/>
        <v>8.3093057742460736</v>
      </c>
      <c r="AR156" s="169">
        <f t="shared" si="131"/>
        <v>110.32829772948972</v>
      </c>
      <c r="AS156" s="168" t="str">
        <f t="shared" si="132"/>
        <v>0.139518093867466+16.7757628730781i</v>
      </c>
      <c r="AT156" s="190">
        <f t="shared" si="133"/>
        <v>24.493945950576489</v>
      </c>
      <c r="AU156" s="169">
        <f t="shared" si="134"/>
        <v>89.523502226925146</v>
      </c>
      <c r="AV156" s="225"/>
      <c r="AX156">
        <f t="shared" si="135"/>
        <v>0</v>
      </c>
      <c r="AY156">
        <f t="shared" si="136"/>
        <v>0</v>
      </c>
    </row>
    <row r="157" spans="14:51" x14ac:dyDescent="0.2">
      <c r="N157" s="170">
        <v>39</v>
      </c>
      <c r="O157" s="199">
        <f t="shared" si="102"/>
        <v>245.4708915685033</v>
      </c>
      <c r="P157" s="189" t="str">
        <f t="shared" si="103"/>
        <v>6.8875</v>
      </c>
      <c r="Q157" s="160" t="str">
        <f t="shared" si="104"/>
        <v>1+0.385584774810872i</v>
      </c>
      <c r="R157" s="160">
        <f t="shared" si="112"/>
        <v>1.0717628555636507</v>
      </c>
      <c r="S157" s="160">
        <f t="shared" si="113"/>
        <v>0.36801802820546131</v>
      </c>
      <c r="T157" s="160" t="str">
        <f t="shared" si="105"/>
        <v>1+0.000616935639697396i</v>
      </c>
      <c r="U157" s="160">
        <f t="shared" si="114"/>
        <v>1.0000001903047737</v>
      </c>
      <c r="V157" s="160">
        <f t="shared" si="115"/>
        <v>6.1693556142687481E-4</v>
      </c>
      <c r="W157" s="98" t="str">
        <f t="shared" si="106"/>
        <v>1-0.00160215280392329i</v>
      </c>
      <c r="X157" s="160">
        <f t="shared" si="116"/>
        <v>1.0000012834459799</v>
      </c>
      <c r="Y157" s="160">
        <f t="shared" si="117"/>
        <v>-1.6021514330734714E-3</v>
      </c>
      <c r="Z157" s="98" t="str">
        <f t="shared" si="107"/>
        <v>0.999998755042178+0.00183655430368872i</v>
      </c>
      <c r="AA157" s="160">
        <f t="shared" si="118"/>
        <v>1.0000004415087107</v>
      </c>
      <c r="AB157" s="160">
        <f t="shared" si="119"/>
        <v>1.836554525263263E-3</v>
      </c>
      <c r="AC157" s="171" t="str">
        <f t="shared" si="120"/>
        <v>5.98949412848597-2.32889268264214i</v>
      </c>
      <c r="AD157" s="190">
        <f t="shared" si="121"/>
        <v>16.159267173484952</v>
      </c>
      <c r="AE157" s="169">
        <f t="shared" si="122"/>
        <v>-21.247555335397333</v>
      </c>
      <c r="AF157" s="98" t="str">
        <f t="shared" si="108"/>
        <v>-0.0000816326530612245</v>
      </c>
      <c r="AG157" s="98" t="str">
        <f t="shared" si="109"/>
        <v>0.0000342707747851904i</v>
      </c>
      <c r="AH157" s="98">
        <f t="shared" si="123"/>
        <v>3.42707747851904E-5</v>
      </c>
      <c r="AI157" s="98">
        <f t="shared" si="124"/>
        <v>1.5707963267948966</v>
      </c>
      <c r="AJ157" s="98" t="str">
        <f t="shared" si="110"/>
        <v>1+0.00379629207992012i</v>
      </c>
      <c r="AK157" s="98">
        <f t="shared" si="125"/>
        <v>1.0000072058908156</v>
      </c>
      <c r="AL157" s="98">
        <f t="shared" si="126"/>
        <v>3.7962738429012884E-3</v>
      </c>
      <c r="AM157" s="98" t="str">
        <f t="shared" si="111"/>
        <v>1+0.383425500071932i</v>
      </c>
      <c r="AN157" s="98">
        <f t="shared" si="127"/>
        <v>1.0709879150137087</v>
      </c>
      <c r="AO157" s="98">
        <f t="shared" si="128"/>
        <v>0.3661368718749673</v>
      </c>
      <c r="AP157" s="168" t="str">
        <f t="shared" si="129"/>
        <v>-0.904260058427869+2.385423133822i</v>
      </c>
      <c r="AQ157" s="98">
        <f t="shared" si="130"/>
        <v>8.1344285833295338</v>
      </c>
      <c r="AR157" s="169">
        <f t="shared" si="131"/>
        <v>110.76058701348363</v>
      </c>
      <c r="AS157" s="168" t="str">
        <f t="shared" si="132"/>
        <v>0.139334170785236+16.3934024872597i</v>
      </c>
      <c r="AT157" s="190">
        <f t="shared" si="133"/>
        <v>24.29369575681449</v>
      </c>
      <c r="AU157" s="169">
        <f t="shared" si="134"/>
        <v>89.513031678086307</v>
      </c>
      <c r="AV157" s="225"/>
      <c r="AX157">
        <f t="shared" si="135"/>
        <v>0</v>
      </c>
      <c r="AY157">
        <f t="shared" si="136"/>
        <v>0</v>
      </c>
    </row>
    <row r="158" spans="14:51" x14ac:dyDescent="0.2">
      <c r="N158" s="170">
        <v>40</v>
      </c>
      <c r="O158" s="199">
        <f t="shared" si="102"/>
        <v>251.18864315095806</v>
      </c>
      <c r="P158" s="189" t="str">
        <f t="shared" si="103"/>
        <v>6.8875</v>
      </c>
      <c r="Q158" s="160" t="str">
        <f t="shared" si="104"/>
        <v>1+0.39456619799412i</v>
      </c>
      <c r="R158" s="160">
        <f t="shared" si="112"/>
        <v>1.0750267366905508</v>
      </c>
      <c r="S158" s="160">
        <f t="shared" si="113"/>
        <v>0.37581330590486106</v>
      </c>
      <c r="T158" s="160" t="str">
        <f t="shared" si="105"/>
        <v>1+0.000631305916790592i</v>
      </c>
      <c r="U158" s="160">
        <f t="shared" si="114"/>
        <v>1.0000001992735605</v>
      </c>
      <c r="V158" s="160">
        <f t="shared" si="115"/>
        <v>6.3130583292221848E-4</v>
      </c>
      <c r="W158" s="98" t="str">
        <f t="shared" si="106"/>
        <v>1-0.00163947173681767i</v>
      </c>
      <c r="X158" s="160">
        <f t="shared" si="116"/>
        <v>1.0000013439328848</v>
      </c>
      <c r="Y158" s="160">
        <f t="shared" si="117"/>
        <v>-1.6394702679257314E-3</v>
      </c>
      <c r="Z158" s="98" t="str">
        <f t="shared" si="107"/>
        <v>0.999998696369123+0.00187933314890774i</v>
      </c>
      <c r="AA158" s="160">
        <f t="shared" si="118"/>
        <v>1.000000462316408</v>
      </c>
      <c r="AB158" s="160">
        <f t="shared" si="119"/>
        <v>1.8793333863291067E-3</v>
      </c>
      <c r="AC158" s="171" t="str">
        <f t="shared" si="120"/>
        <v>5.95287359198025-2.36869033543199i</v>
      </c>
      <c r="AD158" s="190">
        <f t="shared" si="121"/>
        <v>16.132856313620461</v>
      </c>
      <c r="AE158" s="169">
        <f t="shared" si="122"/>
        <v>-21.697957751723013</v>
      </c>
      <c r="AF158" s="98" t="str">
        <f t="shared" si="108"/>
        <v>-0.0000816326530612245</v>
      </c>
      <c r="AG158" s="98" t="str">
        <f t="shared" si="109"/>
        <v>0.0000350690436777173i</v>
      </c>
      <c r="AH158" s="98">
        <f t="shared" si="123"/>
        <v>3.5069043677717299E-5</v>
      </c>
      <c r="AI158" s="98">
        <f t="shared" si="124"/>
        <v>1.5707963267948966</v>
      </c>
      <c r="AJ158" s="98" t="str">
        <f t="shared" si="110"/>
        <v>1+0.0038847190820332i</v>
      </c>
      <c r="AK158" s="98">
        <f t="shared" si="125"/>
        <v>1.0000075454927058</v>
      </c>
      <c r="AL158" s="98">
        <f t="shared" si="126"/>
        <v>3.8846995407234154E-3</v>
      </c>
      <c r="AM158" s="98" t="str">
        <f t="shared" si="111"/>
        <v>1+0.392356627285353i</v>
      </c>
      <c r="AN158" s="98">
        <f t="shared" si="127"/>
        <v>1.0742177260568442</v>
      </c>
      <c r="AO158" s="98">
        <f t="shared" si="128"/>
        <v>0.37389994635269391</v>
      </c>
      <c r="AP158" s="168" t="str">
        <f t="shared" si="129"/>
        <v>-0.904259444255763+2.33128237359151i</v>
      </c>
      <c r="AQ158" s="98">
        <f t="shared" si="130"/>
        <v>7.9605805186518168</v>
      </c>
      <c r="AR158" s="169">
        <f t="shared" si="131"/>
        <v>111.20031199781744</v>
      </c>
      <c r="AS158" s="168" t="str">
        <f t="shared" si="132"/>
        <v>0.139143861480291+16.0197398835337i</v>
      </c>
      <c r="AT158" s="190">
        <f t="shared" si="133"/>
        <v>24.093436832272296</v>
      </c>
      <c r="AU158" s="169">
        <f t="shared" si="134"/>
        <v>89.502354246094427</v>
      </c>
      <c r="AV158" s="225"/>
      <c r="AX158">
        <f t="shared" si="135"/>
        <v>0</v>
      </c>
      <c r="AY158">
        <f t="shared" si="136"/>
        <v>0</v>
      </c>
    </row>
    <row r="159" spans="14:51" x14ac:dyDescent="0.2">
      <c r="N159" s="170">
        <v>41</v>
      </c>
      <c r="O159" s="199">
        <f t="shared" si="102"/>
        <v>257.03957827688663</v>
      </c>
      <c r="P159" s="189" t="str">
        <f t="shared" si="103"/>
        <v>6.8875</v>
      </c>
      <c r="Q159" s="160" t="str">
        <f t="shared" si="104"/>
        <v>1+0.403756825398242i</v>
      </c>
      <c r="R159" s="160">
        <f t="shared" si="112"/>
        <v>1.0784338524247403</v>
      </c>
      <c r="S159" s="160">
        <f t="shared" si="113"/>
        <v>0.38374081832362544</v>
      </c>
      <c r="T159" s="160" t="str">
        <f t="shared" si="105"/>
        <v>1+0.000646010920637188i</v>
      </c>
      <c r="U159" s="160">
        <f t="shared" si="114"/>
        <v>1.000000208665033</v>
      </c>
      <c r="V159" s="160">
        <f t="shared" si="115"/>
        <v>6.4601083077060783E-4</v>
      </c>
      <c r="W159" s="98" t="str">
        <f t="shared" si="106"/>
        <v>1-0.00167765993932788i</v>
      </c>
      <c r="X159" s="160">
        <f t="shared" si="116"/>
        <v>1.000001407270446</v>
      </c>
      <c r="Y159" s="160">
        <f t="shared" si="117"/>
        <v>-1.6776583653819301E-3</v>
      </c>
      <c r="Z159" s="98" t="str">
        <f t="shared" si="107"/>
        <v>0.999998634930893+0.00192310844143821i</v>
      </c>
      <c r="AA159" s="160">
        <f t="shared" si="118"/>
        <v>1.0000004841047463</v>
      </c>
      <c r="AB159" s="160">
        <f t="shared" si="119"/>
        <v>1.9231086958397478E-3</v>
      </c>
      <c r="AC159" s="171" t="str">
        <f t="shared" si="120"/>
        <v>5.91500012339107-2.40857254900903i</v>
      </c>
      <c r="AD159" s="190">
        <f t="shared" si="121"/>
        <v>16.105371826856022</v>
      </c>
      <c r="AE159" s="169">
        <f t="shared" si="122"/>
        <v>-22.15602437833504</v>
      </c>
      <c r="AF159" s="98" t="str">
        <f t="shared" si="108"/>
        <v>-0.0000816326530612245</v>
      </c>
      <c r="AG159" s="98" t="str">
        <f t="shared" si="109"/>
        <v>0.0000358859066413958i</v>
      </c>
      <c r="AH159" s="98">
        <f t="shared" si="123"/>
        <v>3.5885906641395802E-5</v>
      </c>
      <c r="AI159" s="98">
        <f t="shared" si="124"/>
        <v>1.5707963267948966</v>
      </c>
      <c r="AJ159" s="98" t="str">
        <f t="shared" si="110"/>
        <v>1+0.00397520581362389i</v>
      </c>
      <c r="AK159" s="98">
        <f t="shared" si="125"/>
        <v>1.0000079010994167</v>
      </c>
      <c r="AL159" s="98">
        <f t="shared" si="126"/>
        <v>3.9751848747421421E-3</v>
      </c>
      <c r="AM159" s="98" t="str">
        <f t="shared" si="111"/>
        <v>1+0.401495787176013i</v>
      </c>
      <c r="AN159" s="98">
        <f t="shared" si="127"/>
        <v>1.0775893777873307</v>
      </c>
      <c r="AO159" s="98">
        <f t="shared" si="128"/>
        <v>0.38179518335020757</v>
      </c>
      <c r="AP159" s="168" t="str">
        <f t="shared" si="129"/>
        <v>-0.904258801139502+2.27837768990872i</v>
      </c>
      <c r="AQ159" s="98">
        <f t="shared" si="130"/>
        <v>7.7877971734912474</v>
      </c>
      <c r="AR159" s="169">
        <f t="shared" si="131"/>
        <v>111.64749132828337</v>
      </c>
      <c r="AS159" s="168" t="str">
        <f t="shared" si="132"/>
        <v>0.138947039871136+15.654577242566i</v>
      </c>
      <c r="AT159" s="190">
        <f t="shared" si="133"/>
        <v>23.893169000347289</v>
      </c>
      <c r="AU159" s="169">
        <f t="shared" si="134"/>
        <v>89.491466949948332</v>
      </c>
      <c r="AV159" s="225"/>
      <c r="AX159">
        <f t="shared" si="135"/>
        <v>0</v>
      </c>
      <c r="AY159">
        <f t="shared" si="136"/>
        <v>0</v>
      </c>
    </row>
    <row r="160" spans="14:51" x14ac:dyDescent="0.2">
      <c r="N160" s="170">
        <v>42</v>
      </c>
      <c r="O160" s="199">
        <f t="shared" si="102"/>
        <v>263.02679918953817</v>
      </c>
      <c r="P160" s="189" t="str">
        <f t="shared" si="103"/>
        <v>6.8875</v>
      </c>
      <c r="Q160" s="160" t="str">
        <f t="shared" si="104"/>
        <v>1+0.413161530015545i</v>
      </c>
      <c r="R160" s="160">
        <f t="shared" si="112"/>
        <v>1.0819900414905796</v>
      </c>
      <c r="S160" s="160">
        <f t="shared" si="113"/>
        <v>0.3918007820322511</v>
      </c>
      <c r="T160" s="160" t="str">
        <f t="shared" si="105"/>
        <v>1+0.000661058448024872i</v>
      </c>
      <c r="U160" s="160">
        <f t="shared" si="114"/>
        <v>1.0000002184991119</v>
      </c>
      <c r="V160" s="160">
        <f t="shared" si="115"/>
        <v>6.6105835173109755E-4</v>
      </c>
      <c r="W160" s="98" t="str">
        <f t="shared" si="106"/>
        <v>1-0.00171673765934437i</v>
      </c>
      <c r="X160" s="160">
        <f t="shared" si="116"/>
        <v>1.0000014735930098</v>
      </c>
      <c r="Y160" s="160">
        <f t="shared" si="117"/>
        <v>-1.7167359728310334E-3</v>
      </c>
      <c r="Z160" s="98" t="str">
        <f t="shared" si="107"/>
        <v>0.999998570597168+0.00196790339151968i</v>
      </c>
      <c r="AA160" s="160">
        <f t="shared" si="118"/>
        <v>1.0000005069199402</v>
      </c>
      <c r="AB160" s="160">
        <f t="shared" si="119"/>
        <v>1.9679036641157954E-3</v>
      </c>
      <c r="AC160" s="171" t="str">
        <f t="shared" si="120"/>
        <v>5.87585054540137-2.44850031053333i</v>
      </c>
      <c r="AD160" s="190">
        <f t="shared" si="121"/>
        <v>16.076777259593513</v>
      </c>
      <c r="AE160" s="169">
        <f t="shared" si="122"/>
        <v>-22.621769667030701</v>
      </c>
      <c r="AF160" s="98" t="str">
        <f t="shared" si="108"/>
        <v>-0.0000816326530612245</v>
      </c>
      <c r="AG160" s="98" t="str">
        <f t="shared" si="109"/>
        <v>0.0000367217967877817i</v>
      </c>
      <c r="AH160" s="98">
        <f t="shared" si="123"/>
        <v>3.6721796787781699E-5</v>
      </c>
      <c r="AI160" s="98">
        <f t="shared" si="124"/>
        <v>1.5707963267948966</v>
      </c>
      <c r="AJ160" s="98" t="str">
        <f t="shared" si="110"/>
        <v>1+0.00406780025195503i</v>
      </c>
      <c r="AK160" s="98">
        <f t="shared" si="125"/>
        <v>1.0000082734652198</v>
      </c>
      <c r="AL160" s="98">
        <f t="shared" si="126"/>
        <v>4.0677778155490309E-3</v>
      </c>
      <c r="AM160" s="98" t="str">
        <f t="shared" si="111"/>
        <v>1+0.410847825447458i</v>
      </c>
      <c r="AN160" s="98">
        <f t="shared" si="127"/>
        <v>1.0811086604383968</v>
      </c>
      <c r="AO160" s="98">
        <f t="shared" si="128"/>
        <v>0.38982283081049784</v>
      </c>
      <c r="AP160" s="168" t="str">
        <f t="shared" si="129"/>
        <v>-0.904258127715086+2.22668103199398i</v>
      </c>
      <c r="AQ160" s="98">
        <f t="shared" si="130"/>
        <v>7.6161148319239977</v>
      </c>
      <c r="AR160" s="169">
        <f t="shared" si="131"/>
        <v>112.102136462456</v>
      </c>
      <c r="AS160" s="168" t="str">
        <f t="shared" si="132"/>
        <v>0.138743585377626+15.2977212627894i</v>
      </c>
      <c r="AT160" s="190">
        <f t="shared" si="133"/>
        <v>23.692892091517521</v>
      </c>
      <c r="AU160" s="169">
        <f t="shared" si="134"/>
        <v>89.480366795425311</v>
      </c>
      <c r="AV160" s="225"/>
      <c r="AX160">
        <f t="shared" si="135"/>
        <v>0</v>
      </c>
      <c r="AY160">
        <f t="shared" si="136"/>
        <v>0</v>
      </c>
    </row>
    <row r="161" spans="14:51" x14ac:dyDescent="0.2">
      <c r="N161" s="170">
        <v>43</v>
      </c>
      <c r="O161" s="199">
        <f t="shared" si="102"/>
        <v>269.15348039269179</v>
      </c>
      <c r="P161" s="189" t="str">
        <f t="shared" si="103"/>
        <v>6.8875</v>
      </c>
      <c r="Q161" s="160" t="str">
        <f t="shared" si="104"/>
        <v>1+0.422785298344903i</v>
      </c>
      <c r="R161" s="160">
        <f t="shared" si="112"/>
        <v>1.0857013440613346</v>
      </c>
      <c r="S161" s="160">
        <f t="shared" si="113"/>
        <v>0.39999328068872003</v>
      </c>
      <c r="T161" s="160" t="str">
        <f t="shared" si="105"/>
        <v>1+0.000676456477351844i</v>
      </c>
      <c r="U161" s="160">
        <f t="shared" si="114"/>
        <v>1.0000002287966567</v>
      </c>
      <c r="V161" s="160">
        <f t="shared" si="115"/>
        <v>6.7645637417120691E-4</v>
      </c>
      <c r="W161" s="98" t="str">
        <f t="shared" si="106"/>
        <v>1-0.00175672561639156i</v>
      </c>
      <c r="X161" s="160">
        <f t="shared" si="116"/>
        <v>1.0000015430412552</v>
      </c>
      <c r="Y161" s="160">
        <f t="shared" si="117"/>
        <v>-1.7567238092601118E-3</v>
      </c>
      <c r="Z161" s="98" t="str">
        <f t="shared" si="107"/>
        <v>0.999998503231487+0.00201374175002762i</v>
      </c>
      <c r="AA161" s="160">
        <f t="shared" si="118"/>
        <v>1.0000005308103843</v>
      </c>
      <c r="AB161" s="160">
        <f t="shared" si="119"/>
        <v>2.0137420421195732E-3</v>
      </c>
      <c r="AC161" s="171" t="str">
        <f t="shared" si="120"/>
        <v>5.83540288947495-2.48843253431019i</v>
      </c>
      <c r="AD161" s="190">
        <f t="shared" si="121"/>
        <v>16.047035507215814</v>
      </c>
      <c r="AE161" s="169">
        <f t="shared" si="122"/>
        <v>-23.095200501872906</v>
      </c>
      <c r="AF161" s="98" t="str">
        <f t="shared" si="108"/>
        <v>-0.0000816326530612245</v>
      </c>
      <c r="AG161" s="98" t="str">
        <f t="shared" si="109"/>
        <v>0.0000375771573168949i</v>
      </c>
      <c r="AH161" s="98">
        <f t="shared" si="123"/>
        <v>3.7577157316894899E-5</v>
      </c>
      <c r="AI161" s="98">
        <f t="shared" si="124"/>
        <v>1.5707963267948966</v>
      </c>
      <c r="AJ161" s="98" t="str">
        <f t="shared" si="110"/>
        <v>1+0.00416255149182348i</v>
      </c>
      <c r="AK161" s="98">
        <f t="shared" si="125"/>
        <v>1.0000086633799341</v>
      </c>
      <c r="AL161" s="98">
        <f t="shared" si="126"/>
        <v>4.1625274507925613E-3</v>
      </c>
      <c r="AM161" s="98" t="str">
        <f t="shared" si="111"/>
        <v>1+0.420417700674171i</v>
      </c>
      <c r="AN161" s="98">
        <f t="shared" si="127"/>
        <v>1.0847815646664341</v>
      </c>
      <c r="AO161" s="98">
        <f t="shared" si="128"/>
        <v>0.39798300544172316</v>
      </c>
      <c r="AP161" s="168" t="str">
        <f t="shared" si="129"/>
        <v>-0.904257422554237+2.17616498957776i</v>
      </c>
      <c r="AQ161" s="98">
        <f t="shared" si="130"/>
        <v>7.4455704371500522</v>
      </c>
      <c r="AR161" s="169">
        <f t="shared" si="131"/>
        <v>112.56425127470503</v>
      </c>
      <c r="AS161" s="168" t="str">
        <f t="shared" si="132"/>
        <v>0.138533383689929+14.9489830578317i</v>
      </c>
      <c r="AT161" s="190">
        <f t="shared" si="133"/>
        <v>23.492605944365849</v>
      </c>
      <c r="AU161" s="169">
        <f t="shared" si="134"/>
        <v>89.469050772832119</v>
      </c>
      <c r="AV161" s="225"/>
      <c r="AX161">
        <f t="shared" si="135"/>
        <v>0</v>
      </c>
      <c r="AY161">
        <f t="shared" si="136"/>
        <v>0</v>
      </c>
    </row>
    <row r="162" spans="14:51" x14ac:dyDescent="0.2">
      <c r="N162" s="170">
        <v>44</v>
      </c>
      <c r="O162" s="199">
        <f t="shared" si="102"/>
        <v>275.42287033381683</v>
      </c>
      <c r="P162" s="189" t="str">
        <f t="shared" si="103"/>
        <v>6.8875</v>
      </c>
      <c r="Q162" s="160" t="str">
        <f t="shared" si="104"/>
        <v>1+0.432633233035667i</v>
      </c>
      <c r="R162" s="160">
        <f t="shared" si="112"/>
        <v>1.0895740058972101</v>
      </c>
      <c r="S162" s="160">
        <f t="shared" si="113"/>
        <v>0.40831825816441369</v>
      </c>
      <c r="T162" s="160" t="str">
        <f t="shared" si="105"/>
        <v>1+0.000692213172857068i</v>
      </c>
      <c r="U162" s="160">
        <f t="shared" si="114"/>
        <v>1.0000002395795096</v>
      </c>
      <c r="V162" s="160">
        <f t="shared" si="115"/>
        <v>6.9221306229702486E-4</v>
      </c>
      <c r="W162" s="98" t="str">
        <f t="shared" si="106"/>
        <v>1-0.00179764501261358i</v>
      </c>
      <c r="X162" s="160">
        <f t="shared" si="116"/>
        <v>1.0000016157624902</v>
      </c>
      <c r="Y162" s="160">
        <f t="shared" si="117"/>
        <v>-1.7976430762375152E-3</v>
      </c>
      <c r="Z162" s="98" t="str">
        <f t="shared" si="107"/>
        <v>0.999998432690961+0.00206064782106645i</v>
      </c>
      <c r="AA162" s="160">
        <f t="shared" si="118"/>
        <v>1.0000005558267562</v>
      </c>
      <c r="AB162" s="160">
        <f t="shared" si="119"/>
        <v>2.0606481340485604E-3</v>
      </c>
      <c r="AC162" s="171" t="str">
        <f t="shared" si="120"/>
        <v>5.79363654967584-2.52832606667046i</v>
      </c>
      <c r="AD162" s="190">
        <f t="shared" si="121"/>
        <v>16.016108851137695</v>
      </c>
      <c r="AE162" s="169">
        <f t="shared" si="122"/>
        <v>-23.576315806442476</v>
      </c>
      <c r="AF162" s="98" t="str">
        <f t="shared" si="108"/>
        <v>-0.0000816326530612245</v>
      </c>
      <c r="AG162" s="98" t="str">
        <f t="shared" si="109"/>
        <v>0.0000384524417522101i</v>
      </c>
      <c r="AH162" s="98">
        <f t="shared" si="123"/>
        <v>3.8452441752210099E-5</v>
      </c>
      <c r="AI162" s="98">
        <f t="shared" si="124"/>
        <v>1.5707963267948966</v>
      </c>
      <c r="AJ162" s="98" t="str">
        <f t="shared" si="110"/>
        <v>1+0.00425950977159077i</v>
      </c>
      <c r="AK162" s="98">
        <f t="shared" si="125"/>
        <v>1.0000090716705996</v>
      </c>
      <c r="AL162" s="98">
        <f t="shared" si="126"/>
        <v>4.2594840111746446E-3</v>
      </c>
      <c r="AM162" s="98" t="str">
        <f t="shared" si="111"/>
        <v>1+0.430210486930668i</v>
      </c>
      <c r="AN162" s="98">
        <f t="shared" si="127"/>
        <v>1.0886142857160761</v>
      </c>
      <c r="AO162" s="98">
        <f t="shared" si="128"/>
        <v>0.40627568584018908</v>
      </c>
      <c r="AP162" s="168" t="str">
        <f t="shared" si="129"/>
        <v>-0.904256684161355+2.12680277836721i</v>
      </c>
      <c r="AQ162" s="98">
        <f t="shared" si="130"/>
        <v>7.2762015555061748</v>
      </c>
      <c r="AR162" s="169">
        <f t="shared" si="131"/>
        <v>113.03383166068194</v>
      </c>
      <c r="AS162" s="168" t="str">
        <f t="shared" si="132"/>
        <v>0.138316327567066+14.6081780562265i</v>
      </c>
      <c r="AT162" s="190">
        <f t="shared" si="133"/>
        <v>23.292310406643843</v>
      </c>
      <c r="AU162" s="169">
        <f t="shared" si="134"/>
        <v>89.45751585423946</v>
      </c>
      <c r="AV162" s="225"/>
      <c r="AX162">
        <f t="shared" si="135"/>
        <v>0</v>
      </c>
      <c r="AY162">
        <f t="shared" si="136"/>
        <v>0</v>
      </c>
    </row>
    <row r="163" spans="14:51" x14ac:dyDescent="0.2">
      <c r="N163" s="170">
        <v>45</v>
      </c>
      <c r="O163" s="199">
        <f t="shared" si="102"/>
        <v>281.83829312644554</v>
      </c>
      <c r="P163" s="189" t="str">
        <f t="shared" si="103"/>
        <v>6.8875</v>
      </c>
      <c r="Q163" s="160" t="str">
        <f t="shared" si="104"/>
        <v>1+0.442710555593165i</v>
      </c>
      <c r="R163" s="160">
        <f t="shared" si="112"/>
        <v>1.0936144823627789</v>
      </c>
      <c r="S163" s="160">
        <f t="shared" si="113"/>
        <v>0.41677551170401966</v>
      </c>
      <c r="T163" s="160" t="str">
        <f t="shared" si="105"/>
        <v>1+0.000708336888949064i</v>
      </c>
      <c r="U163" s="160">
        <f t="shared" si="114"/>
        <v>1.0000002508705426</v>
      </c>
      <c r="V163" s="160">
        <f t="shared" si="115"/>
        <v>7.0833677048184505E-4</v>
      </c>
      <c r="W163" s="98" t="str">
        <f t="shared" si="106"/>
        <v>1-0.00183951754401592i</v>
      </c>
      <c r="X163" s="160">
        <f t="shared" si="116"/>
        <v>1.0000016919109662</v>
      </c>
      <c r="Y163" s="160">
        <f t="shared" si="117"/>
        <v>-1.839515469151774E-3</v>
      </c>
      <c r="Z163" s="98" t="str">
        <f t="shared" si="107"/>
        <v>0.999998358825961+0.0021086464748559i</v>
      </c>
      <c r="AA163" s="160">
        <f t="shared" si="118"/>
        <v>1.0000005820221163</v>
      </c>
      <c r="AB163" s="160">
        <f t="shared" si="119"/>
        <v>2.1086468102222132E-3</v>
      </c>
      <c r="AC163" s="171" t="str">
        <f t="shared" si="120"/>
        <v>5.75053244164762-2.56813570171829i</v>
      </c>
      <c r="AD163" s="190">
        <f t="shared" si="121"/>
        <v>15.983959000367031</v>
      </c>
      <c r="AE163" s="169">
        <f t="shared" si="122"/>
        <v>-24.065106153063905</v>
      </c>
      <c r="AF163" s="98" t="str">
        <f t="shared" si="108"/>
        <v>-0.0000816326530612245</v>
      </c>
      <c r="AG163" s="98" t="str">
        <f t="shared" si="109"/>
        <v>0.0000393481141811204i</v>
      </c>
      <c r="AH163" s="98">
        <f t="shared" si="123"/>
        <v>3.93481141811204E-5</v>
      </c>
      <c r="AI163" s="98">
        <f t="shared" si="124"/>
        <v>1.5707963267948966</v>
      </c>
      <c r="AJ163" s="98" t="str">
        <f t="shared" si="110"/>
        <v>1+0.00435872649982023i</v>
      </c>
      <c r="AK163" s="98">
        <f t="shared" si="125"/>
        <v>1.0000094992032327</v>
      </c>
      <c r="AL163" s="98">
        <f t="shared" si="126"/>
        <v>4.3586988970512009E-3</v>
      </c>
      <c r="AM163" s="98" t="str">
        <f t="shared" si="111"/>
        <v>1+0.440231376481843i</v>
      </c>
      <c r="AN163" s="98">
        <f t="shared" si="127"/>
        <v>1.0926132274684845</v>
      </c>
      <c r="AO163" s="98">
        <f t="shared" si="128"/>
        <v>0.4147007056386135</v>
      </c>
      <c r="AP163" s="168" t="str">
        <f t="shared" si="129"/>
        <v>-0.904255910970384+2.07856822584478i</v>
      </c>
      <c r="AQ163" s="98">
        <f t="shared" si="130"/>
        <v>7.1080463360056543</v>
      </c>
      <c r="AR163" s="169">
        <f t="shared" si="131"/>
        <v>113.51086514322034</v>
      </c>
      <c r="AS163" s="168" t="str">
        <f t="shared" si="132"/>
        <v>0.13809231766241+14.2751259033512i</v>
      </c>
      <c r="AT163" s="190">
        <f t="shared" si="133"/>
        <v>23.092005336372701</v>
      </c>
      <c r="AU163" s="169">
        <f t="shared" si="134"/>
        <v>89.445758990156463</v>
      </c>
      <c r="AV163" s="225"/>
      <c r="AX163">
        <f t="shared" si="135"/>
        <v>0</v>
      </c>
      <c r="AY163">
        <f t="shared" si="136"/>
        <v>0</v>
      </c>
    </row>
    <row r="164" spans="14:51" x14ac:dyDescent="0.2">
      <c r="N164" s="170">
        <v>46</v>
      </c>
      <c r="O164" s="199">
        <f t="shared" si="102"/>
        <v>288.40315031266073</v>
      </c>
      <c r="P164" s="189" t="str">
        <f t="shared" si="103"/>
        <v>6.8875</v>
      </c>
      <c r="Q164" s="160" t="str">
        <f t="shared" si="104"/>
        <v>1+0.453022609147205i</v>
      </c>
      <c r="R164" s="160">
        <f t="shared" si="112"/>
        <v>1.0978294423081125</v>
      </c>
      <c r="S164" s="160">
        <f t="shared" si="113"/>
        <v>0.42536468515692927</v>
      </c>
      <c r="T164" s="160" t="str">
        <f t="shared" si="105"/>
        <v>1+0.000724836174635528i</v>
      </c>
      <c r="U164" s="160">
        <f t="shared" si="114"/>
        <v>1.0000002626937055</v>
      </c>
      <c r="V164" s="160">
        <f t="shared" si="115"/>
        <v>7.2483604769561761E-4</v>
      </c>
      <c r="W164" s="98" t="str">
        <f t="shared" si="106"/>
        <v>1-0.001882365411969i</v>
      </c>
      <c r="X164" s="160">
        <f t="shared" si="116"/>
        <v>1.0000017716482028</v>
      </c>
      <c r="Y164" s="160">
        <f t="shared" si="117"/>
        <v>-1.8823631887122244E-3</v>
      </c>
      <c r="Z164" s="98" t="str">
        <f t="shared" si="107"/>
        <v>0.999998281479812+0.00215776316091756i</v>
      </c>
      <c r="AA164" s="160">
        <f t="shared" si="118"/>
        <v>1.0000006094520322</v>
      </c>
      <c r="AB164" s="160">
        <f t="shared" si="119"/>
        <v>2.1577635202689686E-3</v>
      </c>
      <c r="AC164" s="171" t="str">
        <f t="shared" si="120"/>
        <v>5.7060731660769-2.60781420881782i</v>
      </c>
      <c r="AD164" s="190">
        <f t="shared" si="121"/>
        <v>15.950547137715066</v>
      </c>
      <c r="AE164" s="169">
        <f t="shared" si="122"/>
        <v>-24.561553376153928</v>
      </c>
      <c r="AF164" s="98" t="str">
        <f t="shared" si="108"/>
        <v>-0.0000816326530612245</v>
      </c>
      <c r="AG164" s="98" t="str">
        <f t="shared" si="109"/>
        <v>0.0000402646495010035i</v>
      </c>
      <c r="AH164" s="98">
        <f t="shared" si="123"/>
        <v>4.0264649501003503E-5</v>
      </c>
      <c r="AI164" s="98">
        <f t="shared" si="124"/>
        <v>1.5707963267948966</v>
      </c>
      <c r="AJ164" s="98" t="str">
        <f t="shared" si="110"/>
        <v>1+0.00446025428253446i</v>
      </c>
      <c r="AK164" s="98">
        <f t="shared" si="125"/>
        <v>1.0000099468846622</v>
      </c>
      <c r="AL164" s="98">
        <f t="shared" si="126"/>
        <v>4.460224705650457E-3</v>
      </c>
      <c r="AM164" s="98" t="str">
        <f t="shared" si="111"/>
        <v>1+0.450485682535981i</v>
      </c>
      <c r="AN164" s="98">
        <f t="shared" si="127"/>
        <v>1.0967850063571751</v>
      </c>
      <c r="AO164" s="98">
        <f t="shared" si="128"/>
        <v>0.42325774671648203</v>
      </c>
      <c r="AP164" s="168" t="str">
        <f t="shared" si="129"/>
        <v>-0.904255101341461+2.03143575739107i</v>
      </c>
      <c r="AQ164" s="98">
        <f t="shared" si="130"/>
        <v>6.9411434652597324</v>
      </c>
      <c r="AR164" s="169">
        <f t="shared" si="131"/>
        <v>113.99533048175786</v>
      </c>
      <c r="AS164" s="168" t="str">
        <f t="shared" si="132"/>
        <v>0.137861263372364+13.9496503655325i</v>
      </c>
      <c r="AT164" s="190">
        <f t="shared" si="133"/>
        <v>22.891690602974769</v>
      </c>
      <c r="AU164" s="169">
        <f t="shared" si="134"/>
        <v>89.433777105603923</v>
      </c>
      <c r="AV164" s="225"/>
      <c r="AX164">
        <f t="shared" si="135"/>
        <v>0</v>
      </c>
      <c r="AY164">
        <f t="shared" si="136"/>
        <v>0</v>
      </c>
    </row>
    <row r="165" spans="14:51" x14ac:dyDescent="0.2">
      <c r="N165" s="170">
        <v>47</v>
      </c>
      <c r="O165" s="199">
        <f t="shared" si="102"/>
        <v>295.12092266663871</v>
      </c>
      <c r="P165" s="189" t="str">
        <f t="shared" si="103"/>
        <v>6.8875</v>
      </c>
      <c r="Q165" s="160" t="str">
        <f t="shared" si="104"/>
        <v>1+0.463574861285077i</v>
      </c>
      <c r="R165" s="160">
        <f t="shared" si="112"/>
        <v>1.1022257717979009</v>
      </c>
      <c r="S165" s="160">
        <f t="shared" si="113"/>
        <v>0.43408526232052785</v>
      </c>
      <c r="T165" s="160" t="str">
        <f t="shared" si="105"/>
        <v>1+0.000741719778056124i</v>
      </c>
      <c r="U165" s="160">
        <f t="shared" si="114"/>
        <v>1.0000002750740768</v>
      </c>
      <c r="V165" s="160">
        <f t="shared" si="115"/>
        <v>7.4171964203756141E-4</v>
      </c>
      <c r="W165" s="98" t="str">
        <f t="shared" si="106"/>
        <v>1-0.00192621133497955i</v>
      </c>
      <c r="X165" s="160">
        <f t="shared" si="116"/>
        <v>1.0000018551433327</v>
      </c>
      <c r="Y165" s="160">
        <f t="shared" si="117"/>
        <v>-1.9262089527172332E-3</v>
      </c>
      <c r="Z165" s="98" t="str">
        <f t="shared" si="107"/>
        <v>0.99999820048845+0.00220802392156851i</v>
      </c>
      <c r="AA165" s="160">
        <f t="shared" si="118"/>
        <v>1.0000006381746847</v>
      </c>
      <c r="AB165" s="160">
        <f t="shared" si="119"/>
        <v>2.2080243066204056E-3</v>
      </c>
      <c r="AC165" s="171" t="str">
        <f t="shared" si="120"/>
        <v>5.66024317585202-2.64731237266714i</v>
      </c>
      <c r="AD165" s="190">
        <f t="shared" si="121"/>
        <v>15.915833970774379</v>
      </c>
      <c r="AE165" s="169">
        <f t="shared" si="122"/>
        <v>-25.065630192007397</v>
      </c>
      <c r="AF165" s="98" t="str">
        <f t="shared" si="108"/>
        <v>-0.0000816326530612245</v>
      </c>
      <c r="AG165" s="98" t="str">
        <f t="shared" si="109"/>
        <v>0.0000412025336710176i</v>
      </c>
      <c r="AH165" s="98">
        <f t="shared" si="123"/>
        <v>4.1202533671017598E-5</v>
      </c>
      <c r="AI165" s="98">
        <f t="shared" si="124"/>
        <v>1.5707963267948966</v>
      </c>
      <c r="AJ165" s="98" t="str">
        <f t="shared" si="110"/>
        <v>1+0.00456414695110773i</v>
      </c>
      <c r="AK165" s="98">
        <f t="shared" si="125"/>
        <v>1.0000104156644527</v>
      </c>
      <c r="AL165" s="98">
        <f t="shared" si="126"/>
        <v>4.5641152589233598E-3</v>
      </c>
      <c r="AM165" s="98" t="str">
        <f t="shared" si="111"/>
        <v>1+0.460978842061881i</v>
      </c>
      <c r="AN165" s="98">
        <f t="shared" si="127"/>
        <v>1.1011364551356533</v>
      </c>
      <c r="AO165" s="98">
        <f t="shared" si="128"/>
        <v>0.43194633251216596</v>
      </c>
      <c r="AP165" s="168" t="str">
        <f t="shared" si="129"/>
        <v>-0.904254253557453+1.9853803827247i</v>
      </c>
      <c r="AQ165" s="98">
        <f t="shared" si="130"/>
        <v>6.7755321176576633</v>
      </c>
      <c r="AR165" s="169">
        <f t="shared" si="131"/>
        <v>114.48719728755398</v>
      </c>
      <c r="AS165" s="168" t="str">
        <f t="shared" si="132"/>
        <v>0.137623083703985+13.6315792362675i</v>
      </c>
      <c r="AT165" s="190">
        <f t="shared" si="133"/>
        <v>22.691366088432048</v>
      </c>
      <c r="AU165" s="169">
        <f t="shared" si="134"/>
        <v>89.421567095546592</v>
      </c>
      <c r="AV165" s="225"/>
      <c r="AX165">
        <f t="shared" si="135"/>
        <v>0</v>
      </c>
      <c r="AY165">
        <f t="shared" si="136"/>
        <v>0</v>
      </c>
    </row>
    <row r="166" spans="14:51" x14ac:dyDescent="0.2">
      <c r="N166" s="170">
        <v>48</v>
      </c>
      <c r="O166" s="199">
        <f t="shared" si="102"/>
        <v>301.99517204020168</v>
      </c>
      <c r="P166" s="189" t="str">
        <f t="shared" si="103"/>
        <v>6.8875</v>
      </c>
      <c r="Q166" s="160" t="str">
        <f t="shared" si="104"/>
        <v>1+0.474372906950542i</v>
      </c>
      <c r="R166" s="160">
        <f t="shared" si="112"/>
        <v>1.1068105776729402</v>
      </c>
      <c r="S166" s="160">
        <f t="shared" si="113"/>
        <v>0.44293656043849511</v>
      </c>
      <c r="T166" s="160" t="str">
        <f t="shared" si="105"/>
        <v>1+0.000758996651120868i</v>
      </c>
      <c r="U166" s="160">
        <f t="shared" si="114"/>
        <v>1.0000002880379166</v>
      </c>
      <c r="V166" s="160">
        <f t="shared" si="115"/>
        <v>7.5899650537435462E-4</v>
      </c>
      <c r="W166" s="98" t="str">
        <f t="shared" si="106"/>
        <v>1-0.00197107856073633i</v>
      </c>
      <c r="X166" s="160">
        <f t="shared" si="116"/>
        <v>1.0000019425734594</v>
      </c>
      <c r="Y166" s="160">
        <f t="shared" si="117"/>
        <v>-1.9710760080965352E-3</v>
      </c>
      <c r="Z166" s="98" t="str">
        <f t="shared" si="107"/>
        <v>0.999998115680084+0.00225945540572932i</v>
      </c>
      <c r="AA166" s="160">
        <f t="shared" si="118"/>
        <v>1.0000006682510014</v>
      </c>
      <c r="AB166" s="160">
        <f t="shared" si="119"/>
        <v>2.2594558183197709E-3</v>
      </c>
      <c r="AC166" s="171" t="str">
        <f t="shared" si="120"/>
        <v>5.61302894601049-2.68657904677064i</v>
      </c>
      <c r="AD166" s="190">
        <f t="shared" si="121"/>
        <v>15.879779787757965</v>
      </c>
      <c r="AE166" s="169">
        <f t="shared" si="122"/>
        <v>-25.577299827493349</v>
      </c>
      <c r="AF166" s="98" t="str">
        <f t="shared" si="108"/>
        <v>-0.0000816326530612245</v>
      </c>
      <c r="AG166" s="98" t="str">
        <f t="shared" si="109"/>
        <v>0.0000421622639697641i</v>
      </c>
      <c r="AH166" s="98">
        <f t="shared" si="123"/>
        <v>4.2162263969764098E-5</v>
      </c>
      <c r="AI166" s="98">
        <f t="shared" si="124"/>
        <v>1.5707963267948966</v>
      </c>
      <c r="AJ166" s="98" t="str">
        <f t="shared" si="110"/>
        <v>1+0.00467045959080812i</v>
      </c>
      <c r="AK166" s="98">
        <f t="shared" si="125"/>
        <v>1.0000109065369185</v>
      </c>
      <c r="AL166" s="98">
        <f t="shared" si="126"/>
        <v>4.6704256320407459E-3</v>
      </c>
      <c r="AM166" s="98" t="str">
        <f t="shared" si="111"/>
        <v>1+0.47171641867162i</v>
      </c>
      <c r="AN166" s="98">
        <f t="shared" si="127"/>
        <v>1.1056746264812172</v>
      </c>
      <c r="AO166" s="98">
        <f t="shared" si="128"/>
        <v>0.44076582147930377</v>
      </c>
      <c r="AP166" s="168" t="str">
        <f t="shared" si="129"/>
        <v>-0.904253365820327+1.94037768265206i</v>
      </c>
      <c r="AQ166" s="98">
        <f t="shared" si="130"/>
        <v>6.6112519007055228</v>
      </c>
      <c r="AR166" s="169">
        <f t="shared" si="131"/>
        <v>114.98642564713511</v>
      </c>
      <c r="AS166" s="168" t="str">
        <f t="shared" si="132"/>
        <v>0.137377708157486+13.3207442445035i</v>
      </c>
      <c r="AT166" s="190">
        <f t="shared" si="133"/>
        <v>22.491031688463497</v>
      </c>
      <c r="AU166" s="169">
        <f t="shared" si="134"/>
        <v>89.409125819641773</v>
      </c>
      <c r="AV166" s="225"/>
      <c r="AX166">
        <f t="shared" si="135"/>
        <v>0</v>
      </c>
      <c r="AY166">
        <f t="shared" si="136"/>
        <v>0</v>
      </c>
    </row>
    <row r="167" spans="14:51" x14ac:dyDescent="0.2">
      <c r="N167" s="170">
        <v>49</v>
      </c>
      <c r="O167" s="199">
        <f t="shared" si="102"/>
        <v>309.02954325135937</v>
      </c>
      <c r="P167" s="189" t="str">
        <f t="shared" si="103"/>
        <v>6.8875</v>
      </c>
      <c r="Q167" s="160" t="str">
        <f t="shared" si="104"/>
        <v>1+0.48542247141034i</v>
      </c>
      <c r="R167" s="160">
        <f t="shared" si="112"/>
        <v>1.1115911909286267</v>
      </c>
      <c r="S167" s="160">
        <f t="shared" si="113"/>
        <v>0.45191772389985646</v>
      </c>
      <c r="T167" s="160" t="str">
        <f t="shared" si="105"/>
        <v>1+0.000776675954256544i</v>
      </c>
      <c r="U167" s="160">
        <f t="shared" si="114"/>
        <v>1.0000003016127235</v>
      </c>
      <c r="V167" s="160">
        <f t="shared" si="115"/>
        <v>7.7667579808634376E-4</v>
      </c>
      <c r="W167" s="98" t="str">
        <f t="shared" si="106"/>
        <v>1-0.00201699087843632i</v>
      </c>
      <c r="X167" s="160">
        <f t="shared" si="116"/>
        <v>1.000002034124033</v>
      </c>
      <c r="Y167" s="160">
        <f t="shared" si="117"/>
        <v>-2.0169881432338011E-3</v>
      </c>
      <c r="Z167" s="98" t="str">
        <f t="shared" si="107"/>
        <v>0.999998026874822+0.00231208488305368i</v>
      </c>
      <c r="AA167" s="160">
        <f t="shared" si="118"/>
        <v>1.000000699744777</v>
      </c>
      <c r="AB167" s="160">
        <f t="shared" si="119"/>
        <v>2.3120853251522165E-3</v>
      </c>
      <c r="AC167" s="171" t="str">
        <f t="shared" si="120"/>
        <v>5.56441914545044-2.7255612210691i</v>
      </c>
      <c r="AD167" s="190">
        <f t="shared" si="121"/>
        <v>15.842344518265541</v>
      </c>
      <c r="AE167" s="169">
        <f t="shared" si="122"/>
        <v>-26.096515660280438</v>
      </c>
      <c r="AF167" s="98" t="str">
        <f t="shared" si="108"/>
        <v>-0.0000816326530612245</v>
      </c>
      <c r="AG167" s="98" t="str">
        <f t="shared" si="109"/>
        <v>0.000043144349258951i</v>
      </c>
      <c r="AH167" s="98">
        <f t="shared" si="123"/>
        <v>4.3144349258951003E-5</v>
      </c>
      <c r="AI167" s="98">
        <f t="shared" si="124"/>
        <v>1.5707963267948966</v>
      </c>
      <c r="AJ167" s="98" t="str">
        <f t="shared" si="110"/>
        <v>1+0.00477924857000438i</v>
      </c>
      <c r="AK167" s="98">
        <f t="shared" si="125"/>
        <v>1.0000114205432324</v>
      </c>
      <c r="AL167" s="98">
        <f t="shared" si="126"/>
        <v>4.7792121825520001E-3</v>
      </c>
      <c r="AM167" s="98" t="str">
        <f t="shared" si="111"/>
        <v>1+0.482704105570442i</v>
      </c>
      <c r="AN167" s="98">
        <f t="shared" si="127"/>
        <v>1.1104067964194746</v>
      </c>
      <c r="AO167" s="98">
        <f t="shared" si="128"/>
        <v>0.44971540073253319</v>
      </c>
      <c r="AP167" s="168" t="str">
        <f t="shared" si="129"/>
        <v>-0.904252436247298+1.89640379611979i</v>
      </c>
      <c r="AQ167" s="98">
        <f t="shared" si="130"/>
        <v>6.4483427954501904</v>
      </c>
      <c r="AR167" s="169">
        <f t="shared" si="131"/>
        <v>115.49296575655089</v>
      </c>
      <c r="AS167" s="168" t="str">
        <f t="shared" si="132"/>
        <v>0.137125077617663+13.0169809649267i</v>
      </c>
      <c r="AT167" s="190">
        <f t="shared" si="133"/>
        <v>22.290687313715701</v>
      </c>
      <c r="AU167" s="169">
        <f t="shared" si="134"/>
        <v>89.39645009627047</v>
      </c>
      <c r="AV167" s="225"/>
      <c r="AX167">
        <f t="shared" si="135"/>
        <v>0</v>
      </c>
      <c r="AY167">
        <f t="shared" si="136"/>
        <v>0</v>
      </c>
    </row>
    <row r="168" spans="14:51" x14ac:dyDescent="0.2">
      <c r="N168" s="170">
        <v>50</v>
      </c>
      <c r="O168" s="199">
        <f t="shared" si="102"/>
        <v>316.22776601683825</v>
      </c>
      <c r="P168" s="189" t="str">
        <f t="shared" si="103"/>
        <v>6.8875</v>
      </c>
      <c r="Q168" s="160" t="str">
        <f t="shared" si="104"/>
        <v>1+0.496729413289805i</v>
      </c>
      <c r="R168" s="160">
        <f t="shared" si="112"/>
        <v>1.1165751698955311</v>
      </c>
      <c r="S168" s="160">
        <f t="shared" si="113"/>
        <v>0.46102771818695348</v>
      </c>
      <c r="T168" s="160" t="str">
        <f t="shared" si="105"/>
        <v>1+0.000794767061263688i</v>
      </c>
      <c r="U168" s="160">
        <f t="shared" si="114"/>
        <v>1.000000315827291</v>
      </c>
      <c r="V168" s="160">
        <f t="shared" si="115"/>
        <v>7.9476689392430635E-4</v>
      </c>
      <c r="W168" s="98" t="str">
        <f t="shared" si="106"/>
        <v>1-0.00206397263139808i</v>
      </c>
      <c r="X168" s="160">
        <f t="shared" si="116"/>
        <v>1.0000021299892432</v>
      </c>
      <c r="Y168" s="160">
        <f t="shared" si="117"/>
        <v>-2.0639697005761146E-3</v>
      </c>
      <c r="Z168" s="98" t="str">
        <f t="shared" si="107"/>
        <v>0.999997933884297+0.0023659402583871i</v>
      </c>
      <c r="AA168" s="160">
        <f t="shared" si="118"/>
        <v>1.0000007327228162</v>
      </c>
      <c r="AB168" s="160">
        <f t="shared" si="119"/>
        <v>2.3659407321041073E-3</v>
      </c>
      <c r="AC168" s="171" t="str">
        <f t="shared" si="120"/>
        <v>5.51440480926198-2.76420410442005i</v>
      </c>
      <c r="AD168" s="190">
        <f t="shared" si="121"/>
        <v>15.803487799011659</v>
      </c>
      <c r="AE168" s="169">
        <f t="shared" si="122"/>
        <v>-26.623220873354075</v>
      </c>
      <c r="AF168" s="98" t="str">
        <f t="shared" si="108"/>
        <v>-0.0000816326530612245</v>
      </c>
      <c r="AG168" s="98" t="str">
        <f t="shared" si="109"/>
        <v>0.0000441493102531979i</v>
      </c>
      <c r="AH168" s="98">
        <f t="shared" si="123"/>
        <v>4.4149310253197902E-5</v>
      </c>
      <c r="AI168" s="98">
        <f t="shared" si="124"/>
        <v>1.5707963267948966</v>
      </c>
      <c r="AJ168" s="98" t="str">
        <f t="shared" si="110"/>
        <v>1+0.00489057157005329i</v>
      </c>
      <c r="AK168" s="98">
        <f t="shared" si="125"/>
        <v>1.0000119587736349</v>
      </c>
      <c r="AL168" s="98">
        <f t="shared" si="126"/>
        <v>4.8905325802207789E-3</v>
      </c>
      <c r="AM168" s="98" t="str">
        <f t="shared" si="111"/>
        <v>1+0.493947728575382i</v>
      </c>
      <c r="AN168" s="98">
        <f t="shared" si="127"/>
        <v>1.1153404675545397</v>
      </c>
      <c r="AO168" s="98">
        <f t="shared" si="128"/>
        <v>0.45879407993020005</v>
      </c>
      <c r="AP168" s="168" t="str">
        <f t="shared" si="129"/>
        <v>-0.904251462866898+1.85343540756325i</v>
      </c>
      <c r="AQ168" s="98">
        <f t="shared" si="130"/>
        <v>6.2868450919465513</v>
      </c>
      <c r="AR168" s="169">
        <f t="shared" si="131"/>
        <v>116.00675756917035</v>
      </c>
      <c r="AS168" s="168" t="str">
        <f t="shared" si="132"/>
        <v>0.136865145248381+12.7201287302077i</v>
      </c>
      <c r="AT168" s="190">
        <f t="shared" si="133"/>
        <v>22.090332890958187</v>
      </c>
      <c r="AU168" s="169">
        <f t="shared" si="134"/>
        <v>89.383536695816275</v>
      </c>
      <c r="AV168" s="225"/>
      <c r="AX168">
        <f t="shared" si="135"/>
        <v>0</v>
      </c>
      <c r="AY168">
        <f t="shared" si="136"/>
        <v>0</v>
      </c>
    </row>
    <row r="169" spans="14:51" x14ac:dyDescent="0.2">
      <c r="N169" s="170">
        <v>51</v>
      </c>
      <c r="O169" s="199">
        <f t="shared" si="102"/>
        <v>323.59365692962825</v>
      </c>
      <c r="P169" s="189" t="str">
        <f t="shared" si="103"/>
        <v>6.8875</v>
      </c>
      <c r="Q169" s="160" t="str">
        <f t="shared" si="104"/>
        <v>1+0.508299727679188i</v>
      </c>
      <c r="R169" s="160">
        <f t="shared" si="112"/>
        <v>1.1217703032077184</v>
      </c>
      <c r="S169" s="160">
        <f t="shared" si="113"/>
        <v>0.47026532412264632</v>
      </c>
      <c r="T169" s="160" t="str">
        <f t="shared" si="105"/>
        <v>1+0.0008132795642867i</v>
      </c>
      <c r="U169" s="160">
        <f t="shared" si="114"/>
        <v>1.0000003307117702</v>
      </c>
      <c r="V169" s="160">
        <f t="shared" si="115"/>
        <v>8.1327938497932531E-4</v>
      </c>
      <c r="W169" s="98" t="str">
        <f t="shared" si="106"/>
        <v>1-0.00211204872996892i</v>
      </c>
      <c r="X169" s="160">
        <f t="shared" si="116"/>
        <v>1.0000022303724316</v>
      </c>
      <c r="Y169" s="160">
        <f t="shared" si="117"/>
        <v>-2.1120455895369821E-3</v>
      </c>
      <c r="Z169" s="98" t="str">
        <f t="shared" si="107"/>
        <v>0.999997836511264+0.00242105008656243i</v>
      </c>
      <c r="AA169" s="160">
        <f t="shared" si="118"/>
        <v>1.0000007672550708</v>
      </c>
      <c r="AB169" s="160">
        <f t="shared" si="119"/>
        <v>2.4210505941592254E-3</v>
      </c>
      <c r="AC169" s="171" t="str">
        <f t="shared" si="120"/>
        <v>5.46297951041731-2.80245122253681i</v>
      </c>
      <c r="AD169" s="190">
        <f t="shared" si="121"/>
        <v>15.763169044515417</v>
      </c>
      <c r="AE169" s="169">
        <f t="shared" si="122"/>
        <v>-27.157348126707632</v>
      </c>
      <c r="AF169" s="98" t="str">
        <f t="shared" si="108"/>
        <v>-0.0000816326530612245</v>
      </c>
      <c r="AG169" s="98" t="str">
        <f t="shared" si="109"/>
        <v>0.0000451776797961262i</v>
      </c>
      <c r="AH169" s="98">
        <f t="shared" si="123"/>
        <v>4.5177679796126201E-5</v>
      </c>
      <c r="AI169" s="98">
        <f t="shared" si="124"/>
        <v>1.5707963267948966</v>
      </c>
      <c r="AJ169" s="98" t="str">
        <f t="shared" si="110"/>
        <v>1+0.00500448761588301i</v>
      </c>
      <c r="AK169" s="98">
        <f t="shared" si="125"/>
        <v>1.0000125223697438</v>
      </c>
      <c r="AL169" s="98">
        <f t="shared" si="126"/>
        <v>5.0044458375530206E-3</v>
      </c>
      <c r="AM169" s="98" t="str">
        <f t="shared" si="111"/>
        <v>1+0.505453249204184i</v>
      </c>
      <c r="AN169" s="98">
        <f t="shared" si="127"/>
        <v>1.1204833720903968</v>
      </c>
      <c r="AO169" s="98">
        <f t="shared" si="128"/>
        <v>0.46800068544382806</v>
      </c>
      <c r="AP169" s="168" t="str">
        <f t="shared" si="129"/>
        <v>-0.904250443614735+1.81144973454411i</v>
      </c>
      <c r="AQ169" s="98">
        <f t="shared" si="130"/>
        <v>6.126799319758228</v>
      </c>
      <c r="AR169" s="169">
        <f t="shared" si="131"/>
        <v>116.52773045986733</v>
      </c>
      <c r="AS169" s="168" t="str">
        <f t="shared" si="132"/>
        <v>0.136597877384061+12.4300305451529i</v>
      </c>
      <c r="AT169" s="190">
        <f t="shared" si="133"/>
        <v>21.889968364273635</v>
      </c>
      <c r="AU169" s="169">
        <f t="shared" si="134"/>
        <v>89.370382333159696</v>
      </c>
      <c r="AV169" s="225"/>
      <c r="AX169">
        <f t="shared" si="135"/>
        <v>0</v>
      </c>
      <c r="AY169">
        <f t="shared" si="136"/>
        <v>0</v>
      </c>
    </row>
    <row r="170" spans="14:51" x14ac:dyDescent="0.2">
      <c r="N170" s="170">
        <v>52</v>
      </c>
      <c r="O170" s="199">
        <f t="shared" si="102"/>
        <v>331.13112148259137</v>
      </c>
      <c r="P170" s="189" t="str">
        <f t="shared" si="103"/>
        <v>6.8875</v>
      </c>
      <c r="Q170" s="160" t="str">
        <f t="shared" si="104"/>
        <v>1+0.52013954931233i</v>
      </c>
      <c r="R170" s="160">
        <f t="shared" si="112"/>
        <v>1.1271846125452714</v>
      </c>
      <c r="S170" s="160">
        <f t="shared" si="113"/>
        <v>0.47962913246892175</v>
      </c>
      <c r="T170" s="160" t="str">
        <f t="shared" si="105"/>
        <v>1+0.000832223278899728i</v>
      </c>
      <c r="U170" s="160">
        <f t="shared" si="114"/>
        <v>1.0000003462977329</v>
      </c>
      <c r="V170" s="160">
        <f t="shared" si="115"/>
        <v>8.3222308676841796E-4</v>
      </c>
      <c r="W170" s="98" t="str">
        <f t="shared" si="106"/>
        <v>1-0.00216124466473267i</v>
      </c>
      <c r="X170" s="160">
        <f t="shared" si="116"/>
        <v>1.0000023354865233</v>
      </c>
      <c r="Y170" s="160">
        <f t="shared" si="117"/>
        <v>-2.1612412996996461E-3</v>
      </c>
      <c r="Z170" s="98" t="str">
        <f t="shared" si="107"/>
        <v>0.999997734549182+0.00247744358754006i</v>
      </c>
      <c r="AA170" s="160">
        <f t="shared" si="118"/>
        <v>1.00000080341479</v>
      </c>
      <c r="AB170" s="160">
        <f t="shared" si="119"/>
        <v>2.4774441314396856E-3</v>
      </c>
      <c r="AC170" s="171" t="str">
        <f t="shared" si="120"/>
        <v>5.41013952944558-2.84024453189425i</v>
      </c>
      <c r="AD170" s="190">
        <f t="shared" si="121"/>
        <v>15.721347522714309</v>
      </c>
      <c r="AE170" s="169">
        <f t="shared" si="122"/>
        <v>-27.698819249198223</v>
      </c>
      <c r="AF170" s="98" t="str">
        <f t="shared" si="108"/>
        <v>-0.0000816326530612245</v>
      </c>
      <c r="AG170" s="98" t="str">
        <f t="shared" si="109"/>
        <v>0.0000462300031428798i</v>
      </c>
      <c r="AH170" s="98">
        <f t="shared" si="123"/>
        <v>4.6230003142879799E-5</v>
      </c>
      <c r="AI170" s="98">
        <f t="shared" si="124"/>
        <v>1.5707963267948966</v>
      </c>
      <c r="AJ170" s="98" t="str">
        <f t="shared" si="110"/>
        <v>1+0.00512105710728892i</v>
      </c>
      <c r="AK170" s="98">
        <f t="shared" si="125"/>
        <v>1.0000131125269789</v>
      </c>
      <c r="AL170" s="98">
        <f t="shared" si="126"/>
        <v>5.1210123410334995E-3</v>
      </c>
      <c r="AM170" s="98" t="str">
        <f t="shared" si="111"/>
        <v>1+0.517226767836181i</v>
      </c>
      <c r="AN170" s="98">
        <f t="shared" si="127"/>
        <v>1.1258434746296941</v>
      </c>
      <c r="AO170" s="98">
        <f t="shared" si="128"/>
        <v>0.47733385486612978</v>
      </c>
      <c r="AP170" s="168" t="str">
        <f t="shared" si="129"/>
        <v>-0.904249376329167+1.77042451567069i</v>
      </c>
      <c r="AQ170" s="98">
        <f t="shared" si="130"/>
        <v>5.9682461735212815</v>
      </c>
      <c r="AR170" s="169">
        <f t="shared" si="131"/>
        <v>117.05580290856375</v>
      </c>
      <c r="AS170" s="168" t="str">
        <f t="shared" si="132"/>
        <v>0.136323254410265+12.1465330027172i</v>
      </c>
      <c r="AT170" s="190">
        <f t="shared" si="133"/>
        <v>21.689593696235555</v>
      </c>
      <c r="AU170" s="169">
        <f t="shared" si="134"/>
        <v>89.35698365936554</v>
      </c>
      <c r="AV170" s="225"/>
      <c r="AX170">
        <f t="shared" si="135"/>
        <v>0</v>
      </c>
      <c r="AY170">
        <f t="shared" si="136"/>
        <v>0</v>
      </c>
    </row>
    <row r="171" spans="14:51" x14ac:dyDescent="0.2">
      <c r="N171" s="170">
        <v>53</v>
      </c>
      <c r="O171" s="199">
        <f t="shared" si="102"/>
        <v>338.84415613920277</v>
      </c>
      <c r="P171" s="189" t="str">
        <f t="shared" si="103"/>
        <v>6.8875</v>
      </c>
      <c r="Q171" s="160" t="str">
        <f t="shared" si="104"/>
        <v>1+0.532255155819375i</v>
      </c>
      <c r="R171" s="160">
        <f t="shared" si="112"/>
        <v>1.1328263551384683</v>
      </c>
      <c r="S171" s="160">
        <f t="shared" si="113"/>
        <v>0.48911753893058174</v>
      </c>
      <c r="T171" s="160" t="str">
        <f t="shared" si="105"/>
        <v>1+0.000851608249311i</v>
      </c>
      <c r="U171" s="160">
        <f t="shared" si="114"/>
        <v>1.0000003626182394</v>
      </c>
      <c r="V171" s="160">
        <f t="shared" si="115"/>
        <v>8.5160804343859626E-4</v>
      </c>
      <c r="W171" s="98" t="str">
        <f t="shared" si="106"/>
        <v>1-0.0022115865200251i</v>
      </c>
      <c r="X171" s="160">
        <f t="shared" si="116"/>
        <v>1.0000024455544774</v>
      </c>
      <c r="Y171" s="160">
        <f t="shared" si="117"/>
        <v>-2.2115829143277282E-3</v>
      </c>
      <c r="Z171" s="98" t="str">
        <f t="shared" si="107"/>
        <v>0.999997627781774+0.00253515066190062i</v>
      </c>
      <c r="AA171" s="160">
        <f t="shared" si="118"/>
        <v>1.0000008412786732</v>
      </c>
      <c r="AB171" s="160">
        <f t="shared" si="119"/>
        <v>2.5351512446994142E-3</v>
      </c>
      <c r="AC171" s="171" t="str">
        <f t="shared" si="120"/>
        <v>5.35588402061073-2.87752454999059i</v>
      </c>
      <c r="AD171" s="190">
        <f t="shared" si="121"/>
        <v>15.677982435422248</v>
      </c>
      <c r="AE171" s="169">
        <f t="shared" si="122"/>
        <v>-28.2475449536425</v>
      </c>
      <c r="AF171" s="98" t="str">
        <f t="shared" si="108"/>
        <v>-0.0000816326530612245</v>
      </c>
      <c r="AG171" s="98" t="str">
        <f t="shared" si="109"/>
        <v>0.0000473068382492262i</v>
      </c>
      <c r="AH171" s="98">
        <f t="shared" si="123"/>
        <v>4.73068382492262E-5</v>
      </c>
      <c r="AI171" s="98">
        <f t="shared" si="124"/>
        <v>1.5707963267948966</v>
      </c>
      <c r="AJ171" s="98" t="str">
        <f t="shared" si="110"/>
        <v>1+0.00524034185095828i</v>
      </c>
      <c r="AK171" s="98">
        <f t="shared" si="125"/>
        <v>1.0000137304970942</v>
      </c>
      <c r="AL171" s="98">
        <f t="shared" si="126"/>
        <v>5.2402938830869447E-3</v>
      </c>
      <c r="AM171" s="98" t="str">
        <f t="shared" si="111"/>
        <v>1+0.529274526946787i</v>
      </c>
      <c r="AN171" s="98">
        <f t="shared" si="127"/>
        <v>1.1314289747371442</v>
      </c>
      <c r="AO171" s="98">
        <f t="shared" si="128"/>
        <v>0.48679203191088155</v>
      </c>
      <c r="AP171" s="168" t="str">
        <f t="shared" si="129"/>
        <v>-0.90424825874667+1.73033799879451i</v>
      </c>
      <c r="AQ171" s="98">
        <f t="shared" si="130"/>
        <v>5.811226433638903</v>
      </c>
      <c r="AR171" s="169">
        <f t="shared" si="131"/>
        <v>117.59088220618217</v>
      </c>
      <c r="AS171" s="168" t="str">
        <f t="shared" si="132"/>
        <v>0.136041271626424+11.8694862018289i</v>
      </c>
      <c r="AT171" s="190">
        <f t="shared" si="133"/>
        <v>21.489208869061187</v>
      </c>
      <c r="AU171" s="169">
        <f t="shared" si="134"/>
        <v>89.343337252539669</v>
      </c>
      <c r="AV171" s="225"/>
      <c r="AX171">
        <f t="shared" si="135"/>
        <v>0</v>
      </c>
      <c r="AY171">
        <f t="shared" si="136"/>
        <v>0</v>
      </c>
    </row>
    <row r="172" spans="14:51" x14ac:dyDescent="0.2">
      <c r="N172" s="170">
        <v>54</v>
      </c>
      <c r="O172" s="199">
        <f t="shared" si="102"/>
        <v>346.73685045253183</v>
      </c>
      <c r="P172" s="189" t="str">
        <f t="shared" si="103"/>
        <v>6.8875</v>
      </c>
      <c r="Q172" s="160" t="str">
        <f t="shared" si="104"/>
        <v>1+0.544652971055267i</v>
      </c>
      <c r="R172" s="160">
        <f t="shared" si="112"/>
        <v>1.1387040260222712</v>
      </c>
      <c r="S172" s="160">
        <f t="shared" si="113"/>
        <v>0.4987287396187714</v>
      </c>
      <c r="T172" s="160" t="str">
        <f t="shared" si="105"/>
        <v>1+0.000871444753688428i</v>
      </c>
      <c r="U172" s="160">
        <f t="shared" si="114"/>
        <v>1.0000003797079073</v>
      </c>
      <c r="V172" s="160">
        <f t="shared" si="115"/>
        <v>8.7144453309217758E-4</v>
      </c>
      <c r="W172" s="98" t="str">
        <f t="shared" si="106"/>
        <v>1-0.00226310098776427i</v>
      </c>
      <c r="X172" s="160">
        <f t="shared" si="116"/>
        <v>1.0000025608097616</v>
      </c>
      <c r="Y172" s="160">
        <f t="shared" si="117"/>
        <v>-2.2630971241904621E-3</v>
      </c>
      <c r="Z172" s="98" t="str">
        <f t="shared" si="107"/>
        <v>0.999997515982573+0.00259420190669882i</v>
      </c>
      <c r="AA172" s="160">
        <f t="shared" si="118"/>
        <v>1.0000008809270367</v>
      </c>
      <c r="AB172" s="160">
        <f t="shared" si="119"/>
        <v>2.5942025311788061E-3</v>
      </c>
      <c r="AC172" s="171" t="str">
        <f t="shared" si="120"/>
        <v>5.30021517301312-2.9142305022194i</v>
      </c>
      <c r="AD172" s="190">
        <f t="shared" si="121"/>
        <v>15.633033003509</v>
      </c>
      <c r="AE172" s="169">
        <f t="shared" si="122"/>
        <v>-28.803424578291612</v>
      </c>
      <c r="AF172" s="98" t="str">
        <f t="shared" si="108"/>
        <v>-0.0000816326530612245</v>
      </c>
      <c r="AG172" s="98" t="str">
        <f t="shared" si="109"/>
        <v>0.0000484087560673923i</v>
      </c>
      <c r="AH172" s="98">
        <f t="shared" si="123"/>
        <v>4.8408756067392302E-5</v>
      </c>
      <c r="AI172" s="98">
        <f t="shared" si="124"/>
        <v>1.5707963267948966</v>
      </c>
      <c r="AJ172" s="98" t="str">
        <f t="shared" si="110"/>
        <v>1+0.00536240509324117i</v>
      </c>
      <c r="AK172" s="98">
        <f t="shared" si="125"/>
        <v>1.0000143775908343</v>
      </c>
      <c r="AL172" s="98">
        <f t="shared" si="126"/>
        <v>5.3623536947809136E-3</v>
      </c>
      <c r="AM172" s="98" t="str">
        <f t="shared" si="111"/>
        <v>1+0.541602914417358i</v>
      </c>
      <c r="AN172" s="98">
        <f t="shared" si="127"/>
        <v>1.137248309255888</v>
      </c>
      <c r="AO172" s="98">
        <f t="shared" si="128"/>
        <v>0.49637346175922081</v>
      </c>
      <c r="AP172" s="168" t="str">
        <f t="shared" si="129"/>
        <v>-0.904247088497094+1.69116892947688i</v>
      </c>
      <c r="AQ172" s="98">
        <f t="shared" si="130"/>
        <v>5.6557808822200153</v>
      </c>
      <c r="AR172" s="169">
        <f t="shared" si="131"/>
        <v>118.13286418613441</v>
      </c>
      <c r="AS172" s="168" t="str">
        <f t="shared" si="132"/>
        <v>0.135751940082018+11.598743666983i</v>
      </c>
      <c r="AT172" s="190">
        <f t="shared" si="133"/>
        <v>21.288813885728995</v>
      </c>
      <c r="AU172" s="169">
        <f t="shared" si="134"/>
        <v>89.329439607842787</v>
      </c>
      <c r="AV172" s="225"/>
      <c r="AX172">
        <f t="shared" si="135"/>
        <v>0</v>
      </c>
      <c r="AY172">
        <f t="shared" si="136"/>
        <v>0</v>
      </c>
    </row>
    <row r="173" spans="14:51" x14ac:dyDescent="0.2">
      <c r="N173" s="170">
        <v>55</v>
      </c>
      <c r="O173" s="199">
        <f t="shared" si="102"/>
        <v>354.81338923357566</v>
      </c>
      <c r="P173" s="189" t="str">
        <f t="shared" si="103"/>
        <v>6.8875</v>
      </c>
      <c r="Q173" s="160" t="str">
        <f t="shared" si="104"/>
        <v>1+0.557339568505748i</v>
      </c>
      <c r="R173" s="160">
        <f t="shared" si="112"/>
        <v>1.1448263600311506</v>
      </c>
      <c r="S173" s="160">
        <f t="shared" si="113"/>
        <v>0.50846072702964618</v>
      </c>
      <c r="T173" s="160" t="str">
        <f t="shared" si="105"/>
        <v>1+0.000891743309609196i</v>
      </c>
      <c r="U173" s="160">
        <f t="shared" si="114"/>
        <v>1.0000003976029861</v>
      </c>
      <c r="V173" s="160">
        <f t="shared" si="115"/>
        <v>8.9174307323605997E-4</v>
      </c>
      <c r="W173" s="98" t="str">
        <f t="shared" si="106"/>
        <v>1-0.00231581538160283i</v>
      </c>
      <c r="X173" s="160">
        <f t="shared" si="116"/>
        <v>1.0000026814968457</v>
      </c>
      <c r="Y173" s="160">
        <f t="shared" si="117"/>
        <v>-2.3158112417095071E-3</v>
      </c>
      <c r="Z173" s="98" t="str">
        <f t="shared" si="107"/>
        <v>0.999997398914438+0.00265462863168628i</v>
      </c>
      <c r="AA173" s="160">
        <f t="shared" si="118"/>
        <v>1.0000009224439814</v>
      </c>
      <c r="AB173" s="160">
        <f t="shared" si="119"/>
        <v>2.6546293008284476E-3</v>
      </c>
      <c r="AC173" s="171" t="str">
        <f t="shared" si="120"/>
        <v>5.24313836494895-2.95030048545233i</v>
      </c>
      <c r="AD173" s="190">
        <f t="shared" si="121"/>
        <v>15.586458556630697</v>
      </c>
      <c r="AE173" s="169">
        <f t="shared" si="122"/>
        <v>-29.366345857853769</v>
      </c>
      <c r="AF173" s="98" t="str">
        <f t="shared" si="108"/>
        <v>-0.0000816326530612245</v>
      </c>
      <c r="AG173" s="98" t="str">
        <f t="shared" si="109"/>
        <v>0.0000495363408487909i</v>
      </c>
      <c r="AH173" s="98">
        <f t="shared" si="123"/>
        <v>4.9536340848790898E-5</v>
      </c>
      <c r="AI173" s="98">
        <f t="shared" si="124"/>
        <v>1.5707963267948966</v>
      </c>
      <c r="AJ173" s="98" t="str">
        <f t="shared" si="110"/>
        <v>1+0.00548731155368431i</v>
      </c>
      <c r="AK173" s="98">
        <f t="shared" si="125"/>
        <v>1.0000150551807143</v>
      </c>
      <c r="AL173" s="98">
        <f t="shared" si="126"/>
        <v>5.487256479286667E-3</v>
      </c>
      <c r="AM173" s="98" t="str">
        <f t="shared" si="111"/>
        <v>1+0.554218466922116i</v>
      </c>
      <c r="AN173" s="98">
        <f t="shared" si="127"/>
        <v>1.1433101543664783</v>
      </c>
      <c r="AO173" s="98">
        <f t="shared" si="128"/>
        <v>0.50607618690755551</v>
      </c>
      <c r="AP173" s="168" t="str">
        <f t="shared" si="129"/>
        <v>-0.904245863098612+1.6528965397193i</v>
      </c>
      <c r="AQ173" s="98">
        <f t="shared" si="130"/>
        <v>5.5019502144195256</v>
      </c>
      <c r="AR173" s="169">
        <f t="shared" si="131"/>
        <v>118.68163298450787</v>
      </c>
      <c r="AS173" s="168" t="str">
        <f t="shared" si="132"/>
        <v>0.135455287377618+11.3341622695617i</v>
      </c>
      <c r="AT173" s="190">
        <f t="shared" si="133"/>
        <v>21.088408771050204</v>
      </c>
      <c r="AU173" s="169">
        <f t="shared" si="134"/>
        <v>89.315287126654098</v>
      </c>
      <c r="AV173" s="225"/>
      <c r="AX173">
        <f t="shared" si="135"/>
        <v>0</v>
      </c>
      <c r="AY173">
        <f t="shared" si="136"/>
        <v>0</v>
      </c>
    </row>
    <row r="174" spans="14:51" x14ac:dyDescent="0.2">
      <c r="N174" s="170">
        <v>56</v>
      </c>
      <c r="O174" s="199">
        <f t="shared" si="102"/>
        <v>363.07805477010152</v>
      </c>
      <c r="P174" s="189" t="str">
        <f t="shared" si="103"/>
        <v>6.8875</v>
      </c>
      <c r="Q174" s="160" t="str">
        <f t="shared" si="104"/>
        <v>1+0.570321674772713i</v>
      </c>
      <c r="R174" s="160">
        <f t="shared" si="112"/>
        <v>1.1512023335259325</v>
      </c>
      <c r="S174" s="160">
        <f t="shared" si="113"/>
        <v>0.51831128659361281</v>
      </c>
      <c r="T174" s="160" t="str">
        <f t="shared" si="105"/>
        <v>1+0.00091251467963634i</v>
      </c>
      <c r="U174" s="160">
        <f t="shared" si="114"/>
        <v>1.0000004163414336</v>
      </c>
      <c r="V174" s="160">
        <f t="shared" si="115"/>
        <v>9.1251442635796717E-4</v>
      </c>
      <c r="W174" s="98" t="str">
        <f t="shared" si="106"/>
        <v>1-0.00236975765141016i</v>
      </c>
      <c r="X174" s="160">
        <f t="shared" si="116"/>
        <v>1.0000028078717211</v>
      </c>
      <c r="Y174" s="160">
        <f t="shared" si="117"/>
        <v>-2.3697532154352153E-3</v>
      </c>
      <c r="Z174" s="98" t="str">
        <f t="shared" si="107"/>
        <v>0.999997276329053+0.00271646287591242i</v>
      </c>
      <c r="AA174" s="160">
        <f t="shared" si="118"/>
        <v>1.0000009659175737</v>
      </c>
      <c r="AB174" s="160">
        <f t="shared" si="119"/>
        <v>2.7164635929109488E-3</v>
      </c>
      <c r="AC174" s="171" t="str">
        <f t="shared" si="120"/>
        <v>5.18466230978886-2.98567164826404i</v>
      </c>
      <c r="AD174" s="190">
        <f t="shared" si="121"/>
        <v>15.538218627292181</v>
      </c>
      <c r="AE174" s="169">
        <f t="shared" si="122"/>
        <v>-29.93618472724124</v>
      </c>
      <c r="AF174" s="98" t="str">
        <f t="shared" si="108"/>
        <v>-0.0000816326530612245</v>
      </c>
      <c r="AG174" s="98" t="str">
        <f t="shared" si="109"/>
        <v>0.0000506901904537986i</v>
      </c>
      <c r="AH174" s="98">
        <f t="shared" si="123"/>
        <v>5.0690190453798597E-5</v>
      </c>
      <c r="AI174" s="98">
        <f t="shared" si="124"/>
        <v>1.5707963267948966</v>
      </c>
      <c r="AJ174" s="98" t="str">
        <f t="shared" si="110"/>
        <v>1+0.00561512745934639i</v>
      </c>
      <c r="AK174" s="98">
        <f t="shared" si="125"/>
        <v>1.0000157647039294</v>
      </c>
      <c r="AL174" s="98">
        <f t="shared" si="126"/>
        <v>5.6150684461163365E-3</v>
      </c>
      <c r="AM174" s="98" t="str">
        <f t="shared" si="111"/>
        <v>1+0.567127873393986i</v>
      </c>
      <c r="AN174" s="98">
        <f t="shared" si="127"/>
        <v>1.1496234273797594</v>
      </c>
      <c r="AO174" s="98">
        <f t="shared" si="128"/>
        <v>0.51589804357256308</v>
      </c>
      <c r="AP174" s="168" t="str">
        <f t="shared" si="129"/>
        <v>-0.904244579952433+1.6155005369518i</v>
      </c>
      <c r="AQ174" s="98">
        <f t="shared" si="130"/>
        <v>5.3497749453877619</v>
      </c>
      <c r="AR174" s="169">
        <f t="shared" si="131"/>
        <v>119.23706083212454</v>
      </c>
      <c r="AS174" s="168" t="str">
        <f t="shared" si="132"/>
        <v>0.135151358422084+11.0756021508381i</v>
      </c>
      <c r="AT174" s="190">
        <f t="shared" si="133"/>
        <v>20.887993572679967</v>
      </c>
      <c r="AU174" s="169">
        <f t="shared" si="134"/>
        <v>89.300876104883329</v>
      </c>
      <c r="AV174" s="225"/>
      <c r="AX174">
        <f t="shared" si="135"/>
        <v>0</v>
      </c>
      <c r="AY174">
        <f t="shared" si="136"/>
        <v>0</v>
      </c>
    </row>
    <row r="175" spans="14:51" x14ac:dyDescent="0.2">
      <c r="N175" s="170">
        <v>57</v>
      </c>
      <c r="O175" s="199">
        <f t="shared" si="102"/>
        <v>371.53522909717265</v>
      </c>
      <c r="P175" s="189" t="str">
        <f t="shared" si="103"/>
        <v>6.8875</v>
      </c>
      <c r="Q175" s="160" t="str">
        <f t="shared" si="104"/>
        <v>1+0.58360617314074i</v>
      </c>
      <c r="R175" s="160">
        <f t="shared" si="112"/>
        <v>1.1578411658461534</v>
      </c>
      <c r="S175" s="160">
        <f t="shared" si="113"/>
        <v>0.52827799384998275</v>
      </c>
      <c r="T175" s="160" t="str">
        <f t="shared" si="105"/>
        <v>1+0.000933769877025184i</v>
      </c>
      <c r="U175" s="160">
        <f t="shared" si="114"/>
        <v>1.0000004359629966</v>
      </c>
      <c r="V175" s="160">
        <f t="shared" si="115"/>
        <v>9.3376960563252437E-4</v>
      </c>
      <c r="W175" s="98" t="str">
        <f t="shared" si="106"/>
        <v>1-0.00242495639809172i</v>
      </c>
      <c r="X175" s="160">
        <f t="shared" si="116"/>
        <v>1.000002940202444</v>
      </c>
      <c r="Y175" s="160">
        <f t="shared" si="117"/>
        <v>-2.4249516448596842E-3</v>
      </c>
      <c r="Z175" s="98" t="str">
        <f t="shared" si="107"/>
        <v>0.999997147966395+0.00277973742471201i</v>
      </c>
      <c r="AA175" s="160">
        <f t="shared" si="118"/>
        <v>1.0000010114400257</v>
      </c>
      <c r="AB175" s="160">
        <f t="shared" si="119"/>
        <v>2.7797381929895323E-3</v>
      </c>
      <c r="AC175" s="171" t="str">
        <f t="shared" si="120"/>
        <v>5.12479919158208-3.02028038754563i</v>
      </c>
      <c r="AD175" s="190">
        <f t="shared" si="121"/>
        <v>15.488273048971015</v>
      </c>
      <c r="AE175" s="169">
        <f t="shared" si="122"/>
        <v>-30.512805161185124</v>
      </c>
      <c r="AF175" s="98" t="str">
        <f t="shared" si="108"/>
        <v>-0.0000816326530612245</v>
      </c>
      <c r="AG175" s="98" t="str">
        <f t="shared" si="109"/>
        <v>0.0000518709166687489i</v>
      </c>
      <c r="AH175" s="98">
        <f t="shared" si="123"/>
        <v>5.1870916668748899E-5</v>
      </c>
      <c r="AI175" s="98">
        <f t="shared" si="124"/>
        <v>1.5707963267948966</v>
      </c>
      <c r="AJ175" s="98" t="str">
        <f t="shared" si="110"/>
        <v>1+0.0057459205799124i</v>
      </c>
      <c r="AK175" s="98">
        <f t="shared" si="125"/>
        <v>1.0000165076654037</v>
      </c>
      <c r="AL175" s="98">
        <f t="shared" si="126"/>
        <v>5.7458573461535087E-3</v>
      </c>
      <c r="AM175" s="98" t="str">
        <f t="shared" si="111"/>
        <v>1+0.580337978571152i</v>
      </c>
      <c r="AN175" s="98">
        <f t="shared" si="127"/>
        <v>1.1561972882566585</v>
      </c>
      <c r="AO175" s="98">
        <f t="shared" si="128"/>
        <v>0.52583665870830421</v>
      </c>
      <c r="AP175" s="168" t="str">
        <f t="shared" si="129"/>
        <v>-0.904243236337339+1.57896109327338i</v>
      </c>
      <c r="AQ175" s="98">
        <f t="shared" si="130"/>
        <v>5.1992953130868873</v>
      </c>
      <c r="AR175" s="169">
        <f t="shared" si="131"/>
        <v>119.79900788162817</v>
      </c>
      <c r="AS175" s="168" t="str">
        <f t="shared" si="132"/>
        <v>0.134840216136037+10.8229266466274i</v>
      </c>
      <c r="AT175" s="190">
        <f t="shared" si="133"/>
        <v>20.687568362057878</v>
      </c>
      <c r="AU175" s="169">
        <f t="shared" si="134"/>
        <v>89.286202720443058</v>
      </c>
      <c r="AV175" s="225"/>
      <c r="AX175">
        <f t="shared" si="135"/>
        <v>0</v>
      </c>
      <c r="AY175">
        <f t="shared" si="136"/>
        <v>0</v>
      </c>
    </row>
    <row r="176" spans="14:51" x14ac:dyDescent="0.2">
      <c r="N176" s="170">
        <v>58</v>
      </c>
      <c r="O176" s="199">
        <f t="shared" si="102"/>
        <v>380.18939632056163</v>
      </c>
      <c r="P176" s="189" t="str">
        <f t="shared" si="103"/>
        <v>6.8875</v>
      </c>
      <c r="Q176" s="160" t="str">
        <f t="shared" si="104"/>
        <v>1+0.597200107226707i</v>
      </c>
      <c r="R176" s="160">
        <f t="shared" si="112"/>
        <v>1.1647523204834538</v>
      </c>
      <c r="S176" s="160">
        <f t="shared" si="113"/>
        <v>0.53835821230075298</v>
      </c>
      <c r="T176" s="160" t="str">
        <f t="shared" si="105"/>
        <v>1+0.000955520171562732i</v>
      </c>
      <c r="U176" s="160">
        <f t="shared" si="114"/>
        <v>1.000000456509295</v>
      </c>
      <c r="V176" s="160">
        <f t="shared" si="115"/>
        <v>9.5551988076026501E-4</v>
      </c>
      <c r="W176" s="98" t="str">
        <f t="shared" si="106"/>
        <v>1-0.00248144088875363i</v>
      </c>
      <c r="X176" s="160">
        <f t="shared" si="116"/>
        <v>1.0000030787697027</v>
      </c>
      <c r="Y176" s="160">
        <f t="shared" si="117"/>
        <v>-2.4814357955745881E-3</v>
      </c>
      <c r="Z176" s="98" t="str">
        <f t="shared" si="107"/>
        <v>0.999997013554193+0.00284448582708834i</v>
      </c>
      <c r="AA176" s="160">
        <f t="shared" si="118"/>
        <v>1.000001059107902</v>
      </c>
      <c r="AB176" s="160">
        <f t="shared" si="119"/>
        <v>2.8444866503122591E-3</v>
      </c>
      <c r="AC176" s="171" t="str">
        <f t="shared" si="120"/>
        <v>5.06356478855678-3.05406256105412i</v>
      </c>
      <c r="AD176" s="190">
        <f t="shared" si="121"/>
        <v>15.436582057980369</v>
      </c>
      <c r="AE176" s="169">
        <f t="shared" si="122"/>
        <v>-31.096059052796011</v>
      </c>
      <c r="AF176" s="98" t="str">
        <f t="shared" si="108"/>
        <v>-0.0000816326530612245</v>
      </c>
      <c r="AG176" s="98" t="str">
        <f t="shared" si="109"/>
        <v>0.0000530791455303098i</v>
      </c>
      <c r="AH176" s="98">
        <f t="shared" si="123"/>
        <v>5.3079145530309799E-5</v>
      </c>
      <c r="AI176" s="98">
        <f t="shared" si="124"/>
        <v>1.5707963267948966</v>
      </c>
      <c r="AJ176" s="98" t="str">
        <f t="shared" si="110"/>
        <v>1+0.00587976026362612i</v>
      </c>
      <c r="AK176" s="98">
        <f t="shared" si="125"/>
        <v>1.0000172856409821</v>
      </c>
      <c r="AL176" s="98">
        <f t="shared" si="126"/>
        <v>5.879692507495979E-3</v>
      </c>
      <c r="AM176" s="98" t="str">
        <f t="shared" si="111"/>
        <v>1+0.593855786626238i</v>
      </c>
      <c r="AN176" s="98">
        <f t="shared" si="127"/>
        <v>1.1630411408499133</v>
      </c>
      <c r="AO176" s="98">
        <f t="shared" si="128"/>
        <v>0.53588944768951241</v>
      </c>
      <c r="AP176" s="168" t="str">
        <f t="shared" si="129"/>
        <v>-0.904241829403894+1.54325883493878i</v>
      </c>
      <c r="AQ176" s="98">
        <f t="shared" si="130"/>
        <v>5.0505511772833298</v>
      </c>
      <c r="AR176" s="169">
        <f t="shared" si="131"/>
        <v>120.36732207269154</v>
      </c>
      <c r="AS176" s="168" t="str">
        <f t="shared" si="132"/>
        <v>0.134521942092803+10.5760022135467i</v>
      </c>
      <c r="AT176" s="190">
        <f t="shared" si="133"/>
        <v>20.487133235263709</v>
      </c>
      <c r="AU176" s="169">
        <f t="shared" si="134"/>
        <v>89.271263019895557</v>
      </c>
      <c r="AV176" s="225"/>
      <c r="AX176">
        <f t="shared" si="135"/>
        <v>0</v>
      </c>
      <c r="AY176">
        <f t="shared" si="136"/>
        <v>0</v>
      </c>
    </row>
    <row r="177" spans="14:51" x14ac:dyDescent="0.2">
      <c r="N177" s="170">
        <v>59</v>
      </c>
      <c r="O177" s="199">
        <f t="shared" si="102"/>
        <v>389.04514499428063</v>
      </c>
      <c r="P177" s="189" t="str">
        <f t="shared" si="103"/>
        <v>6.8875</v>
      </c>
      <c r="Q177" s="160" t="str">
        <f t="shared" si="104"/>
        <v>1+0.611110684714405i</v>
      </c>
      <c r="R177" s="160">
        <f t="shared" si="112"/>
        <v>1.1719455059737671</v>
      </c>
      <c r="S177" s="160">
        <f t="shared" si="113"/>
        <v>0.5485490919953393</v>
      </c>
      <c r="T177" s="160" t="str">
        <f t="shared" si="105"/>
        <v>1+0.000977777095543048i</v>
      </c>
      <c r="U177" s="160">
        <f t="shared" si="114"/>
        <v>1.00000047802391</v>
      </c>
      <c r="V177" s="160">
        <f t="shared" si="115"/>
        <v>9.7777678394259885E-4</v>
      </c>
      <c r="W177" s="98" t="str">
        <f t="shared" si="106"/>
        <v>1-0.00253924107222052i</v>
      </c>
      <c r="X177" s="160">
        <f t="shared" si="116"/>
        <v>1.0000032238674148</v>
      </c>
      <c r="Y177" s="160">
        <f t="shared" si="117"/>
        <v>-2.5392356147818022E-3</v>
      </c>
      <c r="Z177" s="98" t="str">
        <f t="shared" si="107"/>
        <v>0.999996872807338+0.00291074241350143i</v>
      </c>
      <c r="AA177" s="160">
        <f t="shared" si="118"/>
        <v>1.0000011090223115</v>
      </c>
      <c r="AB177" s="160">
        <f t="shared" si="119"/>
        <v>2.9107432956014439E-3</v>
      </c>
      <c r="AC177" s="171" t="str">
        <f t="shared" si="120"/>
        <v>5.00097858267504-3.08695371523524i</v>
      </c>
      <c r="AD177" s="190">
        <f t="shared" si="121"/>
        <v>15.383106398696055</v>
      </c>
      <c r="AE177" s="169">
        <f t="shared" si="122"/>
        <v>-31.685786134040985</v>
      </c>
      <c r="AF177" s="98" t="str">
        <f t="shared" si="108"/>
        <v>-0.0000816326530612245</v>
      </c>
      <c r="AG177" s="98" t="str">
        <f t="shared" si="109"/>
        <v>0.0000543155176574162i</v>
      </c>
      <c r="AH177" s="98">
        <f t="shared" si="123"/>
        <v>5.4315517657416198E-5</v>
      </c>
      <c r="AI177" s="98">
        <f t="shared" si="124"/>
        <v>1.5707963267948966</v>
      </c>
      <c r="AJ177" s="98" t="str">
        <f t="shared" si="110"/>
        <v>1+0.00601671747405945i</v>
      </c>
      <c r="AK177" s="98">
        <f t="shared" si="125"/>
        <v>1.0000181002807711</v>
      </c>
      <c r="AL177" s="98">
        <f t="shared" si="126"/>
        <v>6.0166448721289288E-3</v>
      </c>
      <c r="AM177" s="98" t="str">
        <f t="shared" si="111"/>
        <v>1+0.607688464880005i</v>
      </c>
      <c r="AN177" s="98">
        <f t="shared" si="127"/>
        <v>1.1701646338649179</v>
      </c>
      <c r="AO177" s="98">
        <f t="shared" si="128"/>
        <v>0.54605361271339781</v>
      </c>
      <c r="AP177" s="168" t="str">
        <f t="shared" si="129"/>
        <v>-0.904240356168416+1.508374832086i</v>
      </c>
      <c r="AQ177" s="98">
        <f t="shared" si="130"/>
        <v>4.9035819150788553</v>
      </c>
      <c r="AR177" s="169">
        <f t="shared" si="131"/>
        <v>120.9418390383468</v>
      </c>
      <c r="AS177" s="168" t="str">
        <f t="shared" si="132"/>
        <v>0.134196637086511+10.3346983568479i</v>
      </c>
      <c r="AT177" s="190">
        <f t="shared" si="133"/>
        <v>20.286688313774931</v>
      </c>
      <c r="AU177" s="169">
        <f t="shared" si="134"/>
        <v>89.256052904305818</v>
      </c>
      <c r="AV177" s="225"/>
      <c r="AX177">
        <f t="shared" si="135"/>
        <v>0</v>
      </c>
      <c r="AY177">
        <f t="shared" si="136"/>
        <v>0</v>
      </c>
    </row>
    <row r="178" spans="14:51" x14ac:dyDescent="0.2">
      <c r="N178" s="170">
        <v>60</v>
      </c>
      <c r="O178" s="199">
        <f t="shared" si="102"/>
        <v>398.10717055349761</v>
      </c>
      <c r="P178" s="189" t="str">
        <f t="shared" si="103"/>
        <v>6.8875</v>
      </c>
      <c r="Q178" s="160" t="str">
        <f t="shared" si="104"/>
        <v>1+0.625345281176143i</v>
      </c>
      <c r="R178" s="160">
        <f t="shared" si="112"/>
        <v>1.1794306765084879</v>
      </c>
      <c r="S178" s="160">
        <f t="shared" si="113"/>
        <v>0.55884756889556297</v>
      </c>
      <c r="T178" s="160" t="str">
        <f t="shared" si="105"/>
        <v>1+0.00100055244988183i</v>
      </c>
      <c r="U178" s="160">
        <f t="shared" si="114"/>
        <v>1.0000005005524772</v>
      </c>
      <c r="V178" s="160">
        <f t="shared" si="115"/>
        <v>1.0005521159959421E-3</v>
      </c>
      <c r="W178" s="98" t="str">
        <f t="shared" si="106"/>
        <v>1-0.00259838759491472i</v>
      </c>
      <c r="X178" s="160">
        <f t="shared" si="116"/>
        <v>1.0000033758033486</v>
      </c>
      <c r="Y178" s="160">
        <f t="shared" si="117"/>
        <v>-2.5983817471648425E-3</v>
      </c>
      <c r="Z178" s="98" t="str">
        <f t="shared" si="107"/>
        <v>0.999996725427288+0.00297854231407037i</v>
      </c>
      <c r="AA178" s="160">
        <f t="shared" si="118"/>
        <v>1.0000011612891335</v>
      </c>
      <c r="AB178" s="160">
        <f t="shared" si="119"/>
        <v>2.9785432592572179E-3</v>
      </c>
      <c r="AC178" s="171" t="str">
        <f t="shared" si="120"/>
        <v>4.93706385341212-3.11888932743668i</v>
      </c>
      <c r="AD178" s="190">
        <f t="shared" si="121"/>
        <v>15.327807431718515</v>
      </c>
      <c r="AE178" s="169">
        <f t="shared" si="122"/>
        <v>-32.281813940961726</v>
      </c>
      <c r="AF178" s="98" t="str">
        <f t="shared" si="108"/>
        <v>-0.0000816326530612245</v>
      </c>
      <c r="AG178" s="98" t="str">
        <f t="shared" si="109"/>
        <v>0.0000555806885909356i</v>
      </c>
      <c r="AH178" s="98">
        <f t="shared" si="123"/>
        <v>5.55806885909356E-5</v>
      </c>
      <c r="AI178" s="98">
        <f t="shared" si="124"/>
        <v>1.5707963267948966</v>
      </c>
      <c r="AJ178" s="98" t="str">
        <f t="shared" si="110"/>
        <v>1+0.00615686482773818i</v>
      </c>
      <c r="AK178" s="98">
        <f t="shared" si="125"/>
        <v>1.0000189533126396</v>
      </c>
      <c r="AL178" s="98">
        <f t="shared" si="126"/>
        <v>6.1567870334476617E-3</v>
      </c>
      <c r="AM178" s="98" t="str">
        <f t="shared" si="111"/>
        <v>1+0.621843347601556i</v>
      </c>
      <c r="AN178" s="98">
        <f t="shared" si="127"/>
        <v>1.1775776615392759</v>
      </c>
      <c r="AO178" s="98">
        <f t="shared" si="128"/>
        <v>0.55632614196996111</v>
      </c>
      <c r="AP178" s="168" t="str">
        <f t="shared" si="129"/>
        <v>-0.904238813506629+1.47429058869919i</v>
      </c>
      <c r="AQ178" s="98">
        <f t="shared" si="130"/>
        <v>4.7584263133958835</v>
      </c>
      <c r="AR178" s="169">
        <f t="shared" si="131"/>
        <v>121.5223820552973</v>
      </c>
      <c r="AS178" s="168" t="str">
        <f t="shared" si="132"/>
        <v>0.133864421618402+10.0988875597923i</v>
      </c>
      <c r="AT178" s="190">
        <f t="shared" si="133"/>
        <v>20.086233745114413</v>
      </c>
      <c r="AU178" s="169">
        <f t="shared" si="134"/>
        <v>89.240568114335588</v>
      </c>
      <c r="AV178" s="225"/>
      <c r="AX178">
        <f t="shared" si="135"/>
        <v>0</v>
      </c>
      <c r="AY178">
        <f t="shared" si="136"/>
        <v>0</v>
      </c>
    </row>
    <row r="179" spans="14:51" x14ac:dyDescent="0.2">
      <c r="N179" s="170">
        <v>61</v>
      </c>
      <c r="O179" s="199">
        <f t="shared" si="102"/>
        <v>407.38027780411272</v>
      </c>
      <c r="P179" s="189" t="str">
        <f t="shared" si="103"/>
        <v>6.8875</v>
      </c>
      <c r="Q179" s="160" t="str">
        <f t="shared" si="104"/>
        <v>1+0.639911443983385i</v>
      </c>
      <c r="R179" s="160">
        <f t="shared" si="112"/>
        <v>1.18721803226741</v>
      </c>
      <c r="S179" s="160">
        <f t="shared" si="113"/>
        <v>0.56925036506688109</v>
      </c>
      <c r="T179" s="160" t="str">
        <f t="shared" si="105"/>
        <v>1+0.00102385831037342i</v>
      </c>
      <c r="U179" s="160">
        <f t="shared" si="114"/>
        <v>1.0000005241427825</v>
      </c>
      <c r="V179" s="160">
        <f t="shared" si="115"/>
        <v>1.0238579526082555E-3</v>
      </c>
      <c r="W179" s="98" t="str">
        <f t="shared" si="106"/>
        <v>1-0.00265891181710548i</v>
      </c>
      <c r="X179" s="160">
        <f t="shared" si="116"/>
        <v>1.0000035348997778</v>
      </c>
      <c r="Y179" s="160">
        <f t="shared" si="117"/>
        <v>-2.6589055511297903E-3</v>
      </c>
      <c r="Z179" s="98" t="str">
        <f t="shared" si="107"/>
        <v>0.999996571101431+0.00304792147719992i</v>
      </c>
      <c r="AA179" s="160">
        <f t="shared" si="118"/>
        <v>1.000001216019236</v>
      </c>
      <c r="AB179" s="160">
        <f t="shared" si="119"/>
        <v>3.0479224899854843E-3</v>
      </c>
      <c r="AC179" s="171" t="str">
        <f t="shared" si="120"/>
        <v>4.87184775396967-3.14980506140369i</v>
      </c>
      <c r="AD179" s="190">
        <f t="shared" si="121"/>
        <v>15.270647244489391</v>
      </c>
      <c r="AE179" s="169">
        <f t="shared" si="122"/>
        <v>-32.883957826271065</v>
      </c>
      <c r="AF179" s="98" t="str">
        <f t="shared" si="108"/>
        <v>-0.0000816326530612245</v>
      </c>
      <c r="AG179" s="98" t="str">
        <f t="shared" si="109"/>
        <v>0.0000568753291412432i</v>
      </c>
      <c r="AH179" s="98">
        <f t="shared" si="123"/>
        <v>5.6875329141243198E-5</v>
      </c>
      <c r="AI179" s="98">
        <f t="shared" si="124"/>
        <v>1.5707963267948966</v>
      </c>
      <c r="AJ179" s="98" t="str">
        <f t="shared" si="110"/>
        <v>1+0.00630027663264434i</v>
      </c>
      <c r="AK179" s="98">
        <f t="shared" si="125"/>
        <v>1.0000198465458812</v>
      </c>
      <c r="AL179" s="98">
        <f t="shared" si="126"/>
        <v>6.3001932746495608E-3</v>
      </c>
      <c r="AM179" s="98" t="str">
        <f t="shared" si="111"/>
        <v>1+0.636327939897078i</v>
      </c>
      <c r="AN179" s="98">
        <f t="shared" si="127"/>
        <v>1.1852903640431991</v>
      </c>
      <c r="AO179" s="98">
        <f t="shared" si="128"/>
        <v>0.56670380962768585</v>
      </c>
      <c r="AP179" s="168" t="str">
        <f t="shared" si="129"/>
        <v>-0.904237198147078+1.44098803280162i</v>
      </c>
      <c r="AQ179" s="98">
        <f t="shared" si="130"/>
        <v>4.6151224588854651</v>
      </c>
      <c r="AR179" s="169">
        <f t="shared" si="131"/>
        <v>122.10876204089746</v>
      </c>
      <c r="AS179" s="168" t="str">
        <f t="shared" si="132"/>
        <v>0.13352543629202+9.8684452145349i</v>
      </c>
      <c r="AT179" s="190">
        <f t="shared" si="133"/>
        <v>19.885769703374855</v>
      </c>
      <c r="AU179" s="169">
        <f t="shared" si="134"/>
        <v>89.224804214626403</v>
      </c>
      <c r="AV179" s="225"/>
      <c r="AX179">
        <f t="shared" si="135"/>
        <v>0</v>
      </c>
      <c r="AY179">
        <f t="shared" si="136"/>
        <v>0</v>
      </c>
    </row>
    <row r="180" spans="14:51" x14ac:dyDescent="0.2">
      <c r="N180" s="170">
        <v>62</v>
      </c>
      <c r="O180" s="199">
        <f t="shared" si="102"/>
        <v>416.86938347033572</v>
      </c>
      <c r="P180" s="189" t="str">
        <f t="shared" si="103"/>
        <v>6.8875</v>
      </c>
      <c r="Q180" s="160" t="str">
        <f t="shared" si="104"/>
        <v>1+0.654816896308457i</v>
      </c>
      <c r="R180" s="160">
        <f t="shared" si="112"/>
        <v>1.1953180194789337</v>
      </c>
      <c r="S180" s="160">
        <f t="shared" si="113"/>
        <v>0.57975398973776215</v>
      </c>
      <c r="T180" s="160" t="str">
        <f t="shared" si="105"/>
        <v>1+0.00104770703409353i</v>
      </c>
      <c r="U180" s="160">
        <f t="shared" si="114"/>
        <v>1.000000548844864</v>
      </c>
      <c r="V180" s="160">
        <f t="shared" si="115"/>
        <v>1.0477066507412608E-3</v>
      </c>
      <c r="W180" s="98" t="str">
        <f t="shared" si="106"/>
        <v>1-0.00272084582953653i</v>
      </c>
      <c r="X180" s="160">
        <f t="shared" si="116"/>
        <v>1.0000037014941634</v>
      </c>
      <c r="Y180" s="160">
        <f t="shared" si="117"/>
        <v>-2.7208391154239548E-3</v>
      </c>
      <c r="Z180" s="98" t="str">
        <f t="shared" si="107"/>
        <v>0.99999640950242+0.00311891668864069i</v>
      </c>
      <c r="AA180" s="160">
        <f t="shared" si="118"/>
        <v>1.0000012733287105</v>
      </c>
      <c r="AB180" s="160">
        <f t="shared" si="119"/>
        <v>3.1189177738595378E-3</v>
      </c>
      <c r="AC180" s="171" t="str">
        <f t="shared" si="120"/>
        <v>4.80536136820108-3.17963703471994i</v>
      </c>
      <c r="AD180" s="190">
        <f t="shared" si="121"/>
        <v>15.211588763831529</v>
      </c>
      <c r="AE180" s="169">
        <f t="shared" si="122"/>
        <v>-33.49202102172773</v>
      </c>
      <c r="AF180" s="98" t="str">
        <f t="shared" si="108"/>
        <v>-0.0000816326530612245</v>
      </c>
      <c r="AG180" s="98" t="str">
        <f t="shared" si="109"/>
        <v>0.0000582001257438956i</v>
      </c>
      <c r="AH180" s="98">
        <f t="shared" si="123"/>
        <v>5.82001257438956E-5</v>
      </c>
      <c r="AI180" s="98">
        <f t="shared" si="124"/>
        <v>1.5707963267948966</v>
      </c>
      <c r="AJ180" s="98" t="str">
        <f t="shared" si="110"/>
        <v>1+0.00644702892761515i</v>
      </c>
      <c r="AK180" s="98">
        <f t="shared" si="125"/>
        <v>1.0000207818750535</v>
      </c>
      <c r="AL180" s="98">
        <f t="shared" si="126"/>
        <v>6.4469396080147493E-3</v>
      </c>
      <c r="AM180" s="98" t="str">
        <f t="shared" si="111"/>
        <v>1+0.65114992168913i</v>
      </c>
      <c r="AN180" s="98">
        <f t="shared" si="127"/>
        <v>1.1933131276055586</v>
      </c>
      <c r="AO180" s="98">
        <f t="shared" si="128"/>
        <v>0.57718317667755403</v>
      </c>
      <c r="AP180" s="168" t="str">
        <f t="shared" si="129"/>
        <v>-0.904235506664163+1.40844950687327i</v>
      </c>
      <c r="AQ180" s="98">
        <f t="shared" si="130"/>
        <v>4.4737076257756048</v>
      </c>
      <c r="AR180" s="169">
        <f t="shared" si="131"/>
        <v>122.70077759926255</v>
      </c>
      <c r="AS180" s="168" t="str">
        <f t="shared" si="132"/>
        <v>0.133179842107586+9.6432495544888i</v>
      </c>
      <c r="AT180" s="190">
        <f t="shared" si="133"/>
        <v>19.685296389607139</v>
      </c>
      <c r="AU180" s="169">
        <f t="shared" si="134"/>
        <v>89.208756577534842</v>
      </c>
      <c r="AV180" s="225"/>
      <c r="AX180">
        <f t="shared" si="135"/>
        <v>0</v>
      </c>
      <c r="AY180">
        <f t="shared" si="136"/>
        <v>0</v>
      </c>
    </row>
    <row r="181" spans="14:51" x14ac:dyDescent="0.2">
      <c r="N181" s="170">
        <v>63</v>
      </c>
      <c r="O181" s="199">
        <f t="shared" si="102"/>
        <v>426.57951880159294</v>
      </c>
      <c r="P181" s="189" t="str">
        <f t="shared" si="103"/>
        <v>6.8875</v>
      </c>
      <c r="Q181" s="160" t="str">
        <f t="shared" si="104"/>
        <v>1+0.670069541219477i</v>
      </c>
      <c r="R181" s="160">
        <f t="shared" si="112"/>
        <v>1.2037413302159565</v>
      </c>
      <c r="S181" s="160">
        <f t="shared" si="113"/>
        <v>0.5903547412643404</v>
      </c>
      <c r="T181" s="160" t="str">
        <f t="shared" si="105"/>
        <v>1+0.00107211126595116i</v>
      </c>
      <c r="U181" s="160">
        <f t="shared" si="114"/>
        <v>1.0000005747111183</v>
      </c>
      <c r="V181" s="160">
        <f t="shared" si="115"/>
        <v>1.0721108551818156E-3</v>
      </c>
      <c r="W181" s="98" t="str">
        <f t="shared" si="106"/>
        <v>1-0.00278422247044104i</v>
      </c>
      <c r="X181" s="160">
        <f t="shared" si="116"/>
        <v>1.0000038759398711</v>
      </c>
      <c r="Y181" s="160">
        <f t="shared" si="117"/>
        <v>-2.7842152761413043E-3</v>
      </c>
      <c r="Z181" s="98" t="str">
        <f t="shared" si="107"/>
        <v>0.999996240287482+0.00319156559099351i</v>
      </c>
      <c r="AA181" s="160">
        <f t="shared" si="118"/>
        <v>1.0000013333391218</v>
      </c>
      <c r="AB181" s="160">
        <f t="shared" si="119"/>
        <v>3.1915667538259672E-3</v>
      </c>
      <c r="AC181" s="171" t="str">
        <f t="shared" si="120"/>
        <v>4.73763974662554-3.20832209662972i</v>
      </c>
      <c r="AD181" s="190">
        <f t="shared" si="121"/>
        <v>15.150595869832387</v>
      </c>
      <c r="AE181" s="169">
        <f t="shared" si="122"/>
        <v>-34.105794752419563</v>
      </c>
      <c r="AF181" s="98" t="str">
        <f t="shared" si="108"/>
        <v>-0.0000816326530612245</v>
      </c>
      <c r="AG181" s="98" t="str">
        <f t="shared" si="109"/>
        <v>0.0000595557808235871i</v>
      </c>
      <c r="AH181" s="98">
        <f t="shared" si="123"/>
        <v>5.9555780823587098E-5</v>
      </c>
      <c r="AI181" s="98">
        <f t="shared" si="124"/>
        <v>1.5707963267948966</v>
      </c>
      <c r="AJ181" s="98" t="str">
        <f t="shared" si="110"/>
        <v>1+0.00659719952265989i</v>
      </c>
      <c r="AK181" s="98">
        <f t="shared" si="125"/>
        <v>1.0000217612839941</v>
      </c>
      <c r="AL181" s="98">
        <f t="shared" si="126"/>
        <v>6.5971038150962067E-3</v>
      </c>
      <c r="AM181" s="98" t="str">
        <f t="shared" si="111"/>
        <v>1+0.666317151788649i</v>
      </c>
      <c r="AN181" s="98">
        <f t="shared" si="127"/>
        <v>1.2016565843733131</v>
      </c>
      <c r="AO181" s="98">
        <f t="shared" si="128"/>
        <v>0.58776059267378655</v>
      </c>
      <c r="AP181" s="168" t="str">
        <f t="shared" si="129"/>
        <v>-0.90423373547089+1.37665775848839i</v>
      </c>
      <c r="AQ181" s="98">
        <f t="shared" si="130"/>
        <v>4.334218162230151</v>
      </c>
      <c r="AR181" s="169">
        <f t="shared" si="131"/>
        <v>123.29821511870111</v>
      </c>
      <c r="AS181" s="168" t="str">
        <f t="shared" si="132"/>
        <v>0.132827820648469+9.42318158814431i</v>
      </c>
      <c r="AT181" s="190">
        <f t="shared" si="133"/>
        <v>19.484814032062538</v>
      </c>
      <c r="AU181" s="169">
        <f t="shared" si="134"/>
        <v>89.192420366281539</v>
      </c>
      <c r="AV181" s="225"/>
      <c r="AX181">
        <f t="shared" si="135"/>
        <v>0</v>
      </c>
      <c r="AY181">
        <f t="shared" si="136"/>
        <v>0</v>
      </c>
    </row>
    <row r="182" spans="14:51" x14ac:dyDescent="0.2">
      <c r="N182" s="170">
        <v>64</v>
      </c>
      <c r="O182" s="199">
        <f t="shared" si="102"/>
        <v>436.51583224016622</v>
      </c>
      <c r="P182" s="189" t="str">
        <f t="shared" si="103"/>
        <v>6.8875</v>
      </c>
      <c r="Q182" s="160" t="str">
        <f t="shared" si="104"/>
        <v>1+0.68567746587067i</v>
      </c>
      <c r="R182" s="160">
        <f t="shared" si="112"/>
        <v>1.2124989019388117</v>
      </c>
      <c r="S182" s="160">
        <f t="shared" si="113"/>
        <v>0.60104871003189042</v>
      </c>
      <c r="T182" s="160" t="str">
        <f t="shared" si="105"/>
        <v>1+0.00109708394539307i</v>
      </c>
      <c r="U182" s="160">
        <f t="shared" si="114"/>
        <v>1.0000006017964105</v>
      </c>
      <c r="V182" s="160">
        <f t="shared" si="115"/>
        <v>1.0970835052458018E-3</v>
      </c>
      <c r="W182" s="98" t="str">
        <f t="shared" si="106"/>
        <v>1-0.00284907534295292i</v>
      </c>
      <c r="X182" s="160">
        <f t="shared" si="116"/>
        <v>1.0000040586069188</v>
      </c>
      <c r="Y182" s="160">
        <f t="shared" si="117"/>
        <v>-2.8490676341235547E-3</v>
      </c>
      <c r="Z182" s="98" t="str">
        <f t="shared" si="107"/>
        <v>0.99999606309769+0.00326590670366803i</v>
      </c>
      <c r="AA182" s="160">
        <f t="shared" si="118"/>
        <v>1.0000013961777634</v>
      </c>
      <c r="AB182" s="160">
        <f t="shared" si="119"/>
        <v>3.2659079496649068E-3</v>
      </c>
      <c r="AC182" s="171" t="str">
        <f t="shared" si="120"/>
        <v>4.668721920038-3.23579811445563i</v>
      </c>
      <c r="AD182" s="190">
        <f t="shared" si="121"/>
        <v>15.087633510446183</v>
      </c>
      <c r="AE182" s="169">
        <f t="shared" si="122"/>
        <v>-34.725058404762372</v>
      </c>
      <c r="AF182" s="98" t="str">
        <f t="shared" si="108"/>
        <v>-0.0000816326530612245</v>
      </c>
      <c r="AG182" s="98" t="str">
        <f t="shared" si="109"/>
        <v>0.0000609430131665852i</v>
      </c>
      <c r="AH182" s="98">
        <f t="shared" si="123"/>
        <v>6.0943013166585202E-5</v>
      </c>
      <c r="AI182" s="98">
        <f t="shared" si="124"/>
        <v>1.5707963267948966</v>
      </c>
      <c r="AJ182" s="98" t="str">
        <f t="shared" si="110"/>
        <v>1+0.00675086804021579i</v>
      </c>
      <c r="AK182" s="98">
        <f t="shared" si="125"/>
        <v>1.000022786850028</v>
      </c>
      <c r="AL182" s="98">
        <f t="shared" si="126"/>
        <v>6.7507654878398533E-3</v>
      </c>
      <c r="AM182" s="98" t="str">
        <f t="shared" si="111"/>
        <v>1+0.681837672061795i</v>
      </c>
      <c r="AN182" s="98">
        <f t="shared" si="127"/>
        <v>1.2103316120149255</v>
      </c>
      <c r="AO182" s="98">
        <f t="shared" si="128"/>
        <v>0.59843219840425499</v>
      </c>
      <c r="AP182" s="168" t="str">
        <f t="shared" si="129"/>
        <v>-0.90423188081129+1.34559593116766i</v>
      </c>
      <c r="AQ182" s="98">
        <f t="shared" si="130"/>
        <v>4.196689375830462</v>
      </c>
      <c r="AR182" s="169">
        <f t="shared" si="131"/>
        <v>123.90084892236335</v>
      </c>
      <c r="AS182" s="168" t="str">
        <f t="shared" si="132"/>
        <v>0.132469574150623+9.20812503431624i</v>
      </c>
      <c r="AT182" s="190">
        <f t="shared" si="133"/>
        <v>19.284322886276644</v>
      </c>
      <c r="AU182" s="169">
        <f t="shared" si="134"/>
        <v>89.175790517600987</v>
      </c>
      <c r="AV182" s="225"/>
      <c r="AX182">
        <f t="shared" si="135"/>
        <v>0</v>
      </c>
      <c r="AY182">
        <f t="shared" si="136"/>
        <v>0</v>
      </c>
    </row>
    <row r="183" spans="14:51" x14ac:dyDescent="0.2">
      <c r="N183" s="170">
        <v>65</v>
      </c>
      <c r="O183" s="199">
        <f t="shared" si="102"/>
        <v>446.68359215096331</v>
      </c>
      <c r="P183" s="189" t="str">
        <f t="shared" si="103"/>
        <v>6.8875</v>
      </c>
      <c r="Q183" s="160" t="str">
        <f t="shared" si="104"/>
        <v>1+0.701648945790282i</v>
      </c>
      <c r="R183" s="160">
        <f t="shared" si="112"/>
        <v>1.2216019167996643</v>
      </c>
      <c r="S183" s="160">
        <f t="shared" si="113"/>
        <v>0.61183178231838986</v>
      </c>
      <c r="T183" s="160" t="str">
        <f t="shared" si="105"/>
        <v>1+0.00112263831326445i</v>
      </c>
      <c r="U183" s="160">
        <f t="shared" si="114"/>
        <v>1.0000006301581927</v>
      </c>
      <c r="V183" s="160">
        <f t="shared" si="115"/>
        <v>1.1226378416381709E-3</v>
      </c>
      <c r="W183" s="98" t="str">
        <f t="shared" si="106"/>
        <v>1-0.00291543883292361i</v>
      </c>
      <c r="X183" s="160">
        <f t="shared" si="116"/>
        <v>1.0000042498827635</v>
      </c>
      <c r="Y183" s="160">
        <f t="shared" si="117"/>
        <v>-2.9154305727660205E-3</v>
      </c>
      <c r="Z183" s="98" t="str">
        <f t="shared" si="107"/>
        <v>0.9999958775572+0.00334197944330624i</v>
      </c>
      <c r="AA183" s="160">
        <f t="shared" si="118"/>
        <v>1.0000014619779283</v>
      </c>
      <c r="AB183" s="160">
        <f t="shared" si="119"/>
        <v>3.3419807784153318E-3</v>
      </c>
      <c r="AC183" s="171" t="str">
        <f t="shared" si="120"/>
        <v>4.59865088938412-3.26200426661454i</v>
      </c>
      <c r="AD183" s="190">
        <f t="shared" si="121"/>
        <v>15.022667816149839</v>
      </c>
      <c r="AE183" s="169">
        <f t="shared" si="122"/>
        <v>-35.349579749663029</v>
      </c>
      <c r="AF183" s="98" t="str">
        <f t="shared" si="108"/>
        <v>-0.0000816326530612245</v>
      </c>
      <c r="AG183" s="98" t="str">
        <f t="shared" si="109"/>
        <v>0.0000623625583018403i</v>
      </c>
      <c r="AH183" s="98">
        <f t="shared" si="123"/>
        <v>6.2362558301840303E-5</v>
      </c>
      <c r="AI183" s="98">
        <f t="shared" si="124"/>
        <v>1.5707963267948966</v>
      </c>
      <c r="AJ183" s="98" t="str">
        <f t="shared" si="110"/>
        <v>1+0.00690811595736492i</v>
      </c>
      <c r="AK183" s="98">
        <f t="shared" si="125"/>
        <v>1.0000238607483725</v>
      </c>
      <c r="AL183" s="98">
        <f t="shared" si="126"/>
        <v>6.9080060706559129E-3</v>
      </c>
      <c r="AM183" s="98" t="str">
        <f t="shared" si="111"/>
        <v>1+0.697719711693857i</v>
      </c>
      <c r="AN183" s="98">
        <f t="shared" si="127"/>
        <v>1.2193493330814427</v>
      </c>
      <c r="AO183" s="98">
        <f t="shared" si="128"/>
        <v>0.60919392951743712</v>
      </c>
      <c r="AP183" s="168" t="str">
        <f t="shared" si="129"/>
        <v>-0.904229938752433+1.31524755544029i</v>
      </c>
      <c r="AQ183" s="98">
        <f t="shared" si="130"/>
        <v>4.0611554188363028</v>
      </c>
      <c r="AR183" s="169">
        <f t="shared" si="131"/>
        <v>124.50844147363986</v>
      </c>
      <c r="AS183" s="168" t="str">
        <f t="shared" si="132"/>
        <v>0.132105325448945+8.99796625879682i</v>
      </c>
      <c r="AT183" s="190">
        <f t="shared" si="133"/>
        <v>19.083823234986141</v>
      </c>
      <c r="AU183" s="169">
        <f t="shared" si="134"/>
        <v>89.158861723976841</v>
      </c>
      <c r="AV183" s="225"/>
      <c r="AX183">
        <f t="shared" si="135"/>
        <v>0</v>
      </c>
      <c r="AY183">
        <f t="shared" si="136"/>
        <v>0</v>
      </c>
    </row>
    <row r="184" spans="14:51" x14ac:dyDescent="0.2">
      <c r="N184" s="170">
        <v>66</v>
      </c>
      <c r="O184" s="199">
        <f t="shared" ref="O184:O218" si="137">10^(2+(N184/100))</f>
        <v>457.0881896148756</v>
      </c>
      <c r="P184" s="189" t="str">
        <f t="shared" si="103"/>
        <v>6.8875</v>
      </c>
      <c r="Q184" s="160" t="str">
        <f t="shared" si="104"/>
        <v>1+0.717992449268375i</v>
      </c>
      <c r="R184" s="160">
        <f t="shared" si="112"/>
        <v>1.2310618007258614</v>
      </c>
      <c r="S184" s="160">
        <f t="shared" si="113"/>
        <v>0.62269964513847942</v>
      </c>
      <c r="T184" s="160" t="str">
        <f t="shared" si="105"/>
        <v>1+0.0011487879188294i</v>
      </c>
      <c r="U184" s="160">
        <f t="shared" si="114"/>
        <v>1.0000006598566236</v>
      </c>
      <c r="V184" s="160">
        <f t="shared" si="115"/>
        <v>1.1487874134727552E-3</v>
      </c>
      <c r="W184" s="98" t="str">
        <f t="shared" si="106"/>
        <v>1-0.00298334812715391i</v>
      </c>
      <c r="X184" s="160">
        <f t="shared" si="116"/>
        <v>1.0000044501731218</v>
      </c>
      <c r="Y184" s="160">
        <f t="shared" si="117"/>
        <v>-2.9833392762377161E-3</v>
      </c>
      <c r="Z184" s="98" t="str">
        <f t="shared" si="107"/>
        <v>0.999995683272457+0.00341982414468161i</v>
      </c>
      <c r="AA184" s="160">
        <f t="shared" si="118"/>
        <v>1.0000015308791925</v>
      </c>
      <c r="AB184" s="160">
        <f t="shared" si="119"/>
        <v>3.4198255752760829E-3</v>
      </c>
      <c r="AC184" s="171" t="str">
        <f t="shared" si="120"/>
        <v>4.5274735907615-3.28688134003756i</v>
      </c>
      <c r="AD184" s="190">
        <f t="shared" si="121"/>
        <v>14.955666213950982</v>
      </c>
      <c r="AE184" s="169">
        <f t="shared" si="122"/>
        <v>-35.979115221897388</v>
      </c>
      <c r="AF184" s="98" t="str">
        <f t="shared" si="108"/>
        <v>-0.0000816326530612245</v>
      </c>
      <c r="AG184" s="98" t="str">
        <f t="shared" si="109"/>
        <v>0.0000638151688909733i</v>
      </c>
      <c r="AH184" s="98">
        <f t="shared" si="123"/>
        <v>6.3815168890973294E-5</v>
      </c>
      <c r="AI184" s="98">
        <f t="shared" si="124"/>
        <v>1.5707963267948966</v>
      </c>
      <c r="AJ184" s="98" t="str">
        <f t="shared" si="110"/>
        <v>1+0.00706902664903438i</v>
      </c>
      <c r="AK184" s="98">
        <f t="shared" si="125"/>
        <v>1.0000249852567509</v>
      </c>
      <c r="AL184" s="98">
        <f t="shared" si="126"/>
        <v>7.0689089034631737E-3</v>
      </c>
      <c r="AM184" s="98" t="str">
        <f t="shared" si="111"/>
        <v>1+0.713971691552472i</v>
      </c>
      <c r="AN184" s="98">
        <f t="shared" si="127"/>
        <v>1.2287211141419758</v>
      </c>
      <c r="AO184" s="98">
        <f t="shared" si="128"/>
        <v>0.62004152112597966</v>
      </c>
      <c r="AP184" s="168" t="str">
        <f t="shared" si="129"/>
        <v>-0.904227905176098+1.28559654011135i</v>
      </c>
      <c r="AQ184" s="98">
        <f t="shared" si="130"/>
        <v>3.9276491739192316</v>
      </c>
      <c r="AR184" s="169">
        <f t="shared" si="131"/>
        <v>125.12074363745928</v>
      </c>
      <c r="AS184" s="168" t="str">
        <f t="shared" si="132"/>
        <v>0.131735317794468+8.79259421239306i</v>
      </c>
      <c r="AT184" s="190">
        <f t="shared" si="133"/>
        <v>18.883315387870212</v>
      </c>
      <c r="AU184" s="169">
        <f t="shared" si="134"/>
        <v>89.141628415561883</v>
      </c>
      <c r="AV184" s="225"/>
      <c r="AX184">
        <f t="shared" si="135"/>
        <v>0</v>
      </c>
      <c r="AY184">
        <f t="shared" si="136"/>
        <v>0</v>
      </c>
    </row>
    <row r="185" spans="14:51" x14ac:dyDescent="0.2">
      <c r="N185" s="170">
        <v>67</v>
      </c>
      <c r="O185" s="199">
        <f t="shared" si="137"/>
        <v>467.7351412871983</v>
      </c>
      <c r="P185" s="189" t="str">
        <f t="shared" si="103"/>
        <v>6.8875</v>
      </c>
      <c r="Q185" s="160" t="str">
        <f t="shared" si="104"/>
        <v>1+0.734716641846823i</v>
      </c>
      <c r="R185" s="160">
        <f t="shared" si="112"/>
        <v>1.2408902223027922</v>
      </c>
      <c r="S185" s="160">
        <f t="shared" si="113"/>
        <v>0.63364779207854904</v>
      </c>
      <c r="T185" s="160" t="str">
        <f t="shared" si="105"/>
        <v>1+0.00117554662695492i</v>
      </c>
      <c r="U185" s="160">
        <f t="shared" si="114"/>
        <v>1.0000006909546972</v>
      </c>
      <c r="V185" s="160">
        <f t="shared" si="115"/>
        <v>1.1755460854555393E-3</v>
      </c>
      <c r="W185" s="98" t="str">
        <f t="shared" si="106"/>
        <v>1-0.00305283923205051i</v>
      </c>
      <c r="X185" s="160">
        <f t="shared" si="116"/>
        <v>1.0000046599028309</v>
      </c>
      <c r="Y185" s="160">
        <f t="shared" si="117"/>
        <v>-3.0528297481253255E-3</v>
      </c>
      <c r="Z185" s="98" t="str">
        <f t="shared" si="107"/>
        <v>0.999995479831356+0.00349948208208521i</v>
      </c>
      <c r="AA185" s="160">
        <f t="shared" si="118"/>
        <v>1.0000016030277084</v>
      </c>
      <c r="AB185" s="160">
        <f t="shared" si="119"/>
        <v>3.4994836149940282E-3</v>
      </c>
      <c r="AC185" s="171" t="str">
        <f t="shared" si="120"/>
        <v>4.45524083463161-3.31037202962267i</v>
      </c>
      <c r="AD185" s="190">
        <f t="shared" si="121"/>
        <v>14.886597540017657</v>
      </c>
      <c r="AE185" s="169">
        <f t="shared" si="122"/>
        <v>-36.613410256318161</v>
      </c>
      <c r="AF185" s="98" t="str">
        <f t="shared" si="108"/>
        <v>-0.0000816326530612245</v>
      </c>
      <c r="AG185" s="98" t="str">
        <f t="shared" si="109"/>
        <v>0.0000653016151273456i</v>
      </c>
      <c r="AH185" s="98">
        <f t="shared" si="123"/>
        <v>6.5301615127345603E-5</v>
      </c>
      <c r="AI185" s="98">
        <f t="shared" si="124"/>
        <v>1.5707963267948966</v>
      </c>
      <c r="AJ185" s="98" t="str">
        <f t="shared" si="110"/>
        <v>1+0.00723368543220278i</v>
      </c>
      <c r="AK185" s="98">
        <f t="shared" si="125"/>
        <v>1.0000261627602209</v>
      </c>
      <c r="AL185" s="98">
        <f t="shared" si="126"/>
        <v>7.2335592657283973E-3</v>
      </c>
      <c r="AM185" s="98" t="str">
        <f t="shared" si="111"/>
        <v>1+0.730602228652481i</v>
      </c>
      <c r="AN185" s="98">
        <f t="shared" si="127"/>
        <v>1.238458564713399</v>
      </c>
      <c r="AO185" s="98">
        <f t="shared" si="128"/>
        <v>0.63097051339950305</v>
      </c>
      <c r="AP185" s="168" t="str">
        <f t="shared" si="129"/>
        <v>-0.904225775770074+1.25662716372959i</v>
      </c>
      <c r="AQ185" s="98">
        <f t="shared" si="130"/>
        <v>3.7962021410920204</v>
      </c>
      <c r="AR185" s="169">
        <f t="shared" si="131"/>
        <v>125.73749499821022</v>
      </c>
      <c r="AS185" s="168" t="str">
        <f t="shared" si="132"/>
        <v>0.131359814537223+8.59190037032849i</v>
      </c>
      <c r="AT185" s="190">
        <f t="shared" si="133"/>
        <v>18.682799681109682</v>
      </c>
      <c r="AU185" s="169">
        <f t="shared" si="134"/>
        <v>89.124084741892077</v>
      </c>
      <c r="AV185" s="225"/>
      <c r="AX185">
        <f t="shared" si="135"/>
        <v>0</v>
      </c>
      <c r="AY185">
        <f t="shared" si="136"/>
        <v>0</v>
      </c>
    </row>
    <row r="186" spans="14:51" x14ac:dyDescent="0.2">
      <c r="N186" s="170">
        <v>68</v>
      </c>
      <c r="O186" s="199">
        <f t="shared" si="137"/>
        <v>478.63009232263886</v>
      </c>
      <c r="P186" s="189" t="str">
        <f t="shared" si="103"/>
        <v>6.8875</v>
      </c>
      <c r="Q186" s="160" t="str">
        <f t="shared" si="104"/>
        <v>1+0.751830390913903i</v>
      </c>
      <c r="R186" s="160">
        <f t="shared" si="112"/>
        <v>1.2510990914798683</v>
      </c>
      <c r="S186" s="160">
        <f t="shared" si="113"/>
        <v>0.6446715301255499</v>
      </c>
      <c r="T186" s="160" t="str">
        <f t="shared" si="105"/>
        <v>1+0.00120292862546224i</v>
      </c>
      <c r="U186" s="160">
        <f t="shared" si="114"/>
        <v>1.0000007235183772</v>
      </c>
      <c r="V186" s="160">
        <f t="shared" si="115"/>
        <v>1.2029280452352225E-3</v>
      </c>
      <c r="W186" s="98" t="str">
        <f t="shared" si="106"/>
        <v>1-0.00312394899271705i</v>
      </c>
      <c r="X186" s="160">
        <f t="shared" si="116"/>
        <v>1.0000048795167498</v>
      </c>
      <c r="Y186" s="160">
        <f t="shared" si="117"/>
        <v>-3.1239388305108039E-3</v>
      </c>
      <c r="Z186" s="98" t="str">
        <f t="shared" si="107"/>
        <v>0.99999526680237+0.00358099549120986i</v>
      </c>
      <c r="AA186" s="160">
        <f t="shared" si="118"/>
        <v>1.0000016785765169</v>
      </c>
      <c r="AB186" s="160">
        <f t="shared" si="119"/>
        <v>3.580997133750383E-3</v>
      </c>
      <c r="AC186" s="171" t="str">
        <f t="shared" si="120"/>
        <v>4.38200721857695-3.33242123719575i</v>
      </c>
      <c r="AD186" s="190">
        <f t="shared" si="121"/>
        <v>14.815432150176022</v>
      </c>
      <c r="AE186" s="169">
        <f t="shared" si="122"/>
        <v>-37.252199681042619</v>
      </c>
      <c r="AF186" s="98" t="str">
        <f t="shared" si="108"/>
        <v>-0.0000816326530612245</v>
      </c>
      <c r="AG186" s="98" t="str">
        <f t="shared" si="109"/>
        <v>0.0000668226851444277i</v>
      </c>
      <c r="AH186" s="98">
        <f t="shared" si="123"/>
        <v>6.6822685144427702E-5</v>
      </c>
      <c r="AI186" s="98">
        <f t="shared" si="124"/>
        <v>1.5707963267948966</v>
      </c>
      <c r="AJ186" s="98" t="str">
        <f t="shared" si="110"/>
        <v>1+0.00740217961113648i</v>
      </c>
      <c r="AK186" s="98">
        <f t="shared" si="125"/>
        <v>1.000027395756234</v>
      </c>
      <c r="AL186" s="98">
        <f t="shared" si="126"/>
        <v>7.4020444215235279E-3</v>
      </c>
      <c r="AM186" s="98" t="str">
        <f t="shared" si="111"/>
        <v>1+0.747620140724785i</v>
      </c>
      <c r="AN186" s="98">
        <f t="shared" si="127"/>
        <v>1.2485735360071297</v>
      </c>
      <c r="AO186" s="98">
        <f t="shared" si="128"/>
        <v>0.64197625815127024</v>
      </c>
      <c r="AP186" s="168" t="str">
        <f t="shared" si="129"/>
        <v>-0.90422354601898+1.22832406625127i</v>
      </c>
      <c r="AQ186" s="98">
        <f t="shared" si="130"/>
        <v>3.6668443265826971</v>
      </c>
      <c r="AR186" s="169">
        <f t="shared" si="131"/>
        <v>126.35842423454716</v>
      </c>
      <c r="AS186" s="168" t="str">
        <f t="shared" si="132"/>
        <v>0.130979098671954+8.39577867299095i</v>
      </c>
      <c r="AT186" s="190">
        <f t="shared" si="133"/>
        <v>18.482276476758713</v>
      </c>
      <c r="AU186" s="169">
        <f t="shared" si="134"/>
        <v>89.106224553504546</v>
      </c>
      <c r="AV186" s="225"/>
      <c r="AX186">
        <f t="shared" si="135"/>
        <v>0</v>
      </c>
      <c r="AY186">
        <f t="shared" si="136"/>
        <v>0</v>
      </c>
    </row>
    <row r="187" spans="14:51" x14ac:dyDescent="0.2">
      <c r="N187" s="170">
        <v>69</v>
      </c>
      <c r="O187" s="199">
        <f t="shared" si="137"/>
        <v>489.77881936844625</v>
      </c>
      <c r="P187" s="189" t="str">
        <f t="shared" si="103"/>
        <v>6.8875</v>
      </c>
      <c r="Q187" s="160" t="str">
        <f t="shared" si="104"/>
        <v>1+0.769342770405897i</v>
      </c>
      <c r="R187" s="160">
        <f t="shared" si="112"/>
        <v>1.2617005581261431</v>
      </c>
      <c r="S187" s="160">
        <f t="shared" si="113"/>
        <v>0.65576598748352477</v>
      </c>
      <c r="T187" s="160" t="str">
        <f t="shared" si="105"/>
        <v>1+0.00123094843264944i</v>
      </c>
      <c r="U187" s="160">
        <f t="shared" si="114"/>
        <v>1.0000007576167349</v>
      </c>
      <c r="V187" s="160">
        <f t="shared" si="115"/>
        <v>1.2309478109250149E-3</v>
      </c>
      <c r="W187" s="98" t="str">
        <f t="shared" si="106"/>
        <v>1-0.00319671511248988i</v>
      </c>
      <c r="X187" s="160">
        <f t="shared" si="116"/>
        <v>1.0000051094807019</v>
      </c>
      <c r="Y187" s="160">
        <f t="shared" si="117"/>
        <v>-3.1967042234927081E-3</v>
      </c>
      <c r="Z187" s="98" t="str">
        <f t="shared" si="107"/>
        <v>0.999995043733638+0.00366440759154403i</v>
      </c>
      <c r="AA187" s="160">
        <f t="shared" si="118"/>
        <v>1.0000017576858742</v>
      </c>
      <c r="AB187" s="160">
        <f t="shared" si="119"/>
        <v>3.6644093515569333E-3</v>
      </c>
      <c r="AC187" s="171" t="str">
        <f t="shared" si="120"/>
        <v>4.30783101321321-3.35297636733156i</v>
      </c>
      <c r="AD187" s="190">
        <f t="shared" si="121"/>
        <v>14.742142027506882</v>
      </c>
      <c r="AE187" s="169">
        <f t="shared" si="122"/>
        <v>-37.895208167278113</v>
      </c>
      <c r="AF187" s="98" t="str">
        <f t="shared" si="108"/>
        <v>-0.0000816326530612245</v>
      </c>
      <c r="AG187" s="98" t="str">
        <f t="shared" si="109"/>
        <v>0.0000683791854336761i</v>
      </c>
      <c r="AH187" s="98">
        <f t="shared" si="123"/>
        <v>6.8379185433676095E-5</v>
      </c>
      <c r="AI187" s="98">
        <f t="shared" si="124"/>
        <v>1.5707963267948966</v>
      </c>
      <c r="AJ187" s="98" t="str">
        <f t="shared" si="110"/>
        <v>1+0.00757459852367945i</v>
      </c>
      <c r="AK187" s="98">
        <f t="shared" si="125"/>
        <v>1.0000286868599295</v>
      </c>
      <c r="AL187" s="98">
        <f t="shared" si="126"/>
        <v>7.5744536656237324E-3</v>
      </c>
      <c r="AM187" s="98" t="str">
        <f t="shared" si="111"/>
        <v>1+0.765034450891625i</v>
      </c>
      <c r="AN187" s="98">
        <f t="shared" si="127"/>
        <v>1.2590781195188208</v>
      </c>
      <c r="AO187" s="98">
        <f t="shared" si="128"/>
        <v>0.65305392641485882</v>
      </c>
      <c r="AP187" s="168" t="str">
        <f t="shared" si="129"/>
        <v>-0.904221211194743+1.20067224089564i</v>
      </c>
      <c r="AQ187" s="98">
        <f t="shared" si="130"/>
        <v>3.5396041344197893</v>
      </c>
      <c r="AR187" s="169">
        <f t="shared" si="131"/>
        <v>126.98324955086068</v>
      </c>
      <c r="AS187" s="168" t="str">
        <f t="shared" si="132"/>
        <v>0.130593472244181+8.20412546801033i</v>
      </c>
      <c r="AT187" s="190">
        <f t="shared" si="133"/>
        <v>18.281746161926669</v>
      </c>
      <c r="AU187" s="169">
        <f t="shared" si="134"/>
        <v>89.088041383582592</v>
      </c>
      <c r="AV187" s="225"/>
      <c r="AX187">
        <f t="shared" si="135"/>
        <v>0</v>
      </c>
      <c r="AY187">
        <f t="shared" si="136"/>
        <v>0</v>
      </c>
    </row>
    <row r="188" spans="14:51" x14ac:dyDescent="0.2">
      <c r="N188" s="170">
        <v>70</v>
      </c>
      <c r="O188" s="199">
        <f t="shared" si="137"/>
        <v>501.18723362727269</v>
      </c>
      <c r="P188" s="189" t="str">
        <f t="shared" si="103"/>
        <v>6.8875</v>
      </c>
      <c r="Q188" s="160" t="str">
        <f t="shared" si="104"/>
        <v>1+0.787263065618215i</v>
      </c>
      <c r="R188" s="160">
        <f t="shared" si="112"/>
        <v>1.2727070104649341</v>
      </c>
      <c r="S188" s="160">
        <f t="shared" si="113"/>
        <v>0.66692612236292226</v>
      </c>
      <c r="T188" s="160" t="str">
        <f t="shared" si="105"/>
        <v>1+0.00125962090498914i</v>
      </c>
      <c r="U188" s="160">
        <f t="shared" si="114"/>
        <v>1.0000007933220973</v>
      </c>
      <c r="V188" s="160">
        <f t="shared" si="115"/>
        <v>1.2596202387994443E-3</v>
      </c>
      <c r="W188" s="98" t="str">
        <f t="shared" si="106"/>
        <v>1-0.00327117617292887i</v>
      </c>
      <c r="X188" s="160">
        <f t="shared" si="116"/>
        <v>1.0000053502824644</v>
      </c>
      <c r="Y188" s="160">
        <f t="shared" si="117"/>
        <v>-3.2711645051615576E-3</v>
      </c>
      <c r="Z188" s="98" t="str">
        <f t="shared" si="107"/>
        <v>0.999994810152001+0.0037497626092874i</v>
      </c>
      <c r="AA188" s="160">
        <f t="shared" si="118"/>
        <v>1.0000018405235875</v>
      </c>
      <c r="AB188" s="160">
        <f t="shared" si="119"/>
        <v>3.7497644951741053E-3</v>
      </c>
      <c r="AC188" s="171" t="str">
        <f t="shared" si="120"/>
        <v>4.23277402116347-3.37198761729541i</v>
      </c>
      <c r="AD188" s="190">
        <f t="shared" si="121"/>
        <v>14.666700886265678</v>
      </c>
      <c r="AE188" s="169">
        <f t="shared" si="122"/>
        <v>-38.542150734928761</v>
      </c>
      <c r="AF188" s="98" t="str">
        <f t="shared" si="108"/>
        <v>-0.0000816326530612245</v>
      </c>
      <c r="AG188" s="98" t="str">
        <f t="shared" si="109"/>
        <v>0.000069971941272147i</v>
      </c>
      <c r="AH188" s="98">
        <f t="shared" si="123"/>
        <v>6.9971941272147002E-5</v>
      </c>
      <c r="AI188" s="98">
        <f t="shared" si="124"/>
        <v>1.5707963267948966</v>
      </c>
      <c r="AJ188" s="98" t="str">
        <f t="shared" si="110"/>
        <v>1+0.00775103358862132i</v>
      </c>
      <c r="AK188" s="98">
        <f t="shared" si="125"/>
        <v>1.000030038809681</v>
      </c>
      <c r="AL188" s="98">
        <f t="shared" si="126"/>
        <v>7.7508783706699115E-3</v>
      </c>
      <c r="AM188" s="98" t="str">
        <f t="shared" si="111"/>
        <v>1+0.782854392450753i</v>
      </c>
      <c r="AN188" s="98">
        <f t="shared" si="127"/>
        <v>1.2699846454896364</v>
      </c>
      <c r="AO188" s="98">
        <f t="shared" si="128"/>
        <v>0.66419851699808996</v>
      </c>
      <c r="AP188" s="168" t="str">
        <f t="shared" si="129"/>
        <v>-0.904218766346555+1.17365702618759i</v>
      </c>
      <c r="AQ188" s="98">
        <f t="shared" si="130"/>
        <v>3.4145082615024869</v>
      </c>
      <c r="AR188" s="169">
        <f t="shared" si="131"/>
        <v>127.61167916468027</v>
      </c>
      <c r="AS188" s="168" t="str">
        <f t="shared" si="132"/>
        <v>0.130203255616129+8.01683945364952i</v>
      </c>
      <c r="AT188" s="190">
        <f t="shared" si="133"/>
        <v>18.081209147768163</v>
      </c>
      <c r="AU188" s="169">
        <f t="shared" si="134"/>
        <v>89.069528429751514</v>
      </c>
      <c r="AV188" s="225"/>
      <c r="AX188">
        <f t="shared" si="135"/>
        <v>0</v>
      </c>
      <c r="AY188">
        <f t="shared" si="136"/>
        <v>0</v>
      </c>
    </row>
    <row r="189" spans="14:51" x14ac:dyDescent="0.2">
      <c r="N189" s="170">
        <v>71</v>
      </c>
      <c r="O189" s="199">
        <f t="shared" si="137"/>
        <v>512.86138399136519</v>
      </c>
      <c r="P189" s="189" t="str">
        <f t="shared" si="103"/>
        <v>6.8875</v>
      </c>
      <c r="Q189" s="160" t="str">
        <f t="shared" si="104"/>
        <v>1+0.805600778128583i</v>
      </c>
      <c r="R189" s="160">
        <f t="shared" si="112"/>
        <v>1.284131073419446</v>
      </c>
      <c r="S189" s="160">
        <f t="shared" si="113"/>
        <v>0.67814673271855008</v>
      </c>
      <c r="T189" s="160" t="str">
        <f t="shared" si="105"/>
        <v>1+0.00128896124500573i</v>
      </c>
      <c r="U189" s="160">
        <f t="shared" si="114"/>
        <v>1.0000008307102006</v>
      </c>
      <c r="V189" s="160">
        <f t="shared" si="115"/>
        <v>1.2889605311706422E-3</v>
      </c>
      <c r="W189" s="98" t="str">
        <f t="shared" si="106"/>
        <v>1-0.00334737165427389i</v>
      </c>
      <c r="X189" s="160">
        <f t="shared" si="116"/>
        <v>1.0000056024328023</v>
      </c>
      <c r="Y189" s="160">
        <f t="shared" si="117"/>
        <v>-3.3473591520397483E-3</v>
      </c>
      <c r="Z189" s="98" t="str">
        <f t="shared" si="107"/>
        <v>0.999994565562+0.00383710580080019i</v>
      </c>
      <c r="AA189" s="160">
        <f t="shared" si="118"/>
        <v>1.0000019272653726</v>
      </c>
      <c r="AB189" s="160">
        <f t="shared" si="119"/>
        <v>3.8371078215629728E-3</v>
      </c>
      <c r="AC189" s="171" t="str">
        <f t="shared" si="120"/>
        <v>4.15690140931458-3.38940825831187i</v>
      </c>
      <c r="AD189" s="190">
        <f t="shared" si="121"/>
        <v>14.589084271351236</v>
      </c>
      <c r="AE189" s="169">
        <f t="shared" si="122"/>
        <v>-39.192733312602783</v>
      </c>
      <c r="AF189" s="98" t="str">
        <f t="shared" si="108"/>
        <v>-0.0000816326530612245</v>
      </c>
      <c r="AG189" s="98" t="str">
        <f t="shared" si="109"/>
        <v>0.0000716017971600685i</v>
      </c>
      <c r="AH189" s="98">
        <f t="shared" si="123"/>
        <v>7.16017971600685E-5</v>
      </c>
      <c r="AI189" s="98">
        <f t="shared" si="124"/>
        <v>1.5707963267948966</v>
      </c>
      <c r="AJ189" s="98" t="str">
        <f t="shared" si="110"/>
        <v>1+0.00793157835416894i</v>
      </c>
      <c r="AK189" s="98">
        <f t="shared" si="125"/>
        <v>1.0000314544729023</v>
      </c>
      <c r="AL189" s="98">
        <f t="shared" si="126"/>
        <v>7.9314120354200233E-3</v>
      </c>
      <c r="AM189" s="98" t="str">
        <f t="shared" si="111"/>
        <v>1+0.801089413771063i</v>
      </c>
      <c r="AN189" s="98">
        <f t="shared" si="127"/>
        <v>1.2813056812705022</v>
      </c>
      <c r="AO189" s="98">
        <f t="shared" si="128"/>
        <v>0.67540486599235527</v>
      </c>
      <c r="AP189" s="168" t="str">
        <f t="shared" si="129"/>
        <v>-0.904216206290392+1.14726409818347i</v>
      </c>
      <c r="AQ189" s="98">
        <f t="shared" si="130"/>
        <v>3.2915815969323332</v>
      </c>
      <c r="AR189" s="169">
        <f t="shared" si="131"/>
        <v>128.24341184875223</v>
      </c>
      <c r="AS189" s="168" t="str">
        <f t="shared" si="132"/>
        <v>0.12980878659416+7.83382162349497i</v>
      </c>
      <c r="AT189" s="190">
        <f t="shared" si="133"/>
        <v>17.880665868283568</v>
      </c>
      <c r="AU189" s="169">
        <f t="shared" si="134"/>
        <v>89.050678536149462</v>
      </c>
      <c r="AV189" s="225"/>
      <c r="AX189">
        <f t="shared" si="135"/>
        <v>0</v>
      </c>
      <c r="AY189">
        <f t="shared" si="136"/>
        <v>0</v>
      </c>
    </row>
    <row r="190" spans="14:51" x14ac:dyDescent="0.2">
      <c r="N190" s="170">
        <v>72</v>
      </c>
      <c r="O190" s="199">
        <f t="shared" si="137"/>
        <v>524.80746024977248</v>
      </c>
      <c r="P190" s="189" t="str">
        <f t="shared" si="103"/>
        <v>6.8875</v>
      </c>
      <c r="Q190" s="160" t="str">
        <f t="shared" si="104"/>
        <v>1+0.824365630834903i</v>
      </c>
      <c r="R190" s="160">
        <f t="shared" si="112"/>
        <v>1.2959856069038065</v>
      </c>
      <c r="S190" s="160">
        <f t="shared" si="113"/>
        <v>0.68942246690272313</v>
      </c>
      <c r="T190" s="160" t="str">
        <f t="shared" si="105"/>
        <v>1+0.00131898500933584i</v>
      </c>
      <c r="U190" s="160">
        <f t="shared" si="114"/>
        <v>1.0000008698603491</v>
      </c>
      <c r="V190" s="160">
        <f t="shared" si="115"/>
        <v>1.3189842444477986E-3</v>
      </c>
      <c r="W190" s="98" t="str">
        <f t="shared" si="106"/>
        <v>1-0.00342534195637771i</v>
      </c>
      <c r="X190" s="160">
        <f t="shared" si="116"/>
        <v>1.0000058664665514</v>
      </c>
      <c r="Y190" s="160">
        <f t="shared" si="117"/>
        <v>-3.4253285599967131E-3</v>
      </c>
      <c r="Z190" s="98" t="str">
        <f t="shared" si="107"/>
        <v>0.999994309444828+0.00392648347659867i</v>
      </c>
      <c r="AA190" s="160">
        <f t="shared" si="118"/>
        <v>1.0000020180952289</v>
      </c>
      <c r="AB190" s="160">
        <f t="shared" si="119"/>
        <v>3.9264856418836204E-3</v>
      </c>
      <c r="AC190" s="171" t="str">
        <f t="shared" si="120"/>
        <v>4.08028151490236-3.40519490535276i</v>
      </c>
      <c r="AD190" s="190">
        <f t="shared" si="121"/>
        <v>14.509269652560551</v>
      </c>
      <c r="AE190" s="169">
        <f t="shared" si="122"/>
        <v>-39.846653350104624</v>
      </c>
      <c r="AF190" s="98" t="str">
        <f t="shared" si="108"/>
        <v>-0.0000816326530612245</v>
      </c>
      <c r="AG190" s="98" t="str">
        <f t="shared" si="109"/>
        <v>0.000073269617268606i</v>
      </c>
      <c r="AH190" s="98">
        <f t="shared" si="123"/>
        <v>7.3269617268606E-5</v>
      </c>
      <c r="AI190" s="98">
        <f t="shared" si="124"/>
        <v>1.5707963267948966</v>
      </c>
      <c r="AJ190" s="98" t="str">
        <f t="shared" si="110"/>
        <v>1+0.00811632854754681i</v>
      </c>
      <c r="AK190" s="98">
        <f t="shared" si="125"/>
        <v>1.0000329368521277</v>
      </c>
      <c r="AL190" s="98">
        <f t="shared" si="126"/>
        <v>8.116150334113531E-3</v>
      </c>
      <c r="AM190" s="98" t="str">
        <f t="shared" si="111"/>
        <v>1+0.819749183302227i</v>
      </c>
      <c r="AN190" s="98">
        <f t="shared" si="127"/>
        <v>1.2930540296231507</v>
      </c>
      <c r="AO190" s="98">
        <f t="shared" si="128"/>
        <v>0.68666765720613743</v>
      </c>
      <c r="AP190" s="168" t="str">
        <f t="shared" si="129"/>
        <v>-0.904213525598033+1.12147946287575i</v>
      </c>
      <c r="AQ190" s="98">
        <f t="shared" si="130"/>
        <v>3.1708471263719575</v>
      </c>
      <c r="AR190" s="169">
        <f t="shared" si="131"/>
        <v>128.87813752600925</v>
      </c>
      <c r="AS190" s="168" t="str">
        <f t="shared" si="132"/>
        <v>0.129410419419908+7.65497521243203i</v>
      </c>
      <c r="AT190" s="190">
        <f t="shared" si="133"/>
        <v>17.680116778932508</v>
      </c>
      <c r="AU190" s="169">
        <f t="shared" si="134"/>
        <v>89.031484175904652</v>
      </c>
      <c r="AV190" s="225"/>
      <c r="AX190">
        <f t="shared" si="135"/>
        <v>0</v>
      </c>
      <c r="AY190">
        <f t="shared" si="136"/>
        <v>0</v>
      </c>
    </row>
    <row r="191" spans="14:51" x14ac:dyDescent="0.2">
      <c r="N191" s="170">
        <v>73</v>
      </c>
      <c r="O191" s="199">
        <f t="shared" si="137"/>
        <v>537.03179637025301</v>
      </c>
      <c r="P191" s="189" t="str">
        <f t="shared" si="103"/>
        <v>6.8875</v>
      </c>
      <c r="Q191" s="160" t="str">
        <f t="shared" si="104"/>
        <v>1+0.843567573110457i</v>
      </c>
      <c r="R191" s="160">
        <f t="shared" si="112"/>
        <v>1.3082837040961208</v>
      </c>
      <c r="S191" s="160">
        <f t="shared" si="113"/>
        <v>0.70074783519087624</v>
      </c>
      <c r="T191" s="160" t="str">
        <f t="shared" si="105"/>
        <v>1+0.00134970811697673i</v>
      </c>
      <c r="U191" s="160">
        <f t="shared" si="114"/>
        <v>1.0000009108555856</v>
      </c>
      <c r="V191" s="160">
        <f t="shared" si="115"/>
        <v>1.3497072973844676E-3</v>
      </c>
      <c r="W191" s="98" t="str">
        <f t="shared" si="106"/>
        <v>1-0.00350512842012655i</v>
      </c>
      <c r="X191" s="160">
        <f t="shared" si="116"/>
        <v>1.000006142943753</v>
      </c>
      <c r="Y191" s="160">
        <f t="shared" si="117"/>
        <v>-3.505114065650454E-3</v>
      </c>
      <c r="Z191" s="98" t="str">
        <f t="shared" si="107"/>
        <v>0.999994041257225+0.00401794302590959i</v>
      </c>
      <c r="AA191" s="160">
        <f t="shared" si="118"/>
        <v>1.0000021132058254</v>
      </c>
      <c r="AB191" s="160">
        <f t="shared" si="119"/>
        <v>4.0179453460526676E-3</v>
      </c>
      <c r="AC191" s="171" t="str">
        <f t="shared" si="120"/>
        <v>4.00298562630434-3.41930777266461i</v>
      </c>
      <c r="AD191" s="190">
        <f t="shared" si="121"/>
        <v>14.427236512887045</v>
      </c>
      <c r="AE191" s="169">
        <f t="shared" si="122"/>
        <v>-40.503600480964778</v>
      </c>
      <c r="AF191" s="98" t="str">
        <f t="shared" si="108"/>
        <v>-0.0000816326530612245</v>
      </c>
      <c r="AG191" s="98" t="str">
        <f t="shared" si="109"/>
        <v>0.0000749762858980575i</v>
      </c>
      <c r="AH191" s="98">
        <f t="shared" si="123"/>
        <v>7.4976285898057502E-5</v>
      </c>
      <c r="AI191" s="98">
        <f t="shared" si="124"/>
        <v>1.5707963267948966</v>
      </c>
      <c r="AJ191" s="98" t="str">
        <f t="shared" si="110"/>
        <v>1+0.00830538212575286i</v>
      </c>
      <c r="AK191" s="98">
        <f t="shared" si="125"/>
        <v>1.0000344890913786</v>
      </c>
      <c r="AL191" s="98">
        <f t="shared" si="126"/>
        <v>8.3051911669743371E-3</v>
      </c>
      <c r="AM191" s="98" t="str">
        <f t="shared" si="111"/>
        <v>1+0.838843594701039i</v>
      </c>
      <c r="AN191" s="98">
        <f t="shared" si="127"/>
        <v>1.3052427269940872</v>
      </c>
      <c r="AO191" s="98">
        <f t="shared" si="128"/>
        <v>0.69798143348228003</v>
      </c>
      <c r="AP191" s="168" t="str">
        <f t="shared" si="129"/>
        <v>-0.904210718585567+1.09628944877259i</v>
      </c>
      <c r="AQ191" s="98">
        <f t="shared" si="130"/>
        <v>3.0523258421796662</v>
      </c>
      <c r="AR191" s="169">
        <f t="shared" si="131"/>
        <v>129.51553791510875</v>
      </c>
      <c r="AS191" s="168" t="str">
        <f t="shared" si="132"/>
        <v>0.129008523629975+7.48020564389207i</v>
      </c>
      <c r="AT191" s="190">
        <f t="shared" si="133"/>
        <v>17.479562355066715</v>
      </c>
      <c r="AU191" s="169">
        <f t="shared" si="134"/>
        <v>89.011937434143988</v>
      </c>
      <c r="AV191" s="225"/>
      <c r="AX191">
        <f t="shared" si="135"/>
        <v>0</v>
      </c>
      <c r="AY191">
        <f t="shared" si="136"/>
        <v>0</v>
      </c>
    </row>
    <row r="192" spans="14:51" x14ac:dyDescent="0.2">
      <c r="N192" s="170">
        <v>74</v>
      </c>
      <c r="O192" s="199">
        <f t="shared" si="137"/>
        <v>549.54087385762534</v>
      </c>
      <c r="P192" s="189" t="str">
        <f t="shared" si="103"/>
        <v>6.8875</v>
      </c>
      <c r="Q192" s="160" t="str">
        <f t="shared" si="104"/>
        <v>1+0.863216786079215i</v>
      </c>
      <c r="R192" s="160">
        <f t="shared" si="112"/>
        <v>1.3210386897320341</v>
      </c>
      <c r="S192" s="160">
        <f t="shared" si="113"/>
        <v>0.71211722212781126</v>
      </c>
      <c r="T192" s="160" t="str">
        <f t="shared" si="105"/>
        <v>1+0.00138114685772674i</v>
      </c>
      <c r="U192" s="160">
        <f t="shared" si="114"/>
        <v>1.0000009537828665</v>
      </c>
      <c r="V192" s="160">
        <f t="shared" si="115"/>
        <v>1.3811459795178538E-3</v>
      </c>
      <c r="W192" s="98" t="str">
        <f t="shared" si="106"/>
        <v>1-0.00358677334935962i</v>
      </c>
      <c r="X192" s="160">
        <f t="shared" si="116"/>
        <v>1.0000064324508418</v>
      </c>
      <c r="Y192" s="160">
        <f t="shared" si="117"/>
        <v>-3.5867579682667102E-3</v>
      </c>
      <c r="Z192" s="98" t="str">
        <f t="shared" si="107"/>
        <v>0.99999376043033+0.00411153294179661i</v>
      </c>
      <c r="AA192" s="160">
        <f t="shared" si="118"/>
        <v>1.0000022127989137</v>
      </c>
      <c r="AB192" s="160">
        <f t="shared" si="119"/>
        <v>4.1115354278729692E-3</v>
      </c>
      <c r="AC192" s="171" t="str">
        <f t="shared" si="120"/>
        <v>3.92508773975137-3.43171091232749i</v>
      </c>
      <c r="AD192" s="190">
        <f t="shared" si="121"/>
        <v>14.342966430149563</v>
      </c>
      <c r="AE192" s="169">
        <f t="shared" si="122"/>
        <v>-41.163257232038184</v>
      </c>
      <c r="AF192" s="98" t="str">
        <f t="shared" si="108"/>
        <v>-0.0000816326530612245</v>
      </c>
      <c r="AG192" s="98" t="str">
        <f t="shared" si="109"/>
        <v>0.0000767227079467207i</v>
      </c>
      <c r="AH192" s="98">
        <f t="shared" si="123"/>
        <v>7.6722707946720698E-5</v>
      </c>
      <c r="AI192" s="98">
        <f t="shared" si="124"/>
        <v>1.5707963267948966</v>
      </c>
      <c r="AJ192" s="98" t="str">
        <f t="shared" si="110"/>
        <v>1+0.00849883932749675i</v>
      </c>
      <c r="AK192" s="98">
        <f t="shared" si="125"/>
        <v>1.0000361144828294</v>
      </c>
      <c r="AL192" s="98">
        <f t="shared" si="126"/>
        <v>8.4986347118781464E-3</v>
      </c>
      <c r="AM192" s="98" t="str">
        <f t="shared" si="111"/>
        <v>1+0.858382772077172i</v>
      </c>
      <c r="AN192" s="98">
        <f t="shared" si="127"/>
        <v>1.3178850417995076</v>
      </c>
      <c r="AO192" s="98">
        <f t="shared" si="128"/>
        <v>0.70934060884935279</v>
      </c>
      <c r="AP192" s="168" t="str">
        <f t="shared" si="129"/>
        <v>-0.904207779301363+1.0716806996484i</v>
      </c>
      <c r="AQ192" s="98">
        <f t="shared" si="130"/>
        <v>2.9360366600405321</v>
      </c>
      <c r="AR192" s="169">
        <f t="shared" si="131"/>
        <v>130.15528722369402</v>
      </c>
      <c r="AS192" s="168" t="str">
        <f t="shared" si="132"/>
        <v>0.128603482790581+7.309420478358i</v>
      </c>
      <c r="AT192" s="190">
        <f t="shared" si="133"/>
        <v>17.279003090190091</v>
      </c>
      <c r="AU192" s="169">
        <f t="shared" si="134"/>
        <v>88.992029991655841</v>
      </c>
      <c r="AV192" s="225"/>
      <c r="AX192">
        <f t="shared" si="135"/>
        <v>0</v>
      </c>
      <c r="AY192">
        <f t="shared" si="136"/>
        <v>0</v>
      </c>
    </row>
    <row r="193" spans="14:51" x14ac:dyDescent="0.2">
      <c r="N193" s="170">
        <v>75</v>
      </c>
      <c r="O193" s="199">
        <f t="shared" si="137"/>
        <v>562.34132519034927</v>
      </c>
      <c r="P193" s="189" t="str">
        <f t="shared" si="103"/>
        <v>6.8875</v>
      </c>
      <c r="Q193" s="160" t="str">
        <f t="shared" si="104"/>
        <v>1+0.883323688013975i</v>
      </c>
      <c r="R193" s="160">
        <f t="shared" si="112"/>
        <v>1.3342641184587893</v>
      </c>
      <c r="S193" s="160">
        <f t="shared" si="113"/>
        <v>0.72352489963388467</v>
      </c>
      <c r="T193" s="160" t="str">
        <f t="shared" si="105"/>
        <v>1+0.00141331790082236i</v>
      </c>
      <c r="U193" s="160">
        <f t="shared" si="114"/>
        <v>1.0000009987332457</v>
      </c>
      <c r="V193" s="160">
        <f t="shared" si="115"/>
        <v>1.413316959804635E-3</v>
      </c>
      <c r="W193" s="98" t="str">
        <f t="shared" si="106"/>
        <v>1-0.00367032003329906i</v>
      </c>
      <c r="X193" s="160">
        <f t="shared" si="116"/>
        <v>1.0000067356018894</v>
      </c>
      <c r="Y193" s="160">
        <f t="shared" si="117"/>
        <v>-3.670303552167067E-3</v>
      </c>
      <c r="Z193" s="98" t="str">
        <f t="shared" si="107"/>
        <v>0.999993466368471+0.00420730284687195i</v>
      </c>
      <c r="AA193" s="160">
        <f t="shared" si="118"/>
        <v>1.0000023170857535</v>
      </c>
      <c r="AB193" s="160">
        <f t="shared" si="119"/>
        <v>4.2073055107488136E-3</v>
      </c>
      <c r="AC193" s="171" t="str">
        <f t="shared" si="120"/>
        <v>3.84666429349675-3.44237243325363i</v>
      </c>
      <c r="AD193" s="190">
        <f t="shared" si="121"/>
        <v>14.256443151280012</v>
      </c>
      <c r="AE193" s="169">
        <f t="shared" si="122"/>
        <v>-41.825299776696156</v>
      </c>
      <c r="AF193" s="98" t="str">
        <f t="shared" si="108"/>
        <v>-0.0000816326530612245</v>
      </c>
      <c r="AG193" s="98" t="str">
        <f t="shared" si="109"/>
        <v>0.0000785098093906821i</v>
      </c>
      <c r="AH193" s="98">
        <f t="shared" si="123"/>
        <v>7.8509809390682098E-5</v>
      </c>
      <c r="AI193" s="98">
        <f t="shared" si="124"/>
        <v>1.5707963267948966</v>
      </c>
      <c r="AJ193" s="98" t="str">
        <f t="shared" si="110"/>
        <v>1+0.0086968027263475i</v>
      </c>
      <c r="AK193" s="98">
        <f t="shared" si="125"/>
        <v>1.0000378164737878</v>
      </c>
      <c r="AL193" s="98">
        <f t="shared" si="126"/>
        <v>8.6965834772097933E-3</v>
      </c>
      <c r="AM193" s="98" t="str">
        <f t="shared" si="111"/>
        <v>1+0.878377075361097i</v>
      </c>
      <c r="AN193" s="98">
        <f t="shared" si="127"/>
        <v>1.3309944727608429</v>
      </c>
      <c r="AO193" s="98">
        <f t="shared" si="128"/>
        <v>0.72073948144854771</v>
      </c>
      <c r="AP193" s="168" t="str">
        <f t="shared" si="129"/>
        <v>-0.904204701513445+1.0476401674615i</v>
      </c>
      <c r="AQ193" s="98">
        <f t="shared" si="130"/>
        <v>2.8219963427768313</v>
      </c>
      <c r="AR193" s="169">
        <f t="shared" si="131"/>
        <v>130.79705288602204</v>
      </c>
      <c r="AS193" s="168" t="str">
        <f t="shared" si="132"/>
        <v>0.128195693115028+7.14252936311532i</v>
      </c>
      <c r="AT193" s="190">
        <f t="shared" si="133"/>
        <v>17.078439494056845</v>
      </c>
      <c r="AU193" s="169">
        <f t="shared" si="134"/>
        <v>88.971753109325888</v>
      </c>
      <c r="AV193" s="225"/>
      <c r="AX193">
        <f t="shared" si="135"/>
        <v>0</v>
      </c>
      <c r="AY193">
        <f t="shared" si="136"/>
        <v>0</v>
      </c>
    </row>
    <row r="194" spans="14:51" x14ac:dyDescent="0.2">
      <c r="N194" s="170">
        <v>76</v>
      </c>
      <c r="O194" s="199">
        <f t="shared" si="137"/>
        <v>575.43993733715706</v>
      </c>
      <c r="P194" s="189" t="str">
        <f t="shared" si="103"/>
        <v>6.8875</v>
      </c>
      <c r="Q194" s="160" t="str">
        <f t="shared" si="104"/>
        <v>1+0.903898939860292i</v>
      </c>
      <c r="R194" s="160">
        <f t="shared" si="112"/>
        <v>1.3479737732910682</v>
      </c>
      <c r="S194" s="160">
        <f t="shared" si="113"/>
        <v>0.73496504080218705</v>
      </c>
      <c r="T194" s="160" t="str">
        <f t="shared" si="105"/>
        <v>1+0.00144623830377647i</v>
      </c>
      <c r="U194" s="160">
        <f t="shared" si="114"/>
        <v>1.0000010458020687</v>
      </c>
      <c r="V194" s="160">
        <f t="shared" si="115"/>
        <v>1.4462372954578682E-3</v>
      </c>
      <c r="W194" s="98" t="str">
        <f t="shared" si="106"/>
        <v>1-0.0037558127695026i</v>
      </c>
      <c r="X194" s="160">
        <f t="shared" si="116"/>
        <v>1.000007053039907</v>
      </c>
      <c r="Y194" s="160">
        <f t="shared" si="117"/>
        <v>-3.7557951096582245E-3</v>
      </c>
      <c r="Z194" s="98" t="str">
        <f t="shared" si="107"/>
        <v>0.999993158447903+0.00430530351960693i</v>
      </c>
      <c r="AA194" s="160">
        <f t="shared" si="118"/>
        <v>1.0000024262875609</v>
      </c>
      <c r="AB194" s="160">
        <f t="shared" si="119"/>
        <v>4.305306374000231E-3</v>
      </c>
      <c r="AC194" s="171" t="str">
        <f t="shared" si="120"/>
        <v>3.76779388129481-3.45126469819389i</v>
      </c>
      <c r="AD194" s="190">
        <f t="shared" si="121"/>
        <v>14.16765265864486</v>
      </c>
      <c r="AE194" s="169">
        <f t="shared" si="122"/>
        <v>-42.489398727661786</v>
      </c>
      <c r="AF194" s="98" t="str">
        <f t="shared" si="108"/>
        <v>-0.0000816326530612245</v>
      </c>
      <c r="AG194" s="98" t="str">
        <f t="shared" si="109"/>
        <v>0.0000803385377747827i</v>
      </c>
      <c r="AH194" s="98">
        <f t="shared" si="123"/>
        <v>8.0338537774782702E-5</v>
      </c>
      <c r="AI194" s="98">
        <f t="shared" si="124"/>
        <v>1.5707963267948966</v>
      </c>
      <c r="AJ194" s="98" t="str">
        <f t="shared" si="110"/>
        <v>1+0.00889937728511956i</v>
      </c>
      <c r="AK194" s="98">
        <f t="shared" si="125"/>
        <v>1.000039598674004</v>
      </c>
      <c r="AL194" s="98">
        <f t="shared" si="126"/>
        <v>8.899142355938269E-3</v>
      </c>
      <c r="AM194" s="98" t="str">
        <f t="shared" si="111"/>
        <v>1+0.898837105797075i</v>
      </c>
      <c r="AN194" s="98">
        <f t="shared" si="127"/>
        <v>1.344584747331927</v>
      </c>
      <c r="AO194" s="98">
        <f t="shared" si="128"/>
        <v>0.73217224716913165</v>
      </c>
      <c r="AP194" s="168" t="str">
        <f t="shared" si="129"/>
        <v>-0.90420147869631+1.02415510543511i</v>
      </c>
      <c r="AQ194" s="98">
        <f t="shared" si="130"/>
        <v>2.7102194319745436</v>
      </c>
      <c r="AR194" s="169">
        <f t="shared" si="131"/>
        <v>131.44049634111931</v>
      </c>
      <c r="AS194" s="168" t="str">
        <f t="shared" si="132"/>
        <v>0.12778556197356+6.97944398323454i</v>
      </c>
      <c r="AT194" s="190">
        <f t="shared" si="133"/>
        <v>16.877872090619409</v>
      </c>
      <c r="AU194" s="169">
        <f t="shared" si="134"/>
        <v>88.95109761345752</v>
      </c>
      <c r="AV194" s="225"/>
      <c r="AX194">
        <f t="shared" si="135"/>
        <v>0</v>
      </c>
      <c r="AY194">
        <f t="shared" si="136"/>
        <v>0</v>
      </c>
    </row>
    <row r="195" spans="14:51" x14ac:dyDescent="0.2">
      <c r="N195" s="170">
        <v>77</v>
      </c>
      <c r="O195" s="199">
        <f t="shared" si="137"/>
        <v>588.84365535558959</v>
      </c>
      <c r="P195" s="189" t="str">
        <f t="shared" si="103"/>
        <v>6.8875</v>
      </c>
      <c r="Q195" s="160" t="str">
        <f t="shared" si="104"/>
        <v>1+0.92495345088904i</v>
      </c>
      <c r="R195" s="160">
        <f t="shared" si="112"/>
        <v>1.3621816642105942</v>
      </c>
      <c r="S195" s="160">
        <f t="shared" si="113"/>
        <v>0.74643173430992016</v>
      </c>
      <c r="T195" s="160" t="str">
        <f t="shared" si="105"/>
        <v>1+0.00147992552142246i</v>
      </c>
      <c r="U195" s="160">
        <f t="shared" si="114"/>
        <v>1.0000010950891749</v>
      </c>
      <c r="V195" s="160">
        <f t="shared" si="115"/>
        <v>1.4799244409896763E-3</v>
      </c>
      <c r="W195" s="98" t="str">
        <f t="shared" si="106"/>
        <v>1-0.00384329688735058i</v>
      </c>
      <c r="X195" s="160">
        <f t="shared" si="116"/>
        <v>1.0000073854382099</v>
      </c>
      <c r="Y195" s="160">
        <f t="shared" si="117"/>
        <v>-3.8432779644939521E-3</v>
      </c>
      <c r="Z195" s="98" t="str">
        <f t="shared" si="107"/>
        <v>0.999992836015486+0.00440558692125544i</v>
      </c>
      <c r="AA195" s="160">
        <f t="shared" si="118"/>
        <v>1.0000025406359803</v>
      </c>
      <c r="AB195" s="160">
        <f t="shared" si="119"/>
        <v>4.4055899797905123E-3</v>
      </c>
      <c r="AC195" s="171" t="str">
        <f t="shared" si="120"/>
        <v>3.68855694733735-3.45836449652312i</v>
      </c>
      <c r="AD195" s="190">
        <f t="shared" si="121"/>
        <v>14.076583227835329</v>
      </c>
      <c r="AE195" s="169">
        <f t="shared" si="122"/>
        <v>-43.155219965090083</v>
      </c>
      <c r="AF195" s="98" t="str">
        <f t="shared" si="108"/>
        <v>-0.0000816326530612245</v>
      </c>
      <c r="AG195" s="98" t="str">
        <f t="shared" si="109"/>
        <v>0.0000822098627150179i</v>
      </c>
      <c r="AH195" s="98">
        <f t="shared" si="123"/>
        <v>8.2209862715017899E-5</v>
      </c>
      <c r="AI195" s="98">
        <f t="shared" si="124"/>
        <v>1.5707963267948966</v>
      </c>
      <c r="AJ195" s="98" t="str">
        <f t="shared" si="110"/>
        <v>1+0.00910667041152536i</v>
      </c>
      <c r="AK195" s="98">
        <f t="shared" si="125"/>
        <v>1.0000414648633247</v>
      </c>
      <c r="AL195" s="98">
        <f t="shared" si="126"/>
        <v>9.1064186809359602E-3</v>
      </c>
      <c r="AM195" s="98" t="str">
        <f t="shared" si="111"/>
        <v>1+0.919773711564062i</v>
      </c>
      <c r="AN195" s="98">
        <f t="shared" si="127"/>
        <v>1.3586698202596281</v>
      </c>
      <c r="AO195" s="98">
        <f t="shared" si="128"/>
        <v>0.74363301391748859</v>
      </c>
      <c r="AP195" s="168" t="str">
        <f t="shared" si="129"/>
        <v>-0.904198104017102+1.00121306129803i</v>
      </c>
      <c r="AQ195" s="98">
        <f t="shared" si="130"/>
        <v>2.6007181880066672</v>
      </c>
      <c r="AR195" s="169">
        <f t="shared" si="131"/>
        <v>132.08527384716862</v>
      </c>
      <c r="AS195" s="168" t="str">
        <f t="shared" si="132"/>
        <v>0.127373506306791+6.82007801377201i</v>
      </c>
      <c r="AT195" s="190">
        <f t="shared" si="133"/>
        <v>16.677301415841999</v>
      </c>
      <c r="AU195" s="169">
        <f t="shared" si="134"/>
        <v>88.930053882078525</v>
      </c>
      <c r="AV195" s="225"/>
      <c r="AX195">
        <f t="shared" si="135"/>
        <v>0</v>
      </c>
      <c r="AY195">
        <f t="shared" si="136"/>
        <v>0</v>
      </c>
    </row>
    <row r="196" spans="14:51" x14ac:dyDescent="0.2">
      <c r="N196" s="170">
        <v>78</v>
      </c>
      <c r="O196" s="199">
        <f t="shared" si="137"/>
        <v>602.55958607435832</v>
      </c>
      <c r="P196" s="189" t="str">
        <f t="shared" si="103"/>
        <v>6.8875</v>
      </c>
      <c r="Q196" s="160" t="str">
        <f t="shared" si="104"/>
        <v>1+0.946498384480655i</v>
      </c>
      <c r="R196" s="160">
        <f t="shared" si="112"/>
        <v>1.3769020269519867</v>
      </c>
      <c r="S196" s="160">
        <f t="shared" si="113"/>
        <v>0.75791899936024532</v>
      </c>
      <c r="T196" s="160" t="str">
        <f t="shared" si="105"/>
        <v>1+0.00151439741516905i</v>
      </c>
      <c r="U196" s="160">
        <f t="shared" si="114"/>
        <v>1.0000011466991081</v>
      </c>
      <c r="V196" s="160">
        <f t="shared" si="115"/>
        <v>1.5143962574645357E-3</v>
      </c>
      <c r="W196" s="98" t="str">
        <f t="shared" si="106"/>
        <v>1-0.00393281877208028i</v>
      </c>
      <c r="X196" s="160">
        <f t="shared" si="116"/>
        <v>1.0000077335018434</v>
      </c>
      <c r="Y196" s="160">
        <f t="shared" si="117"/>
        <v>-3.9327984958825619E-3</v>
      </c>
      <c r="Z196" s="98" t="str">
        <f t="shared" si="107"/>
        <v>0.999992498387298+0.00450820622340443i</v>
      </c>
      <c r="AA196" s="160">
        <f t="shared" si="118"/>
        <v>1.0000026603735728</v>
      </c>
      <c r="AB196" s="160">
        <f t="shared" si="119"/>
        <v>4.5082095006810496E-3</v>
      </c>
      <c r="AC196" s="171" t="str">
        <f t="shared" si="120"/>
        <v>3.60903546506523-3.46365319081741i</v>
      </c>
      <c r="AD196" s="190">
        <f t="shared" si="121"/>
        <v>13.983225476425336</v>
      </c>
      <c r="AE196" s="169">
        <f t="shared" si="122"/>
        <v>-43.822425495096759</v>
      </c>
      <c r="AF196" s="98" t="str">
        <f t="shared" si="108"/>
        <v>-0.0000816326530612245</v>
      </c>
      <c r="AG196" s="98" t="str">
        <f t="shared" si="109"/>
        <v>0.0000841247764126407i</v>
      </c>
      <c r="AH196" s="98">
        <f t="shared" si="123"/>
        <v>8.4124776412640705E-5</v>
      </c>
      <c r="AI196" s="98">
        <f t="shared" si="124"/>
        <v>1.5707963267948966</v>
      </c>
      <c r="AJ196" s="98" t="str">
        <f t="shared" si="110"/>
        <v>1+0.00931879201512439i</v>
      </c>
      <c r="AK196" s="98">
        <f t="shared" si="125"/>
        <v>1.0000434189997058</v>
      </c>
      <c r="AL196" s="98">
        <f t="shared" si="126"/>
        <v>9.3185222815706289E-3</v>
      </c>
      <c r="AM196" s="98" t="str">
        <f t="shared" si="111"/>
        <v>1+0.941197993527564i</v>
      </c>
      <c r="AN196" s="98">
        <f t="shared" si="127"/>
        <v>1.373263872320361</v>
      </c>
      <c r="AO196" s="98">
        <f t="shared" si="128"/>
        <v>0.75511581643766679</v>
      </c>
      <c r="AP196" s="168" t="str">
        <f t="shared" si="129"/>
        <v>-0.904194570321159+0.978801870681437i</v>
      </c>
      <c r="AQ196" s="98">
        <f t="shared" si="130"/>
        <v>2.4935025389705707</v>
      </c>
      <c r="AR196" s="169">
        <f t="shared" si="131"/>
        <v>132.73103732742101</v>
      </c>
      <c r="AS196" s="168" t="str">
        <f t="shared" si="132"/>
        <v>0.126959950955329+6.66434707317416i</v>
      </c>
      <c r="AT196" s="190">
        <f t="shared" si="133"/>
        <v>16.476728015395913</v>
      </c>
      <c r="AU196" s="169">
        <f t="shared" si="134"/>
        <v>88.90861183232424</v>
      </c>
      <c r="AV196" s="225"/>
      <c r="AX196">
        <f t="shared" si="135"/>
        <v>0</v>
      </c>
      <c r="AY196">
        <f t="shared" si="136"/>
        <v>0</v>
      </c>
    </row>
    <row r="197" spans="14:51" x14ac:dyDescent="0.2">
      <c r="N197" s="170">
        <v>79</v>
      </c>
      <c r="O197" s="199">
        <f t="shared" si="137"/>
        <v>616.59500186148273</v>
      </c>
      <c r="P197" s="189" t="str">
        <f t="shared" si="103"/>
        <v>6.8875</v>
      </c>
      <c r="Q197" s="160" t="str">
        <f t="shared" si="104"/>
        <v>1+0.96854516404411i</v>
      </c>
      <c r="R197" s="160">
        <f t="shared" si="112"/>
        <v>1.3921493220173013</v>
      </c>
      <c r="S197" s="160">
        <f t="shared" si="113"/>
        <v>0.76942080106469912</v>
      </c>
      <c r="T197" s="160" t="str">
        <f t="shared" si="105"/>
        <v>1+0.00154967226247058i</v>
      </c>
      <c r="U197" s="160">
        <f t="shared" si="114"/>
        <v>1.0000012007413397</v>
      </c>
      <c r="V197" s="160">
        <f t="shared" si="115"/>
        <v>1.5496710219679237E-3</v>
      </c>
      <c r="W197" s="98" t="str">
        <f t="shared" si="106"/>
        <v>1-0.00402442588937996i</v>
      </c>
      <c r="X197" s="160">
        <f t="shared" si="116"/>
        <v>1.0000080979690809</v>
      </c>
      <c r="Y197" s="160">
        <f t="shared" si="117"/>
        <v>-4.0244041630521704E-3</v>
      </c>
      <c r="Z197" s="98" t="str">
        <f t="shared" si="107"/>
        <v>0.999992144847183+0.00461321583616625i</v>
      </c>
      <c r="AA197" s="160">
        <f t="shared" si="118"/>
        <v>1.0000027857543301</v>
      </c>
      <c r="AB197" s="160">
        <f t="shared" si="119"/>
        <v>4.6132193478283278E-3</v>
      </c>
      <c r="AC197" s="171" t="str">
        <f t="shared" si="120"/>
        <v>3.5293126025116-3.46711683551505i</v>
      </c>
      <c r="AD197" s="190">
        <f t="shared" si="121"/>
        <v>13.887572403270404</v>
      </c>
      <c r="AE197" s="169">
        <f t="shared" si="122"/>
        <v>-44.490674333586192</v>
      </c>
      <c r="AF197" s="98" t="str">
        <f t="shared" si="108"/>
        <v>-0.0000816326530612245</v>
      </c>
      <c r="AG197" s="98" t="str">
        <f t="shared" si="109"/>
        <v>0.0000860842941802405i</v>
      </c>
      <c r="AH197" s="98">
        <f t="shared" si="123"/>
        <v>8.6084294180240495E-5</v>
      </c>
      <c r="AI197" s="98">
        <f t="shared" si="124"/>
        <v>1.5707963267948966</v>
      </c>
      <c r="AJ197" s="98" t="str">
        <f t="shared" si="110"/>
        <v>1+0.00953585456559865i</v>
      </c>
      <c r="AK197" s="98">
        <f t="shared" si="125"/>
        <v>1.0000454652276047</v>
      </c>
      <c r="AL197" s="98">
        <f t="shared" si="126"/>
        <v>9.5355655415981944E-3</v>
      </c>
      <c r="AM197" s="98" t="str">
        <f t="shared" si="111"/>
        <v>1+0.963121311125464i</v>
      </c>
      <c r="AN197" s="98">
        <f t="shared" si="127"/>
        <v>1.3883813092749528</v>
      </c>
      <c r="AO197" s="98">
        <f t="shared" si="128"/>
        <v>0.76661463159492826</v>
      </c>
      <c r="AP197" s="168" t="str">
        <f t="shared" si="129"/>
        <v>-0.904190870116865+0.956909650668245i</v>
      </c>
      <c r="AQ197" s="98">
        <f t="shared" si="130"/>
        <v>2.3885800389843626</v>
      </c>
      <c r="AR197" s="169">
        <f t="shared" si="131"/>
        <v>133.37743524256186</v>
      </c>
      <c r="AS197" s="168" t="str">
        <f t="shared" si="132"/>
        <v>0.126545326919316+6.51216867786959i</v>
      </c>
      <c r="AT197" s="190">
        <f t="shared" si="133"/>
        <v>16.276152442254762</v>
      </c>
      <c r="AU197" s="169">
        <f t="shared" si="134"/>
        <v>88.886760908975674</v>
      </c>
      <c r="AV197" s="225"/>
      <c r="AX197">
        <f t="shared" si="135"/>
        <v>0</v>
      </c>
      <c r="AY197">
        <f t="shared" si="136"/>
        <v>0</v>
      </c>
    </row>
    <row r="198" spans="14:51" x14ac:dyDescent="0.2">
      <c r="N198" s="170">
        <v>80</v>
      </c>
      <c r="O198" s="199">
        <f t="shared" si="137"/>
        <v>630.95734448019323</v>
      </c>
      <c r="P198" s="189" t="str">
        <f t="shared" si="103"/>
        <v>6.8875</v>
      </c>
      <c r="Q198" s="160" t="str">
        <f t="shared" si="104"/>
        <v>1+0.99110547907375i</v>
      </c>
      <c r="R198" s="160">
        <f t="shared" si="112"/>
        <v>1.4079382339612798</v>
      </c>
      <c r="S198" s="160">
        <f t="shared" si="113"/>
        <v>0.78093106617111441</v>
      </c>
      <c r="T198" s="160" t="str">
        <f t="shared" si="105"/>
        <v>1+0.001585768766518i</v>
      </c>
      <c r="U198" s="160">
        <f t="shared" si="114"/>
        <v>1.0000012573304999</v>
      </c>
      <c r="V198" s="160">
        <f t="shared" si="115"/>
        <v>1.585767437295546E-3</v>
      </c>
      <c r="W198" s="98" t="str">
        <f t="shared" si="106"/>
        <v>1-0.00411816681055575i</v>
      </c>
      <c r="X198" s="160">
        <f t="shared" si="116"/>
        <v>1.0000084796129878</v>
      </c>
      <c r="Y198" s="160">
        <f t="shared" si="117"/>
        <v>-4.1181435303867522E-3</v>
      </c>
      <c r="Z198" s="98" t="str">
        <f t="shared" si="107"/>
        <v>0.999991774645236+0.00472067143702751i</v>
      </c>
      <c r="AA198" s="160">
        <f t="shared" si="118"/>
        <v>1.000002917044218</v>
      </c>
      <c r="AB198" s="160">
        <f t="shared" si="119"/>
        <v>4.7206751998377511E-3</v>
      </c>
      <c r="AC198" s="171" t="str">
        <f t="shared" si="120"/>
        <v>3.44947237703533-3.46874626626327i</v>
      </c>
      <c r="AD198" s="190">
        <f t="shared" si="121"/>
        <v>13.789619418000127</v>
      </c>
      <c r="AE198" s="169">
        <f t="shared" si="122"/>
        <v>-45.159623409933218</v>
      </c>
      <c r="AF198" s="98" t="str">
        <f t="shared" si="108"/>
        <v>-0.0000816326530612245</v>
      </c>
      <c r="AG198" s="98" t="str">
        <f t="shared" si="109"/>
        <v>0.0000880894549800749i</v>
      </c>
      <c r="AH198" s="98">
        <f t="shared" si="123"/>
        <v>8.8089454980074899E-5</v>
      </c>
      <c r="AI198" s="98">
        <f t="shared" si="124"/>
        <v>1.5707963267948966</v>
      </c>
      <c r="AJ198" s="98" t="str">
        <f t="shared" si="110"/>
        <v>1+0.00975797315238552i</v>
      </c>
      <c r="AK198" s="98">
        <f t="shared" si="125"/>
        <v>1.0000476078867659</v>
      </c>
      <c r="AL198" s="98">
        <f t="shared" si="126"/>
        <v>9.7576634583856157E-3</v>
      </c>
      <c r="AM198" s="98" t="str">
        <f t="shared" si="111"/>
        <v>1+0.985555288390937i</v>
      </c>
      <c r="AN198" s="98">
        <f t="shared" si="127"/>
        <v>1.4040367610840334</v>
      </c>
      <c r="AO198" s="98">
        <f t="shared" si="128"/>
        <v>0.77812339402840702</v>
      </c>
      <c r="AP198" s="168" t="str">
        <f t="shared" si="129"/>
        <v>-0.904186995559772+0.935524793491649i</v>
      </c>
      <c r="AQ198" s="98">
        <f t="shared" si="130"/>
        <v>2.2859558362097663</v>
      </c>
      <c r="AR198" s="169">
        <f t="shared" si="131"/>
        <v>134.0241134841483</v>
      </c>
      <c r="AS198" s="168" t="str">
        <f t="shared" si="132"/>
        <v>0.126130069562874+6.36346219803289i</v>
      </c>
      <c r="AT198" s="190">
        <f t="shared" si="133"/>
        <v>16.075575254209898</v>
      </c>
      <c r="AU198" s="169">
        <f t="shared" si="134"/>
        <v>88.86449007421507</v>
      </c>
      <c r="AV198" s="225"/>
      <c r="AX198">
        <f t="shared" si="135"/>
        <v>0</v>
      </c>
      <c r="AY198">
        <f t="shared" si="136"/>
        <v>0</v>
      </c>
    </row>
    <row r="199" spans="14:51" x14ac:dyDescent="0.2">
      <c r="N199" s="170">
        <v>81</v>
      </c>
      <c r="O199" s="199">
        <f t="shared" si="137"/>
        <v>645.65422903465594</v>
      </c>
      <c r="P199" s="189" t="str">
        <f t="shared" si="103"/>
        <v>6.8875</v>
      </c>
      <c r="Q199" s="160" t="str">
        <f t="shared" si="104"/>
        <v>1+1.01419129134723i</v>
      </c>
      <c r="R199" s="160">
        <f t="shared" si="112"/>
        <v>1.4242836709885296</v>
      </c>
      <c r="S199" s="160">
        <f t="shared" si="113"/>
        <v>0.79244369903791667</v>
      </c>
      <c r="T199" s="160" t="str">
        <f t="shared" si="105"/>
        <v>1+0.00162270606615556i</v>
      </c>
      <c r="U199" s="160">
        <f t="shared" si="114"/>
        <v>1.0000013165866219</v>
      </c>
      <c r="V199" s="160">
        <f t="shared" si="115"/>
        <v>1.6227046418681407E-3</v>
      </c>
      <c r="W199" s="98" t="str">
        <f t="shared" si="106"/>
        <v>1-0.00421409123828488i</v>
      </c>
      <c r="X199" s="160">
        <f t="shared" si="116"/>
        <v>1.0000088792430617</v>
      </c>
      <c r="Y199" s="160">
        <f t="shared" si="117"/>
        <v>-4.2140662931463334E-3</v>
      </c>
      <c r="Z199" s="98" t="str">
        <f t="shared" si="107"/>
        <v>0.999991386996209+0.00483063000037017i</v>
      </c>
      <c r="AA199" s="160">
        <f t="shared" si="118"/>
        <v>1.0000030545217362</v>
      </c>
      <c r="AB199" s="160">
        <f t="shared" si="119"/>
        <v>4.8306340322900937E-3</v>
      </c>
      <c r="AC199" s="171" t="str">
        <f t="shared" si="120"/>
        <v>3.36959930246389-3.46853715888939i</v>
      </c>
      <c r="AD199" s="190">
        <f t="shared" si="121"/>
        <v>13.689364360441441</v>
      </c>
      <c r="AE199" s="169">
        <f t="shared" si="122"/>
        <v>-45.828928484840532</v>
      </c>
      <c r="AF199" s="98" t="str">
        <f t="shared" si="108"/>
        <v>-0.0000816326530612245</v>
      </c>
      <c r="AG199" s="98" t="str">
        <f t="shared" si="109"/>
        <v>0.0000901413219749417i</v>
      </c>
      <c r="AH199" s="98">
        <f t="shared" si="123"/>
        <v>9.0141321974941707E-5</v>
      </c>
      <c r="AI199" s="98">
        <f t="shared" si="124"/>
        <v>1.5707963267948966</v>
      </c>
      <c r="AJ199" s="98" t="str">
        <f t="shared" si="110"/>
        <v>1+0.00998526554569984i</v>
      </c>
      <c r="AK199" s="98">
        <f t="shared" si="125"/>
        <v>1.000049851521422</v>
      </c>
      <c r="AL199" s="98">
        <f t="shared" si="126"/>
        <v>9.9849337034936363E-3</v>
      </c>
      <c r="AM199" s="98" t="str">
        <f t="shared" si="111"/>
        <v>1+1.00851182011568i</v>
      </c>
      <c r="AN199" s="98">
        <f t="shared" si="127"/>
        <v>1.4202450814254002</v>
      </c>
      <c r="AO199" s="98">
        <f t="shared" si="128"/>
        <v>0.78963601207463996</v>
      </c>
      <c r="AP199" s="168" t="str">
        <f t="shared" si="129"/>
        <v>-0.904182938436017+0.914635960379445i</v>
      </c>
      <c r="AQ199" s="98">
        <f t="shared" si="130"/>
        <v>2.1856326508850463</v>
      </c>
      <c r="AR199" s="169">
        <f t="shared" si="131"/>
        <v>134.67071628349015</v>
      </c>
      <c r="AS199" s="168" t="str">
        <f t="shared" si="132"/>
        <v>0.125714616778835+6.21814881450209i</v>
      </c>
      <c r="AT199" s="190">
        <f t="shared" si="133"/>
        <v>15.874997011326483</v>
      </c>
      <c r="AU199" s="169">
        <f t="shared" si="134"/>
        <v>88.841787798649619</v>
      </c>
      <c r="AV199" s="225"/>
      <c r="AX199">
        <f t="shared" si="135"/>
        <v>0</v>
      </c>
      <c r="AY199">
        <f t="shared" si="136"/>
        <v>0</v>
      </c>
    </row>
    <row r="200" spans="14:51" x14ac:dyDescent="0.2">
      <c r="N200" s="170">
        <v>82</v>
      </c>
      <c r="O200" s="199">
        <f t="shared" si="137"/>
        <v>660.69344800759643</v>
      </c>
      <c r="P200" s="189" t="str">
        <f t="shared" si="103"/>
        <v>6.8875</v>
      </c>
      <c r="Q200" s="160" t="str">
        <f t="shared" si="104"/>
        <v>1+1.03781484126779i</v>
      </c>
      <c r="R200" s="160">
        <f t="shared" si="112"/>
        <v>1.4412007649025476</v>
      </c>
      <c r="S200" s="160">
        <f t="shared" si="113"/>
        <v>0.80395259775268957</v>
      </c>
      <c r="T200" s="160" t="str">
        <f t="shared" si="105"/>
        <v>1+0.00166050374602846i</v>
      </c>
      <c r="U200" s="160">
        <f t="shared" si="114"/>
        <v>1.000001378635395</v>
      </c>
      <c r="V200" s="160">
        <f t="shared" si="115"/>
        <v>1.6605022198771075E-3</v>
      </c>
      <c r="W200" s="98" t="str">
        <f t="shared" si="106"/>
        <v>1-0.00431225003296864i</v>
      </c>
      <c r="X200" s="160">
        <f t="shared" si="116"/>
        <v>1.0000092977069497</v>
      </c>
      <c r="Y200" s="160">
        <f t="shared" si="117"/>
        <v>-4.312223303784537E-3</v>
      </c>
      <c r="Z200" s="98" t="str">
        <f t="shared" si="107"/>
        <v>0.999990981077846+0.00494314982767997i</v>
      </c>
      <c r="AA200" s="160">
        <f t="shared" si="118"/>
        <v>1.0000031984785107</v>
      </c>
      <c r="AB200" s="160">
        <f t="shared" si="119"/>
        <v>4.9431541479556399E-3</v>
      </c>
      <c r="AC200" s="171" t="str">
        <f t="shared" si="120"/>
        <v>3.28977803178125-3.46649005729156i</v>
      </c>
      <c r="AD200" s="190">
        <f t="shared" si="121"/>
        <v>13.586807509798717</v>
      </c>
      <c r="AE200" s="169">
        <f t="shared" si="122"/>
        <v>-46.49824507652221</v>
      </c>
      <c r="AF200" s="98" t="str">
        <f t="shared" si="108"/>
        <v>-0.0000816326530612245</v>
      </c>
      <c r="AG200" s="98" t="str">
        <f t="shared" si="109"/>
        <v>0.000092240983091881i</v>
      </c>
      <c r="AH200" s="98">
        <f t="shared" si="123"/>
        <v>9.2240983091880998E-5</v>
      </c>
      <c r="AI200" s="98">
        <f t="shared" si="124"/>
        <v>1.5707963267948966</v>
      </c>
      <c r="AJ200" s="98" t="str">
        <f t="shared" si="110"/>
        <v>1+0.0102178522589771i</v>
      </c>
      <c r="AK200" s="98">
        <f t="shared" si="125"/>
        <v>1.0000522008899266</v>
      </c>
      <c r="AL200" s="98">
        <f t="shared" si="126"/>
        <v>1.0217496684649278E-2</v>
      </c>
      <c r="AM200" s="98" t="str">
        <f t="shared" si="111"/>
        <v>1+1.03200307815669i</v>
      </c>
      <c r="AN200" s="98">
        <f t="shared" si="127"/>
        <v>1.4370213475536415</v>
      </c>
      <c r="AO200" s="98">
        <f t="shared" si="128"/>
        <v>0.80114638386047943</v>
      </c>
      <c r="AP200" s="168" t="str">
        <f t="shared" si="129"/>
        <v>-0.904178690144939+0.894232075540972i</v>
      </c>
      <c r="AQ200" s="98">
        <f t="shared" si="130"/>
        <v>2.0876107635639229</v>
      </c>
      <c r="AR200" s="169">
        <f t="shared" si="131"/>
        <v>135.31688713015387</v>
      </c>
      <c r="AS200" s="168" t="str">
        <f t="shared" si="132"/>
        <v>0.125299407130408+6.07615147683118i</v>
      </c>
      <c r="AT200" s="190">
        <f t="shared" si="133"/>
        <v>15.674418273362644</v>
      </c>
      <c r="AU200" s="169">
        <f t="shared" si="134"/>
        <v>88.818642053631677</v>
      </c>
      <c r="AV200" s="225"/>
      <c r="AX200">
        <f t="shared" si="135"/>
        <v>0</v>
      </c>
      <c r="AY200">
        <f t="shared" si="136"/>
        <v>0</v>
      </c>
    </row>
    <row r="201" spans="14:51" x14ac:dyDescent="0.2">
      <c r="N201" s="170">
        <v>83</v>
      </c>
      <c r="O201" s="199">
        <f t="shared" si="137"/>
        <v>676.08297539198213</v>
      </c>
      <c r="P201" s="189" t="str">
        <f t="shared" si="103"/>
        <v>6.8875</v>
      </c>
      <c r="Q201" s="160" t="str">
        <f t="shared" si="104"/>
        <v>1+1.06198865435429i</v>
      </c>
      <c r="R201" s="160">
        <f t="shared" si="112"/>
        <v>1.4587048714449526</v>
      </c>
      <c r="S201" s="160">
        <f t="shared" si="113"/>
        <v>0.81545167029123422</v>
      </c>
      <c r="T201" s="160" t="str">
        <f t="shared" si="105"/>
        <v>1+0.00169918184696686i</v>
      </c>
      <c r="U201" s="160">
        <f t="shared" si="114"/>
        <v>1.0000014436084326</v>
      </c>
      <c r="V201" s="160">
        <f t="shared" si="115"/>
        <v>1.6991802116663507E-3</v>
      </c>
      <c r="W201" s="98" t="str">
        <f t="shared" si="106"/>
        <v>1-0.00441269523969926i</v>
      </c>
      <c r="X201" s="160">
        <f t="shared" si="116"/>
        <v>1.0000097358922455</v>
      </c>
      <c r="Y201" s="160">
        <f t="shared" si="117"/>
        <v>-4.4126665988775404E-3</v>
      </c>
      <c r="Z201" s="98" t="str">
        <f t="shared" si="107"/>
        <v>0.99999055602914+0.00505829057845873i</v>
      </c>
      <c r="AA201" s="160">
        <f t="shared" si="118"/>
        <v>1.0000033492199139</v>
      </c>
      <c r="AB201" s="160">
        <f t="shared" si="119"/>
        <v>5.0582952077126144E-3</v>
      </c>
      <c r="AC201" s="171" t="str">
        <f t="shared" si="120"/>
        <v>3.21009299856496-3.46261036991507i</v>
      </c>
      <c r="AD201" s="190">
        <f t="shared" si="121"/>
        <v>13.481951583509197</v>
      </c>
      <c r="AE201" s="169">
        <f t="shared" si="122"/>
        <v>-47.167229389267781</v>
      </c>
      <c r="AF201" s="98" t="str">
        <f t="shared" si="108"/>
        <v>-0.0000816326530612245</v>
      </c>
      <c r="AG201" s="98" t="str">
        <f t="shared" si="109"/>
        <v>0.0000943895515990093i</v>
      </c>
      <c r="AH201" s="98">
        <f t="shared" si="123"/>
        <v>9.4389551599009301E-5</v>
      </c>
      <c r="AI201" s="98">
        <f t="shared" si="124"/>
        <v>1.5707963267948966</v>
      </c>
      <c r="AJ201" s="98" t="str">
        <f t="shared" si="110"/>
        <v>1+0.0104558566127714i</v>
      </c>
      <c r="AK201" s="98">
        <f t="shared" si="125"/>
        <v>1.0000546609748424</v>
      </c>
      <c r="AL201" s="98">
        <f t="shared" si="126"/>
        <v>1.0455475609139417E-2</v>
      </c>
      <c r="AM201" s="98" t="str">
        <f t="shared" si="111"/>
        <v>1+1.05604151788991i</v>
      </c>
      <c r="AN201" s="98">
        <f t="shared" si="127"/>
        <v>1.4543808605407404</v>
      </c>
      <c r="AO201" s="98">
        <f t="shared" si="128"/>
        <v>0.81264841346187522</v>
      </c>
      <c r="AP201" s="168" t="str">
        <f t="shared" si="129"/>
        <v>-0.904174241680857+0.874302320293323i</v>
      </c>
      <c r="AQ201" s="98">
        <f t="shared" si="130"/>
        <v>1.9918880136643198</v>
      </c>
      <c r="AR201" s="169">
        <f t="shared" si="131"/>
        <v>135.96226969416205</v>
      </c>
      <c r="AS201" s="168" t="str">
        <f t="shared" si="132"/>
        <v>0.124884877985966+5.93739486245692i</v>
      </c>
      <c r="AT201" s="190">
        <f t="shared" si="133"/>
        <v>15.473839597173511</v>
      </c>
      <c r="AU201" s="169">
        <f t="shared" si="134"/>
        <v>88.795040304894258</v>
      </c>
      <c r="AV201" s="225"/>
      <c r="AX201">
        <f t="shared" si="135"/>
        <v>0</v>
      </c>
      <c r="AY201">
        <f t="shared" si="136"/>
        <v>0</v>
      </c>
    </row>
    <row r="202" spans="14:51" x14ac:dyDescent="0.2">
      <c r="N202" s="170">
        <v>84</v>
      </c>
      <c r="O202" s="199">
        <f t="shared" si="137"/>
        <v>691.83097091893671</v>
      </c>
      <c r="P202" s="189" t="str">
        <f t="shared" si="103"/>
        <v>6.8875</v>
      </c>
      <c r="Q202" s="160" t="str">
        <f t="shared" si="104"/>
        <v>1+1.08672554788241i</v>
      </c>
      <c r="R202" s="160">
        <f t="shared" si="112"/>
        <v>1.4768115710612253</v>
      </c>
      <c r="S202" s="160">
        <f t="shared" si="113"/>
        <v>0.82693485061280803</v>
      </c>
      <c r="T202" s="160" t="str">
        <f t="shared" si="105"/>
        <v>1+0.00173876087661186i</v>
      </c>
      <c r="U202" s="160">
        <f t="shared" si="114"/>
        <v>1.0000015116435503</v>
      </c>
      <c r="V202" s="160">
        <f t="shared" si="115"/>
        <v>1.7387591243559375E-3</v>
      </c>
      <c r="W202" s="98" t="str">
        <f t="shared" si="106"/>
        <v>1-0.0045154801158549i</v>
      </c>
      <c r="X202" s="160">
        <f t="shared" si="116"/>
        <v>1.0000101947283722</v>
      </c>
      <c r="Y202" s="160">
        <f t="shared" si="117"/>
        <v>-4.5154494266784065E-3</v>
      </c>
      <c r="Z202" s="98" t="str">
        <f t="shared" si="107"/>
        <v>0.999990110948506+0.00517611330185658i</v>
      </c>
      <c r="AA202" s="160">
        <f t="shared" si="118"/>
        <v>1.0000035070657098</v>
      </c>
      <c r="AB202" s="160">
        <f t="shared" si="119"/>
        <v>5.1761182621859886E-3</v>
      </c>
      <c r="AC202" s="171" t="str">
        <f t="shared" si="120"/>
        <v>3.13062806039475-3.4569083348561i</v>
      </c>
      <c r="AD202" s="190">
        <f t="shared" si="121"/>
        <v>13.374801725782524</v>
      </c>
      <c r="AE202" s="169">
        <f t="shared" si="122"/>
        <v>-47.835539238416835</v>
      </c>
      <c r="AF202" s="98" t="str">
        <f t="shared" si="108"/>
        <v>-0.0000816326530612245</v>
      </c>
      <c r="AG202" s="98" t="str">
        <f t="shared" si="109"/>
        <v>0.0000965881666957888i</v>
      </c>
      <c r="AH202" s="98">
        <f t="shared" si="123"/>
        <v>9.6588166695788796E-5</v>
      </c>
      <c r="AI202" s="98">
        <f t="shared" si="124"/>
        <v>1.5707963267948966</v>
      </c>
      <c r="AJ202" s="98" t="str">
        <f t="shared" si="110"/>
        <v>1+0.0106994048001413i</v>
      </c>
      <c r="AK202" s="98">
        <f t="shared" si="125"/>
        <v>1.0000572369935019</v>
      </c>
      <c r="AL202" s="98">
        <f t="shared" si="126"/>
        <v>1.0698996548656215E-2</v>
      </c>
      <c r="AM202" s="98" t="str">
        <f t="shared" si="111"/>
        <v>1+1.08063988481427i</v>
      </c>
      <c r="AN202" s="98">
        <f t="shared" si="127"/>
        <v>1.4723391459345903</v>
      </c>
      <c r="AO202" s="98">
        <f t="shared" si="128"/>
        <v>0.82413602702429056</v>
      </c>
      <c r="AP202" s="168" t="str">
        <f t="shared" si="129"/>
        <v>-0.904169583614033+0.854836127323861i</v>
      </c>
      <c r="AQ202" s="98">
        <f t="shared" si="130"/>
        <v>1.8984598083400959</v>
      </c>
      <c r="AR202" s="169">
        <f t="shared" si="131"/>
        <v>136.60650874590831</v>
      </c>
      <c r="AS202" s="168" t="str">
        <f t="shared" si="132"/>
        <v>0.124471463664437+5.80180533695798i</v>
      </c>
      <c r="AT202" s="190">
        <f t="shared" si="133"/>
        <v>15.273261534122618</v>
      </c>
      <c r="AU202" s="169">
        <f t="shared" si="134"/>
        <v>88.7709695074915</v>
      </c>
      <c r="AV202" s="225"/>
      <c r="AX202">
        <f t="shared" si="135"/>
        <v>0</v>
      </c>
      <c r="AY202">
        <f t="shared" si="136"/>
        <v>0</v>
      </c>
    </row>
    <row r="203" spans="14:51" x14ac:dyDescent="0.2">
      <c r="N203" s="170">
        <v>85</v>
      </c>
      <c r="O203" s="199">
        <f t="shared" si="137"/>
        <v>707.94578438413873</v>
      </c>
      <c r="P203" s="189" t="str">
        <f t="shared" si="103"/>
        <v>6.8875</v>
      </c>
      <c r="Q203" s="160" t="str">
        <f t="shared" si="104"/>
        <v>1+1.11203863768054i</v>
      </c>
      <c r="R203" s="160">
        <f t="shared" si="112"/>
        <v>1.4955366701269452</v>
      </c>
      <c r="S203" s="160">
        <f t="shared" si="113"/>
        <v>0.83839611458802099</v>
      </c>
      <c r="T203" s="160" t="str">
        <f t="shared" si="105"/>
        <v>1+0.00177926182028886i</v>
      </c>
      <c r="U203" s="160">
        <f t="shared" si="114"/>
        <v>1.0000015828850599</v>
      </c>
      <c r="V203" s="160">
        <f t="shared" si="115"/>
        <v>1.7792599427129718E-3</v>
      </c>
      <c r="W203" s="98" t="str">
        <f t="shared" si="106"/>
        <v>1-0.00462065915933741i</v>
      </c>
      <c r="X203" s="160">
        <f t="shared" si="116"/>
        <v>1.0000106751885536</v>
      </c>
      <c r="Y203" s="160">
        <f t="shared" si="117"/>
        <v>-4.6206262753112947E-3</v>
      </c>
      <c r="Z203" s="98" t="str">
        <f t="shared" si="107"/>
        <v>0.999989644891867+0.00529668046904105i</v>
      </c>
      <c r="AA203" s="160">
        <f t="shared" si="118"/>
        <v>1.0000036723507337</v>
      </c>
      <c r="AB203" s="160">
        <f t="shared" si="119"/>
        <v>5.296685784123607E-3</v>
      </c>
      <c r="AC203" s="171" t="str">
        <f t="shared" si="120"/>
        <v>3.05146614742671-3.44939895401135i</v>
      </c>
      <c r="AD203" s="190">
        <f t="shared" si="121"/>
        <v>13.265365485929433</v>
      </c>
      <c r="AE203" s="169">
        <f t="shared" si="122"/>
        <v>-48.502834965805803</v>
      </c>
      <c r="AF203" s="98" t="str">
        <f t="shared" si="108"/>
        <v>-0.0000816326530612245</v>
      </c>
      <c r="AG203" s="98" t="str">
        <f t="shared" si="109"/>
        <v>0.0000988379941170461i</v>
      </c>
      <c r="AH203" s="98">
        <f t="shared" si="123"/>
        <v>9.8837994117046104E-5</v>
      </c>
      <c r="AI203" s="98">
        <f t="shared" si="124"/>
        <v>1.5707963267948966</v>
      </c>
      <c r="AJ203" s="98" t="str">
        <f t="shared" si="110"/>
        <v>1+0.0109486259535597i</v>
      </c>
      <c r="AK203" s="98">
        <f t="shared" si="125"/>
        <v>1.0000599344090688</v>
      </c>
      <c r="AL203" s="98">
        <f t="shared" si="126"/>
        <v>1.0948188505627962E-2</v>
      </c>
      <c r="AM203" s="98" t="str">
        <f t="shared" si="111"/>
        <v>1+1.10581122130953i</v>
      </c>
      <c r="AN203" s="98">
        <f t="shared" si="127"/>
        <v>1.4909119548699292</v>
      </c>
      <c r="AO203" s="98">
        <f t="shared" si="128"/>
        <v>0.83560318874087292</v>
      </c>
      <c r="AP203" s="168" t="str">
        <f t="shared" si="129"/>
        <v>-0.904164706070727+0.835823175085878i</v>
      </c>
      <c r="AQ203" s="98">
        <f t="shared" si="130"/>
        <v>1.8073191415942382</v>
      </c>
      <c r="AR203" s="169">
        <f t="shared" si="131"/>
        <v>137.24925106783934</v>
      </c>
      <c r="AS203" s="168" t="str">
        <f t="shared" si="132"/>
        <v>0.124059593606828+5.66931091538361i</v>
      </c>
      <c r="AT203" s="190">
        <f t="shared" si="133"/>
        <v>15.072684627523669</v>
      </c>
      <c r="AU203" s="169">
        <f t="shared" si="134"/>
        <v>88.746416102033564</v>
      </c>
      <c r="AV203" s="225"/>
      <c r="AX203">
        <f t="shared" si="135"/>
        <v>0</v>
      </c>
      <c r="AY203">
        <f t="shared" si="136"/>
        <v>0</v>
      </c>
    </row>
    <row r="204" spans="14:51" x14ac:dyDescent="0.2">
      <c r="N204" s="170">
        <v>86</v>
      </c>
      <c r="O204" s="199">
        <f t="shared" si="137"/>
        <v>724.43596007499025</v>
      </c>
      <c r="P204" s="189" t="str">
        <f t="shared" si="103"/>
        <v>6.8875</v>
      </c>
      <c r="Q204" s="160" t="str">
        <f t="shared" si="104"/>
        <v>1+1.13794134508393i</v>
      </c>
      <c r="R204" s="160">
        <f t="shared" si="112"/>
        <v>1.5148962026658539</v>
      </c>
      <c r="S204" s="160">
        <f t="shared" si="113"/>
        <v>0.84982949565784804</v>
      </c>
      <c r="T204" s="160" t="str">
        <f t="shared" si="105"/>
        <v>1+0.00182070615213429i</v>
      </c>
      <c r="U204" s="160">
        <f t="shared" si="114"/>
        <v>1.0000016574840727</v>
      </c>
      <c r="V204" s="160">
        <f t="shared" si="115"/>
        <v>1.820704140275659E-3</v>
      </c>
      <c r="W204" s="98" t="str">
        <f t="shared" si="106"/>
        <v>1-0.00472828813746785i</v>
      </c>
      <c r="X204" s="160">
        <f t="shared" si="116"/>
        <v>1.0000111782918784</v>
      </c>
      <c r="Y204" s="160">
        <f t="shared" si="117"/>
        <v>-4.7282529016203067E-3</v>
      </c>
      <c r="Z204" s="98" t="str">
        <f t="shared" si="107"/>
        <v>0.999989156870656+0.00542005600632004i</v>
      </c>
      <c r="AA204" s="160">
        <f t="shared" si="118"/>
        <v>1.0000038454256048</v>
      </c>
      <c r="AB204" s="160">
        <f t="shared" si="119"/>
        <v>5.4200617015266895E-3</v>
      </c>
      <c r="AC204" s="171" t="str">
        <f t="shared" si="120"/>
        <v>2.9726889192457-3.44010189705933i</v>
      </c>
      <c r="AD204" s="190">
        <f t="shared" si="121"/>
        <v>13.153652786672318</v>
      </c>
      <c r="AE204" s="169">
        <f t="shared" si="122"/>
        <v>-49.168780339877536</v>
      </c>
      <c r="AF204" s="98" t="str">
        <f t="shared" si="108"/>
        <v>-0.0000816326530612245</v>
      </c>
      <c r="AG204" s="98" t="str">
        <f t="shared" si="109"/>
        <v>0.00010114022675106i</v>
      </c>
      <c r="AH204" s="98">
        <f t="shared" si="123"/>
        <v>1.0114022675106E-4</v>
      </c>
      <c r="AI204" s="98">
        <f t="shared" si="124"/>
        <v>1.5707963267948966</v>
      </c>
      <c r="AJ204" s="98" t="str">
        <f t="shared" si="110"/>
        <v>1+0.0112036522133808i</v>
      </c>
      <c r="AK204" s="98">
        <f t="shared" si="125"/>
        <v>1.0000627589421167</v>
      </c>
      <c r="AL204" s="98">
        <f t="shared" si="126"/>
        <v>1.1203183481065585E-2</v>
      </c>
      <c r="AM204" s="98" t="str">
        <f t="shared" si="111"/>
        <v>1+1.13156887355146i</v>
      </c>
      <c r="AN204" s="98">
        <f t="shared" si="127"/>
        <v>1.5101152656636911</v>
      </c>
      <c r="AO204" s="98">
        <f t="shared" si="128"/>
        <v>0.8470439165862349</v>
      </c>
      <c r="AP204" s="168" t="str">
        <f t="shared" si="129"/>
        <v>-0.904159598712278+0.81725338232449i</v>
      </c>
      <c r="AQ204" s="98">
        <f t="shared" si="130"/>
        <v>1.7184566234614915</v>
      </c>
      <c r="AR204" s="169">
        <f t="shared" si="131"/>
        <v>137.89014635204683</v>
      </c>
      <c r="AS204" s="168" t="str">
        <f t="shared" si="132"/>
        <v>0.123649690591004+5.53984122462659i</v>
      </c>
      <c r="AT204" s="190">
        <f t="shared" si="133"/>
        <v>14.87210941013381</v>
      </c>
      <c r="AU204" s="169">
        <f t="shared" si="134"/>
        <v>88.721366012169327</v>
      </c>
      <c r="AV204" s="225"/>
      <c r="AX204">
        <f t="shared" si="135"/>
        <v>0</v>
      </c>
      <c r="AY204">
        <f t="shared" si="136"/>
        <v>0</v>
      </c>
    </row>
    <row r="205" spans="14:51" x14ac:dyDescent="0.2">
      <c r="N205" s="170">
        <v>87</v>
      </c>
      <c r="O205" s="199">
        <f t="shared" si="137"/>
        <v>741.31024130091828</v>
      </c>
      <c r="P205" s="189" t="str">
        <f t="shared" si="103"/>
        <v>6.8875</v>
      </c>
      <c r="Q205" s="160" t="str">
        <f t="shared" si="104"/>
        <v>1+1.16444740405092i</v>
      </c>
      <c r="R205" s="160">
        <f t="shared" si="112"/>
        <v>1.5349064325882953</v>
      </c>
      <c r="S205" s="160">
        <f t="shared" si="113"/>
        <v>0.86122910012548803</v>
      </c>
      <c r="T205" s="160" t="str">
        <f t="shared" si="105"/>
        <v>1+0.00186311584648147i</v>
      </c>
      <c r="U205" s="160">
        <f t="shared" si="114"/>
        <v>1.0000017355988224</v>
      </c>
      <c r="V205" s="160">
        <f t="shared" si="115"/>
        <v>1.8631136907363095E-3</v>
      </c>
      <c r="W205" s="98" t="str">
        <f t="shared" si="106"/>
        <v>1-0.00483842411655507i</v>
      </c>
      <c r="X205" s="160">
        <f t="shared" si="116"/>
        <v>1.0000117051054611</v>
      </c>
      <c r="Y205" s="160">
        <f t="shared" si="117"/>
        <v>-4.8383863606880594E-3</v>
      </c>
      <c r="Z205" s="98" t="str">
        <f t="shared" si="107"/>
        <v>0.999988645849714+0.0055463053290365i</v>
      </c>
      <c r="AA205" s="160">
        <f t="shared" si="118"/>
        <v>1.0000040266574668</v>
      </c>
      <c r="AB205" s="160">
        <f t="shared" si="119"/>
        <v>5.5463114315526061E-3</v>
      </c>
      <c r="AC205" s="171" t="str">
        <f t="shared" si="120"/>
        <v>2.89437643298309-3.42904137641206i</v>
      </c>
      <c r="AD205" s="190">
        <f t="shared" si="121"/>
        <v>13.039675882719667</v>
      </c>
      <c r="AE205" s="169">
        <f t="shared" si="122"/>
        <v>-49.833043434822244</v>
      </c>
      <c r="AF205" s="98" t="str">
        <f t="shared" si="108"/>
        <v>-0.0000816326530612245</v>
      </c>
      <c r="AG205" s="98" t="str">
        <f t="shared" si="109"/>
        <v>0.000103496085272046i</v>
      </c>
      <c r="AH205" s="98">
        <f t="shared" si="123"/>
        <v>1.03496085272046E-4</v>
      </c>
      <c r="AI205" s="98">
        <f t="shared" si="124"/>
        <v>1.5707963267948966</v>
      </c>
      <c r="AJ205" s="98" t="str">
        <f t="shared" si="110"/>
        <v>1+0.0114646187979033i</v>
      </c>
      <c r="AK205" s="98">
        <f t="shared" si="125"/>
        <v>1.000065716582756</v>
      </c>
      <c r="AL205" s="98">
        <f t="shared" si="126"/>
        <v>1.1464116543961071E-2</v>
      </c>
      <c r="AM205" s="98" t="str">
        <f t="shared" si="111"/>
        <v>1+1.15792649858824i</v>
      </c>
      <c r="AN205" s="98">
        <f t="shared" si="127"/>
        <v>1.5299652859241029</v>
      </c>
      <c r="AO205" s="98">
        <f t="shared" si="128"/>
        <v>0.85845229770672893</v>
      </c>
      <c r="AP205" s="168" t="str">
        <f t="shared" si="129"/>
        <v>-0.904154250713298+0.799116902729834i</v>
      </c>
      <c r="AQ205" s="98">
        <f t="shared" si="130"/>
        <v>1.6318605189998507</v>
      </c>
      <c r="AR205" s="169">
        <f t="shared" si="131"/>
        <v>138.52884807808852</v>
      </c>
      <c r="AS205" s="168" t="str">
        <f t="shared" si="132"/>
        <v>0.123242169004798+5.41332746681441i</v>
      </c>
      <c r="AT205" s="190">
        <f t="shared" si="133"/>
        <v>14.671536401719514</v>
      </c>
      <c r="AU205" s="169">
        <f t="shared" si="134"/>
        <v>88.695804643266314</v>
      </c>
      <c r="AV205" s="225"/>
      <c r="AX205">
        <f t="shared" si="135"/>
        <v>0</v>
      </c>
      <c r="AY205">
        <f t="shared" si="136"/>
        <v>0</v>
      </c>
    </row>
    <row r="206" spans="14:51" x14ac:dyDescent="0.2">
      <c r="N206" s="170">
        <v>88</v>
      </c>
      <c r="O206" s="199">
        <f t="shared" si="137"/>
        <v>758.57757502918378</v>
      </c>
      <c r="P206" s="189" t="str">
        <f t="shared" si="103"/>
        <v>6.8875</v>
      </c>
      <c r="Q206" s="160" t="str">
        <f t="shared" si="104"/>
        <v>1+1.19157086844482i</v>
      </c>
      <c r="R206" s="160">
        <f t="shared" si="112"/>
        <v>1.555583856475228</v>
      </c>
      <c r="S206" s="160">
        <f t="shared" si="113"/>
        <v>0.87258912198698813</v>
      </c>
      <c r="T206" s="160" t="str">
        <f t="shared" si="105"/>
        <v>1+0.00190651338951172i</v>
      </c>
      <c r="U206" s="160">
        <f t="shared" si="114"/>
        <v>1.0000018173950007</v>
      </c>
      <c r="V206" s="160">
        <f t="shared" si="115"/>
        <v>1.90651107958939E-3</v>
      </c>
      <c r="W206" s="98" t="str">
        <f t="shared" si="106"/>
        <v>1-0.004951125492153i</v>
      </c>
      <c r="X206" s="160">
        <f t="shared" si="116"/>
        <v>1.0000122567467056</v>
      </c>
      <c r="Y206" s="160">
        <f t="shared" si="117"/>
        <v>-4.951085036039392E-3</v>
      </c>
      <c r="Z206" s="98" t="str">
        <f t="shared" si="107"/>
        <v>0.999988110745096+0.00567549537625245i</v>
      </c>
      <c r="AA206" s="160">
        <f t="shared" si="118"/>
        <v>1.000004216430767</v>
      </c>
      <c r="AB206" s="160">
        <f t="shared" si="119"/>
        <v>5.6755019152075628E-3</v>
      </c>
      <c r="AC206" s="171" t="str">
        <f t="shared" si="120"/>
        <v>2.81660682551718-3.41624599460722i</v>
      </c>
      <c r="AD206" s="190">
        <f t="shared" si="121"/>
        <v>12.923449309971231</v>
      </c>
      <c r="AE206" s="169">
        <f t="shared" si="122"/>
        <v>-50.495297483360396</v>
      </c>
      <c r="AF206" s="98" t="str">
        <f t="shared" si="108"/>
        <v>-0.0000816326530612245</v>
      </c>
      <c r="AG206" s="98" t="str">
        <f t="shared" si="109"/>
        <v>0.000105906818787376i</v>
      </c>
      <c r="AH206" s="98">
        <f t="shared" si="123"/>
        <v>1.0590681878737601E-4</v>
      </c>
      <c r="AI206" s="98">
        <f t="shared" si="124"/>
        <v>1.5707963267948966</v>
      </c>
      <c r="AJ206" s="98" t="str">
        <f t="shared" si="110"/>
        <v>1+0.0117316640750647i</v>
      </c>
      <c r="AK206" s="98">
        <f t="shared" si="125"/>
        <v>1.0000688136033291</v>
      </c>
      <c r="AL206" s="98">
        <f t="shared" si="126"/>
        <v>1.1731125902269464E-2</v>
      </c>
      <c r="AM206" s="98" t="str">
        <f t="shared" si="111"/>
        <v>1+1.18489807158153i</v>
      </c>
      <c r="AN206" s="98">
        <f t="shared" si="127"/>
        <v>1.5504784551994357</v>
      </c>
      <c r="AO206" s="98">
        <f t="shared" si="128"/>
        <v>0.8698225033719279</v>
      </c>
      <c r="AP206" s="168" t="str">
        <f t="shared" si="129"/>
        <v>-0.904148650738686+0.781404119714666i</v>
      </c>
      <c r="AQ206" s="98">
        <f t="shared" si="130"/>
        <v>1.5475167967432693</v>
      </c>
      <c r="AR206" s="169">
        <f t="shared" si="131"/>
        <v>139.16501436557854</v>
      </c>
      <c r="AS206" s="168" t="str">
        <f t="shared" si="132"/>
        <v>0.122837433192077+5.28970238369113i</v>
      </c>
      <c r="AT206" s="190">
        <f t="shared" si="133"/>
        <v>14.470966106714499</v>
      </c>
      <c r="AU206" s="169">
        <f t="shared" si="134"/>
        <v>88.669716882218168</v>
      </c>
      <c r="AV206" s="225"/>
      <c r="AX206">
        <f t="shared" si="135"/>
        <v>0</v>
      </c>
      <c r="AY206">
        <f t="shared" si="136"/>
        <v>0</v>
      </c>
    </row>
    <row r="207" spans="14:51" x14ac:dyDescent="0.2">
      <c r="N207" s="170">
        <v>89</v>
      </c>
      <c r="O207" s="199">
        <f t="shared" si="137"/>
        <v>776.24711662869231</v>
      </c>
      <c r="P207" s="189" t="str">
        <f t="shared" si="103"/>
        <v>6.8875</v>
      </c>
      <c r="Q207" s="160" t="str">
        <f t="shared" si="104"/>
        <v>1+1.21932611948548i</v>
      </c>
      <c r="R207" s="160">
        <f t="shared" si="112"/>
        <v>1.5769452069300061</v>
      </c>
      <c r="S207" s="160">
        <f t="shared" si="113"/>
        <v>0.88390385721211251</v>
      </c>
      <c r="T207" s="160" t="str">
        <f t="shared" si="105"/>
        <v>1+0.00195092179117677i</v>
      </c>
      <c r="U207" s="160">
        <f t="shared" si="114"/>
        <v>1.0000019030461069</v>
      </c>
      <c r="V207" s="160">
        <f t="shared" si="115"/>
        <v>1.9509193160506541E-3</v>
      </c>
      <c r="W207" s="98" t="str">
        <f t="shared" si="106"/>
        <v>1-0.00506645202002277i</v>
      </c>
      <c r="X207" s="160">
        <f t="shared" si="116"/>
        <v>1.0000128343856749</v>
      </c>
      <c r="Y207" s="160">
        <f t="shared" si="117"/>
        <v>-5.0664086705460723E-3</v>
      </c>
      <c r="Z207" s="98" t="str">
        <f t="shared" si="107"/>
        <v>0.999987550421775+0.00580769464624096i</v>
      </c>
      <c r="AA207" s="160">
        <f t="shared" si="118"/>
        <v>1.0000044151480763</v>
      </c>
      <c r="AB207" s="160">
        <f t="shared" si="119"/>
        <v>5.8077016528478246E-3</v>
      </c>
      <c r="AC207" s="171" t="str">
        <f t="shared" si="120"/>
        <v>2.73945601236154-3.40174856591421i</v>
      </c>
      <c r="AD207" s="190">
        <f t="shared" si="121"/>
        <v>12.80498982579701</v>
      </c>
      <c r="AE207" s="169">
        <f t="shared" si="122"/>
        <v>-51.155221698097954</v>
      </c>
      <c r="AF207" s="98" t="str">
        <f t="shared" si="108"/>
        <v>-0.0000816326530612245</v>
      </c>
      <c r="AG207" s="98" t="str">
        <f t="shared" si="109"/>
        <v>0.000108373705499869i</v>
      </c>
      <c r="AH207" s="98">
        <f t="shared" si="123"/>
        <v>1.08373705499869E-4</v>
      </c>
      <c r="AI207" s="98">
        <f t="shared" si="124"/>
        <v>1.5707963267948966</v>
      </c>
      <c r="AJ207" s="98" t="str">
        <f t="shared" si="110"/>
        <v>1+0.0120049296358056i</v>
      </c>
      <c r="AK207" s="98">
        <f t="shared" si="125"/>
        <v>1.0000720565717056</v>
      </c>
      <c r="AL207" s="98">
        <f t="shared" si="126"/>
        <v>1.200435297550996E-2</v>
      </c>
      <c r="AM207" s="98" t="str">
        <f t="shared" si="111"/>
        <v>1+1.21249789321636i</v>
      </c>
      <c r="AN207" s="98">
        <f t="shared" si="127"/>
        <v>1.5716714481895098</v>
      </c>
      <c r="AO207" s="98">
        <f t="shared" si="128"/>
        <v>0.88114880339744406</v>
      </c>
      <c r="AP207" s="168" t="str">
        <f t="shared" si="129"/>
        <v>-0.904142786919763+0.764105641313722i</v>
      </c>
      <c r="AQ207" s="98">
        <f t="shared" si="130"/>
        <v>1.4654091861923466</v>
      </c>
      <c r="AR207" s="169">
        <f t="shared" si="131"/>
        <v>139.79830879639414</v>
      </c>
      <c r="AS207" s="168" t="str">
        <f t="shared" si="132"/>
        <v>0.122435875885249+5.16890022196223i</v>
      </c>
      <c r="AT207" s="190">
        <f t="shared" si="133"/>
        <v>14.270399011989364</v>
      </c>
      <c r="AU207" s="169">
        <f t="shared" si="134"/>
        <v>88.643087098296192</v>
      </c>
      <c r="AV207" s="225"/>
      <c r="AX207">
        <f t="shared" si="135"/>
        <v>0</v>
      </c>
      <c r="AY207">
        <f t="shared" si="136"/>
        <v>0</v>
      </c>
    </row>
    <row r="208" spans="14:51" x14ac:dyDescent="0.2">
      <c r="N208" s="170">
        <v>90</v>
      </c>
      <c r="O208" s="199">
        <f t="shared" si="137"/>
        <v>794.32823472428208</v>
      </c>
      <c r="P208" s="189" t="str">
        <f t="shared" si="103"/>
        <v>6.8875</v>
      </c>
      <c r="Q208" s="160" t="str">
        <f t="shared" si="104"/>
        <v>1+1.24772787337438i</v>
      </c>
      <c r="R208" s="160">
        <f t="shared" si="112"/>
        <v>1.5990074565164956</v>
      </c>
      <c r="S208" s="160">
        <f t="shared" si="113"/>
        <v>0.89516771739314627</v>
      </c>
      <c r="T208" s="160" t="str">
        <f t="shared" si="105"/>
        <v>1+0.001996364597399i</v>
      </c>
      <c r="U208" s="160">
        <f t="shared" si="114"/>
        <v>1.0000019927338175</v>
      </c>
      <c r="V208" s="160">
        <f t="shared" si="115"/>
        <v>1.9963619452538694E-3</v>
      </c>
      <c r="W208" s="98" t="str">
        <f t="shared" si="106"/>
        <v>1-0.00518446484781597i</v>
      </c>
      <c r="X208" s="160">
        <f t="shared" si="116"/>
        <v>1.0000134392475724</v>
      </c>
      <c r="Y208" s="160">
        <f t="shared" si="117"/>
        <v>-5.1844183980485313E-3</v>
      </c>
      <c r="Z208" s="98" t="str">
        <f t="shared" si="107"/>
        <v>0.99998696369123+0.00594297323280483i</v>
      </c>
      <c r="AA208" s="160">
        <f t="shared" si="118"/>
        <v>1.0000046232309383</v>
      </c>
      <c r="AB208" s="160">
        <f t="shared" si="119"/>
        <v>5.9429807405083817E-3</v>
      </c>
      <c r="AC208" s="171" t="str">
        <f t="shared" si="120"/>
        <v>2.6629974056014-3.38558591419864i</v>
      </c>
      <c r="AD208" s="190">
        <f t="shared" si="121"/>
        <v>12.684316340906474</v>
      </c>
      <c r="AE208" s="169">
        <f t="shared" si="122"/>
        <v>-51.812502056740207</v>
      </c>
      <c r="AF208" s="98" t="str">
        <f t="shared" si="108"/>
        <v>-0.0000816326530612245</v>
      </c>
      <c r="AG208" s="98" t="str">
        <f t="shared" si="109"/>
        <v>0.000110898053385515i</v>
      </c>
      <c r="AH208" s="98">
        <f t="shared" si="123"/>
        <v>1.10898053385515E-4</v>
      </c>
      <c r="AI208" s="98">
        <f t="shared" si="124"/>
        <v>1.5707963267948966</v>
      </c>
      <c r="AJ208" s="98" t="str">
        <f t="shared" si="110"/>
        <v>1+0.0122845603691434i</v>
      </c>
      <c r="AK208" s="98">
        <f t="shared" si="125"/>
        <v>1.0000754523652018</v>
      </c>
      <c r="AL208" s="98">
        <f t="shared" si="126"/>
        <v>1.2283942469021855E-2</v>
      </c>
      <c r="AM208" s="98" t="str">
        <f t="shared" si="111"/>
        <v>1+1.24074059728348i</v>
      </c>
      <c r="AN208" s="98">
        <f t="shared" si="127"/>
        <v>1.5935611785392385</v>
      </c>
      <c r="AO208" s="98">
        <f t="shared" si="128"/>
        <v>0.89242557995507343</v>
      </c>
      <c r="AP208" s="168" t="str">
        <f t="shared" si="129"/>
        <v>-0.904136646829078+0.747212295201964i</v>
      </c>
      <c r="AQ208" s="98">
        <f t="shared" si="130"/>
        <v>1.3855192438408925</v>
      </c>
      <c r="AR208" s="169">
        <f t="shared" si="131"/>
        <v>140.42840120168404</v>
      </c>
      <c r="AS208" s="168" t="str">
        <f t="shared" si="132"/>
        <v>0.122037876736822+5.05085669957161i</v>
      </c>
      <c r="AT208" s="190">
        <f t="shared" si="133"/>
        <v>14.069835584747361</v>
      </c>
      <c r="AU208" s="169">
        <f t="shared" si="134"/>
        <v>88.615899144943839</v>
      </c>
      <c r="AV208" s="225"/>
      <c r="AX208">
        <f t="shared" si="135"/>
        <v>0</v>
      </c>
      <c r="AY208">
        <f t="shared" si="136"/>
        <v>0</v>
      </c>
    </row>
    <row r="209" spans="14:51" x14ac:dyDescent="0.2">
      <c r="N209" s="170">
        <v>91</v>
      </c>
      <c r="O209" s="199">
        <f t="shared" si="137"/>
        <v>812.83051616409978</v>
      </c>
      <c r="P209" s="189" t="str">
        <f t="shared" si="103"/>
        <v>6.8875</v>
      </c>
      <c r="Q209" s="160" t="str">
        <f t="shared" si="104"/>
        <v>1+1.27679118909737i</v>
      </c>
      <c r="R209" s="160">
        <f t="shared" si="112"/>
        <v>1.6217878222987976</v>
      </c>
      <c r="S209" s="160">
        <f t="shared" si="113"/>
        <v>0.90637524268660019</v>
      </c>
      <c r="T209" s="160" t="str">
        <f t="shared" si="105"/>
        <v>1+0.00204286590255579i</v>
      </c>
      <c r="U209" s="160">
        <f t="shared" si="114"/>
        <v>1.0000020866483708</v>
      </c>
      <c r="V209" s="160">
        <f t="shared" si="115"/>
        <v>2.0428630607314028E-3</v>
      </c>
      <c r="W209" s="98" t="str">
        <f t="shared" si="106"/>
        <v>1-0.00530522654749599i</v>
      </c>
      <c r="X209" s="160">
        <f t="shared" si="116"/>
        <v>1.0000140726153408</v>
      </c>
      <c r="Y209" s="160">
        <f t="shared" si="117"/>
        <v>-5.3051767757112843E-3</v>
      </c>
      <c r="Z209" s="98" t="str">
        <f t="shared" si="107"/>
        <v>0.999986349308925+0.00608140286244128i</v>
      </c>
      <c r="AA209" s="160">
        <f t="shared" si="118"/>
        <v>1.0000048411207652</v>
      </c>
      <c r="AB209" s="160">
        <f t="shared" si="119"/>
        <v>6.0814109070782734E-3</v>
      </c>
      <c r="AC209" s="171" t="str">
        <f t="shared" si="120"/>
        <v>2.58730165296163-3.36779864932323i</v>
      </c>
      <c r="AD209" s="190">
        <f t="shared" si="121"/>
        <v>12.561449843387472</v>
      </c>
      <c r="AE209" s="169">
        <f t="shared" si="122"/>
        <v>-52.466832046864276</v>
      </c>
      <c r="AF209" s="98" t="str">
        <f t="shared" si="108"/>
        <v>-0.0000816326530612245</v>
      </c>
      <c r="AG209" s="98" t="str">
        <f t="shared" si="109"/>
        <v>0.000113481200886974i</v>
      </c>
      <c r="AH209" s="98">
        <f t="shared" si="123"/>
        <v>1.13481200886974E-4</v>
      </c>
      <c r="AI209" s="98">
        <f t="shared" si="124"/>
        <v>1.5707963267948966</v>
      </c>
      <c r="AJ209" s="98" t="str">
        <f t="shared" si="110"/>
        <v>1+0.0125707045389943i</v>
      </c>
      <c r="AK209" s="98">
        <f t="shared" si="125"/>
        <v>1.0000790081851567</v>
      </c>
      <c r="AL209" s="98">
        <f t="shared" si="126"/>
        <v>1.2570042449910342E-2</v>
      </c>
      <c r="AM209" s="98" t="str">
        <f t="shared" si="111"/>
        <v>1+1.26964115843842i</v>
      </c>
      <c r="AN209" s="98">
        <f t="shared" si="127"/>
        <v>1.6161648032304294</v>
      </c>
      <c r="AO209" s="98">
        <f t="shared" si="128"/>
        <v>0.9036473406934703</v>
      </c>
      <c r="AP209" s="168" t="str">
        <f t="shared" si="129"/>
        <v>-0.904130217454221+0.730715123829241i</v>
      </c>
      <c r="AQ209" s="98">
        <f t="shared" si="130"/>
        <v>1.3078264271762174</v>
      </c>
      <c r="AR209" s="169">
        <f t="shared" si="131"/>
        <v>141.05496840927606</v>
      </c>
      <c r="AS209" s="168" t="str">
        <f t="shared" si="132"/>
        <v>0.12164380096031+4.9355089728821i</v>
      </c>
      <c r="AT209" s="190">
        <f t="shared" si="133"/>
        <v>13.869276270563685</v>
      </c>
      <c r="AU209" s="169">
        <f t="shared" si="134"/>
        <v>88.588136362411788</v>
      </c>
      <c r="AV209" s="225"/>
      <c r="AX209">
        <f t="shared" si="135"/>
        <v>0</v>
      </c>
      <c r="AY209">
        <f t="shared" si="136"/>
        <v>0</v>
      </c>
    </row>
    <row r="210" spans="14:51" x14ac:dyDescent="0.2">
      <c r="N210" s="170">
        <v>92</v>
      </c>
      <c r="O210" s="199">
        <f t="shared" si="137"/>
        <v>831.7637711026714</v>
      </c>
      <c r="P210" s="189" t="str">
        <f t="shared" si="103"/>
        <v>6.8875</v>
      </c>
      <c r="Q210" s="160" t="str">
        <f t="shared" si="104"/>
        <v>1+1.30653147640915i</v>
      </c>
      <c r="R210" s="160">
        <f t="shared" si="112"/>
        <v>1.645303770994242</v>
      </c>
      <c r="S210" s="160">
        <f t="shared" si="113"/>
        <v>0.91752111398061498</v>
      </c>
      <c r="T210" s="160" t="str">
        <f t="shared" si="105"/>
        <v>1+0.00209045036225464i</v>
      </c>
      <c r="U210" s="160">
        <f t="shared" si="114"/>
        <v>1.0000021849889715</v>
      </c>
      <c r="V210" s="160">
        <f t="shared" si="115"/>
        <v>2.0904473171853063E-3</v>
      </c>
      <c r="W210" s="98" t="str">
        <f t="shared" si="106"/>
        <v>1-0.00542880114851446i</v>
      </c>
      <c r="X210" s="160">
        <f t="shared" si="116"/>
        <v>1.0000147358323825</v>
      </c>
      <c r="Y210" s="160">
        <f t="shared" si="117"/>
        <v>-5.4287478171287347E-3</v>
      </c>
      <c r="Z210" s="98" t="str">
        <f t="shared" si="107"/>
        <v>0.999985705971675+0.00622305693237228i</v>
      </c>
      <c r="AA210" s="160">
        <f t="shared" si="118"/>
        <v>1.0000050692797775</v>
      </c>
      <c r="AB210" s="160">
        <f t="shared" si="119"/>
        <v>6.223065552342315E-3</v>
      </c>
      <c r="AC210" s="171" t="str">
        <f t="shared" si="120"/>
        <v>2.51243639978958-3.34843092455649i</v>
      </c>
      <c r="AD210" s="190">
        <f t="shared" si="121"/>
        <v>12.436413315550269</v>
      </c>
      <c r="AE210" s="169">
        <f t="shared" si="122"/>
        <v>-53.117913366406604</v>
      </c>
      <c r="AF210" s="98" t="str">
        <f t="shared" si="108"/>
        <v>-0.0000816326530612245</v>
      </c>
      <c r="AG210" s="98" t="str">
        <f t="shared" si="109"/>
        <v>0.000116124517623245i</v>
      </c>
      <c r="AH210" s="98">
        <f t="shared" si="123"/>
        <v>1.16124517623245E-4</v>
      </c>
      <c r="AI210" s="98">
        <f t="shared" si="124"/>
        <v>1.5707963267948966</v>
      </c>
      <c r="AJ210" s="98" t="str">
        <f t="shared" si="110"/>
        <v>1+0.0128635138627847i</v>
      </c>
      <c r="AK210" s="98">
        <f t="shared" si="125"/>
        <v>1.0000827315721925</v>
      </c>
      <c r="AL210" s="98">
        <f t="shared" si="126"/>
        <v>1.2862804424719104E-2</v>
      </c>
      <c r="AM210" s="98" t="str">
        <f t="shared" si="111"/>
        <v>1+1.29921490014126i</v>
      </c>
      <c r="AN210" s="98">
        <f t="shared" si="127"/>
        <v>1.6394997275843215</v>
      </c>
      <c r="AO210" s="98">
        <f t="shared" si="128"/>
        <v>0.91480873110014094</v>
      </c>
      <c r="AP210" s="168" t="str">
        <f t="shared" si="129"/>
        <v>-0.90412348517027+0.714605379668542i</v>
      </c>
      <c r="AQ210" s="98">
        <f t="shared" si="130"/>
        <v>1.2323081760271664</v>
      </c>
      <c r="AR210" s="169">
        <f t="shared" si="131"/>
        <v>141.67769494751761</v>
      </c>
      <c r="AS210" s="168" t="str">
        <f t="shared" si="132"/>
        <v>0.121253998090177+4.82279560472662i</v>
      </c>
      <c r="AT210" s="190">
        <f t="shared" si="133"/>
        <v>13.668721491577433</v>
      </c>
      <c r="AU210" s="169">
        <f t="shared" si="134"/>
        <v>88.559781581111011</v>
      </c>
      <c r="AV210" s="225"/>
      <c r="AX210">
        <f t="shared" si="135"/>
        <v>0</v>
      </c>
      <c r="AY210">
        <f t="shared" si="136"/>
        <v>0</v>
      </c>
    </row>
    <row r="211" spans="14:51" x14ac:dyDescent="0.2">
      <c r="N211" s="170">
        <v>93</v>
      </c>
      <c r="O211" s="199">
        <f t="shared" si="137"/>
        <v>851.13803820237763</v>
      </c>
      <c r="P211" s="189" t="str">
        <f t="shared" ref="P211:P274" si="138">COMPLEX(Adc,0)</f>
        <v>6.8875</v>
      </c>
      <c r="Q211" s="160" t="str">
        <f t="shared" ref="Q211:Q274" si="139">IMSUM(COMPLEX(1,0),IMDIV(COMPLEX(0,2*PI()*O211),COMPLEX(wp_lf,0)))</f>
        <v>1+1.33696450400371i</v>
      </c>
      <c r="R211" s="160">
        <f t="shared" si="112"/>
        <v>1.6695730247479101</v>
      </c>
      <c r="S211" s="160">
        <f t="shared" si="113"/>
        <v>0.92860016422934699</v>
      </c>
      <c r="T211" s="160" t="str">
        <f t="shared" ref="T211:T274" si="140">IMSUM(COMPLEX(1,0),IMDIV(COMPLEX(0,2*PI()*O211),COMPLEX(wz_esr,0)))</f>
        <v>1+0.00213914320640594i</v>
      </c>
      <c r="U211" s="160">
        <f t="shared" si="114"/>
        <v>1.0000022879642114</v>
      </c>
      <c r="V211" s="160">
        <f t="shared" si="115"/>
        <v>2.1391399435557665E-3</v>
      </c>
      <c r="W211" s="98" t="str">
        <f t="shared" ref="W211:W274" si="141">IMSUB(COMPLEX(1,0),IMDIV(COMPLEX(0,2*PI()*O211),COMPLEX(wz_rhp,0)))</f>
        <v>1-0.00555525417176057i</v>
      </c>
      <c r="X211" s="160">
        <f t="shared" si="116"/>
        <v>1.0000154303054092</v>
      </c>
      <c r="Y211" s="160">
        <f t="shared" si="117"/>
        <v>-5.5551970261988135E-3</v>
      </c>
      <c r="Z211" s="98" t="str">
        <f t="shared" ref="Z211:Z274" si="142">IF(Dc_Mode_Loop="CCM",IMSUM(COMPLEX(1,0),IMDIV(COMPLEX(0,2*PI()*O211),COMPLEX(Q*(wsl/2),0)),IMDIV(IMPOWER(COMPLEX(0,2*PI()*O211),2),IMPOWER(COMPLEX(wsl/2,0),2))),COMPLEX(1,0))</f>
        <v>0.999985032314874+0.00636801054946073i</v>
      </c>
      <c r="AA211" s="160">
        <f t="shared" si="118"/>
        <v>1.0000053081919804</v>
      </c>
      <c r="AB211" s="160">
        <f t="shared" si="119"/>
        <v>6.3680197859095448E-3</v>
      </c>
      <c r="AC211" s="171" t="str">
        <f t="shared" si="120"/>
        <v>2.4384660754194-3.3275301776109i</v>
      </c>
      <c r="AD211" s="190">
        <f t="shared" si="121"/>
        <v>12.309231644260155</v>
      </c>
      <c r="AE211" s="169">
        <f t="shared" si="122"/>
        <v>-53.765456576496256</v>
      </c>
      <c r="AF211" s="98" t="str">
        <f t="shared" ref="AF211:AF274" si="143">COMPLEX(Adc_ea,0)</f>
        <v>-0.0000816326530612245</v>
      </c>
      <c r="AG211" s="98" t="str">
        <f t="shared" ref="AG211:AG274" si="144">COMPLEX(0,2*PI()*O211*wp0_ea)</f>
        <v>0.00011882940511585i</v>
      </c>
      <c r="AH211" s="98">
        <f t="shared" si="123"/>
        <v>1.1882940511585E-4</v>
      </c>
      <c r="AI211" s="98">
        <f t="shared" si="124"/>
        <v>1.5707963267948966</v>
      </c>
      <c r="AJ211" s="98" t="str">
        <f t="shared" ref="AJ211:AJ274" si="145">IMSUM(COMPLEX(1,0),IMDIV(COMPLEX(0,2*PI()*O211),COMPLEX(wp1_ea,0)))</f>
        <v>1+0.013163143591894i</v>
      </c>
      <c r="AK211" s="98">
        <f t="shared" si="125"/>
        <v>1.0000866304221954</v>
      </c>
      <c r="AL211" s="98">
        <f t="shared" si="126"/>
        <v>1.3162383418867215E-2</v>
      </c>
      <c r="AM211" s="98" t="str">
        <f t="shared" ref="AM211:AM274" si="146">IMSUM(COMPLEX(1,0),IMDIV(COMPLEX(0,2*PI()*O211),COMPLEX(wz_ea,0)))</f>
        <v>1+1.32947750278129i</v>
      </c>
      <c r="AN211" s="98">
        <f t="shared" si="127"/>
        <v>1.6635836108839179</v>
      </c>
      <c r="AO211" s="98">
        <f t="shared" si="128"/>
        <v>0.92590454604392058</v>
      </c>
      <c r="AP211" s="168" t="str">
        <f t="shared" si="129"/>
        <v>-0.904116435711004+0.69887452057557i</v>
      </c>
      <c r="AQ211" s="98">
        <f t="shared" si="130"/>
        <v>1.1589400005900692</v>
      </c>
      <c r="AR211" s="169">
        <f t="shared" si="131"/>
        <v>142.29627370205901</v>
      </c>
      <c r="AS211" s="168" t="str">
        <f t="shared" si="132"/>
        <v>0.120868800868171+4.7126565333009i</v>
      </c>
      <c r="AT211" s="190">
        <f t="shared" si="133"/>
        <v>13.468171644850234</v>
      </c>
      <c r="AU211" s="169">
        <f t="shared" si="134"/>
        <v>88.530817125562763</v>
      </c>
      <c r="AV211" s="225"/>
      <c r="AX211">
        <f t="shared" si="135"/>
        <v>0</v>
      </c>
      <c r="AY211">
        <f t="shared" si="136"/>
        <v>0</v>
      </c>
    </row>
    <row r="212" spans="14:51" x14ac:dyDescent="0.2">
      <c r="N212" s="170">
        <v>94</v>
      </c>
      <c r="O212" s="199">
        <f t="shared" si="137"/>
        <v>870.96358995608091</v>
      </c>
      <c r="P212" s="189" t="str">
        <f t="shared" si="138"/>
        <v>6.8875</v>
      </c>
      <c r="Q212" s="160" t="str">
        <f t="shared" si="139"/>
        <v>1+1.36810640787511i</v>
      </c>
      <c r="R212" s="160">
        <f t="shared" ref="R212:R275" si="147">IMABS(Q212)</f>
        <v>1.6946135675335945</v>
      </c>
      <c r="S212" s="160">
        <f t="shared" ref="S212:S275" si="148">IMARGUMENT(Q212)</f>
        <v>0.93960738890452533</v>
      </c>
      <c r="T212" s="160" t="str">
        <f t="shared" si="140"/>
        <v>1+0.00218897025260017i</v>
      </c>
      <c r="U212" s="160">
        <f t="shared" ref="U212:U275" si="149">IMABS(T212)</f>
        <v>1.0000023957925135</v>
      </c>
      <c r="V212" s="160">
        <f t="shared" ref="V212:V275" si="150">IMARGUMENT(T212)</f>
        <v>2.1889667563936713E-3</v>
      </c>
      <c r="W212" s="98" t="str">
        <f t="shared" si="141"/>
        <v>1-0.005684652664301i</v>
      </c>
      <c r="X212" s="160">
        <f t="shared" ref="X212:X275" si="151">IMABS(W212)</f>
        <v>1.0000161575074245</v>
      </c>
      <c r="Y212" s="160">
        <f t="shared" ref="Y212:Y275" si="152">IMARGUMENT(W212)</f>
        <v>-5.6845914317818023E-3</v>
      </c>
      <c r="Z212" s="98" t="str">
        <f t="shared" si="142"/>
        <v>0.999984326909607+0.00651634057003306i</v>
      </c>
      <c r="AA212" s="160">
        <f t="shared" ref="AA212:AA275" si="153">IMABS(Z212)</f>
        <v>1.0000055583641945</v>
      </c>
      <c r="AB212" s="160">
        <f t="shared" ref="AB212:AB275" si="154">IMARGUMENT(Z212)</f>
        <v>6.5163504670488924E-3</v>
      </c>
      <c r="AC212" s="171" t="str">
        <f t="shared" ref="AC212:AC275" si="155">(IMDIV(IMPRODUCT(P212,T212,W212),IMPRODUCT(Q212,Z212)))</f>
        <v>2.36545170505434-3.30514685803844i</v>
      </c>
      <c r="AD212" s="190">
        <f t="shared" ref="AD212:AD275" si="156">20*LOG(IMABS(AC212))</f>
        <v>12.179931525477592</v>
      </c>
      <c r="AE212" s="169">
        <f t="shared" ref="AE212:AE275" si="157">(180/PI())*IMARGUMENT(AC212)</f>
        <v>-54.409181703788263</v>
      </c>
      <c r="AF212" s="98" t="str">
        <f t="shared" si="143"/>
        <v>-0.0000816326530612245</v>
      </c>
      <c r="AG212" s="98" t="str">
        <f t="shared" si="144"/>
        <v>0.00012159729753194i</v>
      </c>
      <c r="AH212" s="98">
        <f t="shared" ref="AH212:AH275" si="158">IMABS(AG212)</f>
        <v>1.2159729753194E-4</v>
      </c>
      <c r="AI212" s="98">
        <f t="shared" ref="AI212:AI275" si="159">IMARGUMENT(AG212)</f>
        <v>1.5707963267948966</v>
      </c>
      <c r="AJ212" s="98" t="str">
        <f t="shared" si="145"/>
        <v>1+0.0134697525939704i</v>
      </c>
      <c r="AK212" s="98">
        <f t="shared" ref="AK212:AK275" si="160">IMABS(AJ212)</f>
        <v>1.000090713003047</v>
      </c>
      <c r="AL212" s="98">
        <f t="shared" ref="AL212:AL275" si="161">IMARGUMENT(AJ212)</f>
        <v>1.346893805788715E-2</v>
      </c>
      <c r="AM212" s="98" t="str">
        <f t="shared" si="146"/>
        <v>1+1.36044501199101i</v>
      </c>
      <c r="AN212" s="98">
        <f t="shared" ref="AN212:AN275" si="162">IMABS(AM212)</f>
        <v>1.6884343726219326</v>
      </c>
      <c r="AO212" s="98">
        <f t="shared" ref="AO212:AO275" si="163">IMARGUMENT(AM212)</f>
        <v>0.93692974044596289</v>
      </c>
      <c r="AP212" s="168" t="str">
        <f t="shared" ref="AP212:AP275" si="164">IMPRODUCT(AF212,IMDIV(AM212,IMPRODUCT(AG212,AJ212)))</f>
        <v>-0.904109054138776+0.683514205256973i</v>
      </c>
      <c r="AQ212" s="98">
        <f t="shared" ref="AQ212:AQ275" si="165">20*LOG(IMABS(AP212))</f>
        <v>1.08769557541937</v>
      </c>
      <c r="AR212" s="169">
        <f t="shared" ref="AR212:AR275" si="166">(180/PI())*IMARGUMENT(AP212)</f>
        <v>142.91040652260116</v>
      </c>
      <c r="AS212" s="168" t="str">
        <f t="shared" ref="AS212:AS275" si="167">IMPRODUCT(AC212,AP212)</f>
        <v>0.120488524262092+4.60503304186485i</v>
      </c>
      <c r="AT212" s="190">
        <f t="shared" ref="AT212:AT275" si="168">20*LOG(IMABS(AS212))</f>
        <v>13.267627100896961</v>
      </c>
      <c r="AU212" s="169">
        <f t="shared" ref="AU212:AU275" si="169">(180/PI())*IMARGUMENT(AS212)</f>
        <v>88.501224818812886</v>
      </c>
      <c r="AV212" s="225"/>
      <c r="AX212">
        <f t="shared" ref="AX212:AX275" si="170">SUM((AT213&lt;0)*(AT212&gt;0))*O212</f>
        <v>0</v>
      </c>
      <c r="AY212">
        <f t="shared" ref="AY212:AY275" si="171">IF(AX212&gt;0,AU212,0)</f>
        <v>0</v>
      </c>
    </row>
    <row r="213" spans="14:51" x14ac:dyDescent="0.2">
      <c r="N213" s="170">
        <v>95</v>
      </c>
      <c r="O213" s="199">
        <f t="shared" si="137"/>
        <v>891.25093813374656</v>
      </c>
      <c r="P213" s="189" t="str">
        <f t="shared" si="138"/>
        <v>6.8875</v>
      </c>
      <c r="Q213" s="160" t="str">
        <f t="shared" si="139"/>
        <v>1+1.399973699873i</v>
      </c>
      <c r="R213" s="160">
        <f t="shared" si="147"/>
        <v>1.7204436521828015</v>
      </c>
      <c r="S213" s="160">
        <f t="shared" si="148"/>
        <v>0.9505379555235085</v>
      </c>
      <c r="T213" s="160" t="str">
        <f t="shared" si="140"/>
        <v>1+0.00223995791979679i</v>
      </c>
      <c r="U213" s="160">
        <f t="shared" si="149"/>
        <v>1.0000025087025946</v>
      </c>
      <c r="V213" s="160">
        <f t="shared" si="150"/>
        <v>2.2399541735445387E-3</v>
      </c>
      <c r="W213" s="98" t="str">
        <f t="shared" si="141"/>
        <v>1-0.00581706523492934i</v>
      </c>
      <c r="X213" s="160">
        <f t="shared" si="151"/>
        <v>1.0000169189808477</v>
      </c>
      <c r="Y213" s="160">
        <f t="shared" si="152"/>
        <v>-5.8169996231628648E-3</v>
      </c>
      <c r="Z213" s="98" t="str">
        <f t="shared" si="142"/>
        <v>0.999983588259613+0.00666812564062962i</v>
      </c>
      <c r="AA213" s="160">
        <f t="shared" si="153"/>
        <v>1.0000058203271271</v>
      </c>
      <c r="AB213" s="160">
        <f t="shared" si="154"/>
        <v>6.6681362454536521E-3</v>
      </c>
      <c r="AC213" s="171" t="str">
        <f t="shared" si="155"/>
        <v>2.29345074797165-3.28133414377332i</v>
      </c>
      <c r="AD213" s="190">
        <f t="shared" si="156"/>
        <v>12.048541363754651</v>
      </c>
      <c r="AE213" s="169">
        <f t="shared" si="157"/>
        <v>-55.048818789963363</v>
      </c>
      <c r="AF213" s="98" t="str">
        <f t="shared" si="143"/>
        <v>-0.0000816326530612245</v>
      </c>
      <c r="AG213" s="98" t="str">
        <f t="shared" si="144"/>
        <v>0.000124429662444712i</v>
      </c>
      <c r="AH213" s="98">
        <f t="shared" si="158"/>
        <v>1.24429662444712E-4</v>
      </c>
      <c r="AI213" s="98">
        <f t="shared" si="159"/>
        <v>1.5707963267948966</v>
      </c>
      <c r="AJ213" s="98" t="str">
        <f t="shared" si="145"/>
        <v>1+0.0137835034371654i</v>
      </c>
      <c r="AK213" s="98">
        <f t="shared" si="160"/>
        <v>1.0000949879721437</v>
      </c>
      <c r="AL213" s="98">
        <f t="shared" si="161"/>
        <v>1.3782630650504484E-2</v>
      </c>
      <c r="AM213" s="98" t="str">
        <f t="shared" si="146"/>
        <v>1+1.39213384715371i</v>
      </c>
      <c r="AN213" s="98">
        <f t="shared" si="162"/>
        <v>1.714070199376615</v>
      </c>
      <c r="AO213" s="98">
        <f t="shared" si="163"/>
        <v>0.94787943903626315</v>
      </c>
      <c r="AP213" s="168" t="str">
        <f t="shared" si="164"/>
        <v>-0.904101324812963+0.668516288844889i</v>
      </c>
      <c r="AQ213" s="98">
        <f t="shared" si="165"/>
        <v>1.0185468386408398</v>
      </c>
      <c r="AR213" s="169">
        <f t="shared" si="166"/>
        <v>143.51980477714434</v>
      </c>
      <c r="AS213" s="168" t="str">
        <f t="shared" si="167"/>
        <v>0.120113464620912+4.49986772922201i</v>
      </c>
      <c r="AT213" s="190">
        <f t="shared" si="168"/>
        <v>13.067088202395489</v>
      </c>
      <c r="AU213" s="169">
        <f t="shared" si="169"/>
        <v>88.470985987180981</v>
      </c>
      <c r="AV213" s="225"/>
      <c r="AX213">
        <f t="shared" si="170"/>
        <v>0</v>
      </c>
      <c r="AY213">
        <f t="shared" si="171"/>
        <v>0</v>
      </c>
    </row>
    <row r="214" spans="14:51" x14ac:dyDescent="0.2">
      <c r="N214" s="170">
        <v>96</v>
      </c>
      <c r="O214" s="199">
        <f t="shared" si="137"/>
        <v>912.01083935590987</v>
      </c>
      <c r="P214" s="189" t="str">
        <f t="shared" si="138"/>
        <v>6.8875</v>
      </c>
      <c r="Q214" s="160" t="str">
        <f t="shared" si="139"/>
        <v>1+1.43258327645739i</v>
      </c>
      <c r="R214" s="160">
        <f t="shared" si="147"/>
        <v>1.7470818080403079</v>
      </c>
      <c r="S214" s="160">
        <f t="shared" si="148"/>
        <v>0.96138721222247769</v>
      </c>
      <c r="T214" s="160" t="str">
        <f t="shared" si="140"/>
        <v>1+0.00229213324233183i</v>
      </c>
      <c r="U214" s="160">
        <f t="shared" si="149"/>
        <v>1.0000026269339499</v>
      </c>
      <c r="V214" s="160">
        <f t="shared" si="150"/>
        <v>2.2921292281507903E-3</v>
      </c>
      <c r="W214" s="98" t="str">
        <f t="shared" si="141"/>
        <v>1-0.00595256209054318i</v>
      </c>
      <c r="X214" s="160">
        <f t="shared" si="151"/>
        <v>1.0000177163407864</v>
      </c>
      <c r="Y214" s="160">
        <f t="shared" si="152"/>
        <v>-5.9524917863360205E-3</v>
      </c>
      <c r="Z214" s="98" t="str">
        <f t="shared" si="142"/>
        <v>0.999982814798118+0.00682344623970389i</v>
      </c>
      <c r="AA214" s="160">
        <f t="shared" si="153"/>
        <v>1.0000060946365044</v>
      </c>
      <c r="AB214" s="160">
        <f t="shared" si="154"/>
        <v>6.8234576029556852E-3</v>
      </c>
      <c r="AC214" s="171" t="str">
        <f t="shared" si="155"/>
        <v>2.22251696252235-3.2561476496302i</v>
      </c>
      <c r="AD214" s="190">
        <f t="shared" si="156"/>
        <v>11.915091167453802</v>
      </c>
      <c r="AE214" s="169">
        <f t="shared" si="157"/>
        <v>-55.684108386603633</v>
      </c>
      <c r="AF214" s="98" t="str">
        <f t="shared" si="143"/>
        <v>-0.0000816326530612245</v>
      </c>
      <c r="AG214" s="98" t="str">
        <f t="shared" si="144"/>
        <v>0.000127328001611533i</v>
      </c>
      <c r="AH214" s="98">
        <f t="shared" si="158"/>
        <v>1.2732800161153299E-4</v>
      </c>
      <c r="AI214" s="98">
        <f t="shared" si="159"/>
        <v>1.5707963267948966</v>
      </c>
      <c r="AJ214" s="98" t="str">
        <f t="shared" si="145"/>
        <v>1+0.014104562476329i</v>
      </c>
      <c r="AK214" s="98">
        <f t="shared" si="160"/>
        <v>1.0000994643947414</v>
      </c>
      <c r="AL214" s="98">
        <f t="shared" si="161"/>
        <v>1.4103627273595803E-2</v>
      </c>
      <c r="AM214" s="98" t="str">
        <f t="shared" si="146"/>
        <v>1+1.42456081010923i</v>
      </c>
      <c r="AN214" s="98">
        <f t="shared" si="162"/>
        <v>1.7405095523148</v>
      </c>
      <c r="AO214" s="98">
        <f t="shared" si="163"/>
        <v>0.95874894516212406</v>
      </c>
      <c r="AP214" s="168" t="str">
        <f t="shared" si="164"/>
        <v>-0.904093231356882+0.653872818575461i</v>
      </c>
      <c r="AQ214" s="98">
        <f t="shared" si="165"/>
        <v>0.95146409562403256</v>
      </c>
      <c r="AR214" s="169">
        <f t="shared" si="166"/>
        <v>144.12418985180659</v>
      </c>
      <c r="AS214" s="168" t="str">
        <f t="shared" si="167"/>
        <v>0.119743898969248+4.39710448094555i</v>
      </c>
      <c r="AT214" s="190">
        <f t="shared" si="168"/>
        <v>12.866555263077844</v>
      </c>
      <c r="AU214" s="169">
        <f t="shared" si="169"/>
        <v>88.440081465202994</v>
      </c>
      <c r="AV214" s="225"/>
      <c r="AX214">
        <f t="shared" si="170"/>
        <v>0</v>
      </c>
      <c r="AY214">
        <f t="shared" si="171"/>
        <v>0</v>
      </c>
    </row>
    <row r="215" spans="14:51" x14ac:dyDescent="0.2">
      <c r="N215" s="170">
        <v>97</v>
      </c>
      <c r="O215" s="199">
        <f t="shared" si="137"/>
        <v>933.25430079699106</v>
      </c>
      <c r="P215" s="189" t="str">
        <f t="shared" si="138"/>
        <v>6.8875</v>
      </c>
      <c r="Q215" s="160" t="str">
        <f t="shared" si="139"/>
        <v>1+1.46595242765745i</v>
      </c>
      <c r="R215" s="160">
        <f t="shared" si="147"/>
        <v>1.7745468492420173</v>
      </c>
      <c r="S215" s="160">
        <f t="shared" si="148"/>
        <v>0.97215069535274545</v>
      </c>
      <c r="T215" s="160" t="str">
        <f t="shared" si="140"/>
        <v>1+0.00234552388425192i</v>
      </c>
      <c r="U215" s="160">
        <f t="shared" si="149"/>
        <v>1.0000027507373626</v>
      </c>
      <c r="V215" s="160">
        <f t="shared" si="150"/>
        <v>2.3455195829800799E-3</v>
      </c>
      <c r="W215" s="98" t="str">
        <f t="shared" si="141"/>
        <v>1-0.00609121507336891i</v>
      </c>
      <c r="X215" s="160">
        <f t="shared" si="151"/>
        <v>1.0000185512784601</v>
      </c>
      <c r="Y215" s="160">
        <f t="shared" si="152"/>
        <v>-6.091139741129176E-3</v>
      </c>
      <c r="Z215" s="98" t="str">
        <f t="shared" si="142"/>
        <v>0.999982004884505+0.00698238472029346i</v>
      </c>
      <c r="AA215" s="160">
        <f t="shared" si="153"/>
        <v>1.000006381874244</v>
      </c>
      <c r="AB215" s="160">
        <f t="shared" si="154"/>
        <v>6.9823968962125825E-3</v>
      </c>
      <c r="AC215" s="171" t="str">
        <f t="shared" si="155"/>
        <v>2.15270029807504-3.22964513054263i</v>
      </c>
      <c r="AD215" s="190">
        <f t="shared" si="156"/>
        <v>11.779612440464529</v>
      </c>
      <c r="AE215" s="169">
        <f t="shared" si="157"/>
        <v>-56.314801994179959</v>
      </c>
      <c r="AF215" s="98" t="str">
        <f t="shared" si="143"/>
        <v>-0.0000816326530612245</v>
      </c>
      <c r="AG215" s="98" t="str">
        <f t="shared" si="144"/>
        <v>0.000130293851770194i</v>
      </c>
      <c r="AH215" s="98">
        <f t="shared" si="158"/>
        <v>1.30293851770194E-4</v>
      </c>
      <c r="AI215" s="98">
        <f t="shared" si="159"/>
        <v>1.5707963267948966</v>
      </c>
      <c r="AJ215" s="98" t="str">
        <f t="shared" si="145"/>
        <v>1+0.0144330999412136i</v>
      </c>
      <c r="AK215" s="98">
        <f t="shared" si="160"/>
        <v>1.0001041517631617</v>
      </c>
      <c r="AL215" s="98">
        <f t="shared" si="161"/>
        <v>1.4432097859066861E-2</v>
      </c>
      <c r="AM215" s="98" t="str">
        <f t="shared" si="146"/>
        <v>1+1.45774309406257i</v>
      </c>
      <c r="AN215" s="98">
        <f t="shared" si="162"/>
        <v>1.7677711753185466</v>
      </c>
      <c r="AO215" s="98">
        <f t="shared" si="163"/>
        <v>0.96953374862425301</v>
      </c>
      <c r="AP215" s="168" t="str">
        <f t="shared" si="164"/>
        <v>-0.904084756623282+0.639576029568975i</v>
      </c>
      <c r="AQ215" s="98">
        <f t="shared" si="165"/>
        <v>0.88641612634057587</v>
      </c>
      <c r="AR215" s="169">
        <f t="shared" si="166"/>
        <v>144.72329359482296</v>
      </c>
      <c r="AS215" s="168" t="str">
        <f t="shared" si="167"/>
        <v>0.11938008444119+4.29668844132098i</v>
      </c>
      <c r="AT215" s="190">
        <f t="shared" si="168"/>
        <v>12.666028566805096</v>
      </c>
      <c r="AU215" s="169">
        <f t="shared" si="169"/>
        <v>88.408491600643003</v>
      </c>
      <c r="AV215" s="225"/>
      <c r="AX215">
        <f t="shared" si="170"/>
        <v>0</v>
      </c>
      <c r="AY215">
        <f t="shared" si="171"/>
        <v>0</v>
      </c>
    </row>
    <row r="216" spans="14:51" x14ac:dyDescent="0.2">
      <c r="N216" s="170">
        <v>98</v>
      </c>
      <c r="O216" s="199">
        <f t="shared" si="137"/>
        <v>954.99258602143675</v>
      </c>
      <c r="P216" s="189" t="str">
        <f t="shared" si="138"/>
        <v>6.8875</v>
      </c>
      <c r="Q216" s="160" t="str">
        <f t="shared" si="139"/>
        <v>1+1.50009884623883i</v>
      </c>
      <c r="R216" s="160">
        <f t="shared" si="147"/>
        <v>1.8028578836078757</v>
      </c>
      <c r="S216" s="160">
        <f t="shared" si="148"/>
        <v>0.98282413608717745</v>
      </c>
      <c r="T216" s="160" t="str">
        <f t="shared" si="140"/>
        <v>1+0.00240015815398213i</v>
      </c>
      <c r="U216" s="160">
        <f t="shared" si="149"/>
        <v>1.0000028803754337</v>
      </c>
      <c r="V216" s="160">
        <f t="shared" si="150"/>
        <v>2.4001535450870332E-3</v>
      </c>
      <c r="W216" s="98" t="str">
        <f t="shared" si="141"/>
        <v>1-0.00623309769905332i</v>
      </c>
      <c r="X216" s="160">
        <f t="shared" si="151"/>
        <v>1.0000194255647867</v>
      </c>
      <c r="Y216" s="160">
        <f t="shared" si="152"/>
        <v>-6.2330169791888239E-3</v>
      </c>
      <c r="Z216" s="98" t="str">
        <f t="shared" si="142"/>
        <v>0.99998115680084+0.00714502535368452i</v>
      </c>
      <c r="AA216" s="160">
        <f t="shared" si="153"/>
        <v>1.0000066826496965</v>
      </c>
      <c r="AB216" s="160">
        <f t="shared" si="154"/>
        <v>7.1450384003893721E-3</v>
      </c>
      <c r="AC216" s="171" t="str">
        <f t="shared" si="155"/>
        <v>2.08404681374242-3.20188618226381i</v>
      </c>
      <c r="AD216" s="190">
        <f t="shared" si="156"/>
        <v>11.642138071193163</v>
      </c>
      <c r="AE216" s="169">
        <f t="shared" si="157"/>
        <v>-56.940662444411913</v>
      </c>
      <c r="AF216" s="98" t="str">
        <f t="shared" si="143"/>
        <v>-0.0000816326530612245</v>
      </c>
      <c r="AG216" s="98" t="str">
        <f t="shared" si="144"/>
        <v>0.000133328785453707i</v>
      </c>
      <c r="AH216" s="98">
        <f t="shared" si="158"/>
        <v>1.3332878545370701E-4</v>
      </c>
      <c r="AI216" s="98">
        <f t="shared" si="159"/>
        <v>1.5707963267948966</v>
      </c>
      <c r="AJ216" s="98" t="str">
        <f t="shared" si="145"/>
        <v>1+0.0147692900267316i</v>
      </c>
      <c r="AK216" s="98">
        <f t="shared" si="160"/>
        <v>1.0001090600169031</v>
      </c>
      <c r="AL216" s="98">
        <f t="shared" si="161"/>
        <v>1.4768216282689761E-2</v>
      </c>
      <c r="AM216" s="98" t="str">
        <f t="shared" si="146"/>
        <v>1+1.4916982926999i</v>
      </c>
      <c r="AN216" s="98">
        <f t="shared" si="162"/>
        <v>1.7958741037288213</v>
      </c>
      <c r="AO216" s="98">
        <f t="shared" si="163"/>
        <v>0.98022953252530887</v>
      </c>
      <c r="AP216" s="168" t="str">
        <f t="shared" si="164"/>
        <v>-0.904075882658082+0.625618340709396i</v>
      </c>
      <c r="AQ216" s="98">
        <f t="shared" si="165"/>
        <v>0.82337029563049868</v>
      </c>
      <c r="AR216" s="169">
        <f t="shared" si="166"/>
        <v>145.31685870384734</v>
      </c>
      <c r="AS216" s="168" t="str">
        <f t="shared" si="167"/>
        <v>0.119022257853286+4.19856598597511i</v>
      </c>
      <c r="AT216" s="190">
        <f t="shared" si="168"/>
        <v>12.465508366823668</v>
      </c>
      <c r="AU216" s="169">
        <f t="shared" si="169"/>
        <v>88.376196259435417</v>
      </c>
      <c r="AV216" s="225"/>
      <c r="AX216">
        <f t="shared" si="170"/>
        <v>0</v>
      </c>
      <c r="AY216">
        <f t="shared" si="171"/>
        <v>0</v>
      </c>
    </row>
    <row r="217" spans="14:51" x14ac:dyDescent="0.2">
      <c r="N217" s="170">
        <v>99</v>
      </c>
      <c r="O217" s="199">
        <f t="shared" si="137"/>
        <v>977.23722095581138</v>
      </c>
      <c r="P217" s="189" t="str">
        <f t="shared" si="138"/>
        <v>6.8875</v>
      </c>
      <c r="Q217" s="160" t="str">
        <f t="shared" si="139"/>
        <v>1+1.53504063708464i</v>
      </c>
      <c r="R217" s="160">
        <f t="shared" si="147"/>
        <v>1.8320343221406132</v>
      </c>
      <c r="S217" s="160">
        <f t="shared" si="148"/>
        <v>0.99340346603278451</v>
      </c>
      <c r="T217" s="160" t="str">
        <f t="shared" si="140"/>
        <v>1+0.00245606501933543i</v>
      </c>
      <c r="U217" s="160">
        <f t="shared" si="149"/>
        <v>1.000003016123141</v>
      </c>
      <c r="V217" s="160">
        <f t="shared" si="150"/>
        <v>2.4560600808161627E-3</v>
      </c>
      <c r="W217" s="98" t="str">
        <f t="shared" si="141"/>
        <v>1-0.00637828519564256i</v>
      </c>
      <c r="X217" s="160">
        <f t="shared" si="151"/>
        <v>1.0000203410541393</v>
      </c>
      <c r="Y217" s="160">
        <f t="shared" si="152"/>
        <v>-6.3781987028444544E-3</v>
      </c>
      <c r="Z217" s="98" t="str">
        <f t="shared" si="142"/>
        <v>0.999980268748223+0.00731145437409369i</v>
      </c>
      <c r="AA217" s="160">
        <f t="shared" si="153"/>
        <v>1.0000069976009331</v>
      </c>
      <c r="AB217" s="160">
        <f t="shared" si="154"/>
        <v>7.3114683538589012E-3</v>
      </c>
      <c r="AC217" s="171" t="str">
        <f t="shared" si="155"/>
        <v>2.01659862343657-3.17293194215294i</v>
      </c>
      <c r="AD217" s="190">
        <f t="shared" si="156"/>
        <v>11.502702219591804</v>
      </c>
      <c r="AE217" s="169">
        <f t="shared" si="157"/>
        <v>-57.561464225773321</v>
      </c>
      <c r="AF217" s="98" t="str">
        <f t="shared" si="143"/>
        <v>-0.0000816326530612245</v>
      </c>
      <c r="AG217" s="98" t="str">
        <f t="shared" si="144"/>
        <v>0.000136434411824083i</v>
      </c>
      <c r="AH217" s="98">
        <f t="shared" si="158"/>
        <v>1.36434411824083E-4</v>
      </c>
      <c r="AI217" s="98">
        <f t="shared" si="159"/>
        <v>1.5707963267948966</v>
      </c>
      <c r="AJ217" s="98" t="str">
        <f t="shared" si="145"/>
        <v>1+0.0151133109853165i</v>
      </c>
      <c r="AK217" s="98">
        <f t="shared" si="160"/>
        <v>1.0001141995636993</v>
      </c>
      <c r="AL217" s="98">
        <f t="shared" si="161"/>
        <v>1.5112160454942132E-2</v>
      </c>
      <c r="AM217" s="98" t="str">
        <f t="shared" si="146"/>
        <v>1+1.52644440951697i</v>
      </c>
      <c r="AN217" s="98">
        <f t="shared" si="162"/>
        <v>1.8248376736974745</v>
      </c>
      <c r="AO217" s="98">
        <f t="shared" si="163"/>
        <v>0.9908321791247815</v>
      </c>
      <c r="AP217" s="168" t="str">
        <f t="shared" si="164"/>
        <v>-0.904066590662482+0.611992350621105i</v>
      </c>
      <c r="AQ217" s="98">
        <f t="shared" si="165"/>
        <v>0.76229266560833453</v>
      </c>
      <c r="AR217" s="169">
        <f t="shared" si="166"/>
        <v>145.9046390562076</v>
      </c>
      <c r="AS217" s="168" t="str">
        <f t="shared" si="167"/>
        <v>0.118670635414011+4.10268469516253i</v>
      </c>
      <c r="AT217" s="190">
        <f t="shared" si="168"/>
        <v>12.264994885200142</v>
      </c>
      <c r="AU217" s="169">
        <f t="shared" si="169"/>
        <v>88.343174830434279</v>
      </c>
      <c r="AV217" s="225"/>
      <c r="AX217">
        <f t="shared" si="170"/>
        <v>0</v>
      </c>
      <c r="AY217">
        <f t="shared" si="171"/>
        <v>0</v>
      </c>
    </row>
    <row r="218" spans="14:51" x14ac:dyDescent="0.2">
      <c r="N218" s="170">
        <v>100</v>
      </c>
      <c r="O218" s="199">
        <f t="shared" si="137"/>
        <v>1000</v>
      </c>
      <c r="P218" s="189" t="str">
        <f t="shared" si="138"/>
        <v>6.8875</v>
      </c>
      <c r="Q218" s="160" t="str">
        <f t="shared" si="139"/>
        <v>1+1.5707963267949i</v>
      </c>
      <c r="R218" s="160">
        <f t="shared" si="147"/>
        <v>1.8620958891185897</v>
      </c>
      <c r="S218" s="160">
        <f t="shared" si="148"/>
        <v>1.0038848218538883</v>
      </c>
      <c r="T218" s="160" t="str">
        <f t="shared" si="140"/>
        <v>1+0.00251327412287184i</v>
      </c>
      <c r="U218" s="160">
        <f t="shared" si="149"/>
        <v>1.000003158268421</v>
      </c>
      <c r="V218" s="160">
        <f t="shared" si="150"/>
        <v>2.5132688311540084E-3</v>
      </c>
      <c r="W218" s="98" t="str">
        <f t="shared" si="141"/>
        <v>1-0.0065268545434691i</v>
      </c>
      <c r="X218" s="160">
        <f t="shared" si="151"/>
        <v>1.0000212996882774</v>
      </c>
      <c r="Y218" s="160">
        <f t="shared" si="152"/>
        <v>-6.5267618648727774E-3</v>
      </c>
      <c r="Z218" s="98" t="str">
        <f t="shared" si="142"/>
        <v>0.999979338842975+0.00748176002439053i</v>
      </c>
      <c r="AA218" s="160">
        <f t="shared" si="153"/>
        <v>1.0000073273961025</v>
      </c>
      <c r="AB218" s="160">
        <f t="shared" si="154"/>
        <v>7.481775003944164E-3</v>
      </c>
      <c r="AC218" s="171" t="str">
        <f t="shared" si="155"/>
        <v>1.95039386652929-3.14284479253958i</v>
      </c>
      <c r="AD218" s="190">
        <f t="shared" si="156"/>
        <v>11.361340202975676</v>
      </c>
      <c r="AE218" s="169">
        <f t="shared" si="157"/>
        <v>-58.176993752400122</v>
      </c>
      <c r="AF218" s="98" t="str">
        <f t="shared" si="143"/>
        <v>-0.0000816326530612245</v>
      </c>
      <c r="AG218" s="98" t="str">
        <f t="shared" si="144"/>
        <v>0.00013961237752553i</v>
      </c>
      <c r="AH218" s="98">
        <f t="shared" si="158"/>
        <v>1.3961237752552999E-4</v>
      </c>
      <c r="AI218" s="98">
        <f t="shared" si="159"/>
        <v>1.5707963267948966</v>
      </c>
      <c r="AJ218" s="98" t="str">
        <f t="shared" si="145"/>
        <v>1+0.0154653452214341i</v>
      </c>
      <c r="AK218" s="98">
        <f t="shared" si="160"/>
        <v>1.0001195813015651</v>
      </c>
      <c r="AL218" s="98">
        <f t="shared" si="161"/>
        <v>1.5464112413887694E-2</v>
      </c>
      <c r="AM218" s="98" t="str">
        <f t="shared" si="146"/>
        <v>1+1.56199986736485i</v>
      </c>
      <c r="AN218" s="98">
        <f t="shared" si="162"/>
        <v>1.8546815321363959</v>
      </c>
      <c r="AO218" s="98">
        <f t="shared" si="163"/>
        <v>1.0013377747026264</v>
      </c>
      <c r="AP218" s="168" t="str">
        <f t="shared" si="164"/>
        <v>-0.904056860953355+0.598690833740663i</v>
      </c>
      <c r="AQ218" s="98">
        <f t="shared" si="165"/>
        <v>0.70314810945450068</v>
      </c>
      <c r="AR218" s="169">
        <f t="shared" si="166"/>
        <v>146.48639998225059</v>
      </c>
      <c r="AS218" s="168" t="str">
        <f t="shared" si="167"/>
        <v>0.118325412565875+4.00899332768203i</v>
      </c>
      <c r="AT218" s="190">
        <f t="shared" si="168"/>
        <v>12.064488312430186</v>
      </c>
      <c r="AU218" s="169">
        <f t="shared" si="169"/>
        <v>88.309406229850467</v>
      </c>
      <c r="AV218" s="225"/>
      <c r="AX218">
        <f t="shared" si="170"/>
        <v>0</v>
      </c>
      <c r="AY218">
        <f t="shared" si="171"/>
        <v>0</v>
      </c>
    </row>
    <row r="219" spans="14:51" x14ac:dyDescent="0.2">
      <c r="N219" s="170">
        <v>1</v>
      </c>
      <c r="O219" s="199">
        <f>10^(3+(N219/100))</f>
        <v>1023.2929922807547</v>
      </c>
      <c r="P219" s="189" t="str">
        <f t="shared" si="138"/>
        <v>6.8875</v>
      </c>
      <c r="Q219" s="160" t="str">
        <f t="shared" si="139"/>
        <v>1+1.60738487350957i</v>
      </c>
      <c r="R219" s="160">
        <f t="shared" si="147"/>
        <v>1.8930626327692848</v>
      </c>
      <c r="S219" s="160">
        <f t="shared" si="148"/>
        <v>1.0142645489183457</v>
      </c>
      <c r="T219" s="160" t="str">
        <f t="shared" si="140"/>
        <v>1+0.00257181579761531i</v>
      </c>
      <c r="U219" s="160">
        <f t="shared" si="149"/>
        <v>1.0000033071127801</v>
      </c>
      <c r="V219" s="160">
        <f t="shared" si="150"/>
        <v>2.5718101274385084E-3</v>
      </c>
      <c r="W219" s="98" t="str">
        <f t="shared" si="141"/>
        <v>1-0.00667888451596773i</v>
      </c>
      <c r="X219" s="160">
        <f t="shared" si="151"/>
        <v>1.0000223035004656</v>
      </c>
      <c r="Y219" s="160">
        <f t="shared" si="152"/>
        <v>-6.6787852091822093E-3</v>
      </c>
      <c r="Z219" s="98" t="str">
        <f t="shared" si="142"/>
        <v>0.999978365112644+0.00765603260288511i</v>
      </c>
      <c r="AA219" s="160">
        <f t="shared" si="153"/>
        <v>1.000007672734851</v>
      </c>
      <c r="AB219" s="160">
        <f t="shared" si="154"/>
        <v>7.6560486537270989E-3</v>
      </c>
      <c r="AC219" s="171" t="str">
        <f t="shared" si="155"/>
        <v>1.88546670314941-3.11168806899961i</v>
      </c>
      <c r="AD219" s="190">
        <f t="shared" si="156"/>
        <v>11.218088381353752</v>
      </c>
      <c r="AE219" s="169">
        <f t="shared" si="157"/>
        <v>-58.787049577116129</v>
      </c>
      <c r="AF219" s="98" t="str">
        <f t="shared" si="143"/>
        <v>-0.0000816326530612245</v>
      </c>
      <c r="AG219" s="98" t="str">
        <f t="shared" si="144"/>
        <v>0.00014286436755753i</v>
      </c>
      <c r="AH219" s="98">
        <f t="shared" si="158"/>
        <v>1.4286436755752999E-4</v>
      </c>
      <c r="AI219" s="98">
        <f t="shared" si="159"/>
        <v>1.5707963267948966</v>
      </c>
      <c r="AJ219" s="98" t="str">
        <f t="shared" si="145"/>
        <v>1+0.0158255793882962i</v>
      </c>
      <c r="AK219" s="98">
        <f t="shared" si="160"/>
        <v>1.0001252166418839</v>
      </c>
      <c r="AL219" s="98">
        <f t="shared" si="161"/>
        <v>1.5824258420142821E-2</v>
      </c>
      <c r="AM219" s="98" t="str">
        <f t="shared" si="146"/>
        <v>1+1.59838351821791i</v>
      </c>
      <c r="AN219" s="98">
        <f t="shared" si="162"/>
        <v>1.885425647250685</v>
      </c>
      <c r="AO219" s="98">
        <f t="shared" si="163"/>
        <v>1.011742613442177</v>
      </c>
      <c r="AP219" s="168" t="str">
        <f t="shared" si="164"/>
        <v>-0.904046672921608+0.585706736481492i</v>
      </c>
      <c r="AQ219" s="98">
        <f t="shared" si="165"/>
        <v>0.64590042585861762</v>
      </c>
      <c r="AR219" s="169">
        <f t="shared" si="166"/>
        <v>147.06191848237407</v>
      </c>
      <c r="AS219" s="168" t="str">
        <f t="shared" si="167"/>
        <v>0.11798676395546+3.91744179539512i</v>
      </c>
      <c r="AT219" s="190">
        <f t="shared" si="168"/>
        <v>11.863988807212376</v>
      </c>
      <c r="AU219" s="169">
        <f t="shared" si="169"/>
        <v>88.274868905257932</v>
      </c>
      <c r="AV219" s="225"/>
      <c r="AX219">
        <f t="shared" si="170"/>
        <v>0</v>
      </c>
      <c r="AY219">
        <f t="shared" si="171"/>
        <v>0</v>
      </c>
    </row>
    <row r="220" spans="14:51" x14ac:dyDescent="0.2">
      <c r="N220" s="170">
        <v>2</v>
      </c>
      <c r="O220" s="199">
        <f t="shared" ref="O220:O283" si="172">10^(3+(N220/100))</f>
        <v>1047.1285480509</v>
      </c>
      <c r="P220" s="189" t="str">
        <f t="shared" si="138"/>
        <v>6.8875</v>
      </c>
      <c r="Q220" s="160" t="str">
        <f t="shared" si="139"/>
        <v>1+1.64482567696043i</v>
      </c>
      <c r="R220" s="160">
        <f t="shared" si="147"/>
        <v>1.9249549365084724</v>
      </c>
      <c r="S220" s="160">
        <f t="shared" si="148"/>
        <v>1.0245392039867751</v>
      </c>
      <c r="T220" s="160" t="str">
        <f t="shared" si="140"/>
        <v>1+0.00263172108313668i</v>
      </c>
      <c r="U220" s="160">
        <f t="shared" si="149"/>
        <v>1.0000034629719337</v>
      </c>
      <c r="V220" s="160">
        <f t="shared" si="150"/>
        <v>2.6317150074339091E-3</v>
      </c>
      <c r="W220" s="98" t="str">
        <f t="shared" si="141"/>
        <v>1-0.00683445572144222i</v>
      </c>
      <c r="X220" s="160">
        <f t="shared" si="151"/>
        <v>1.000023354619785</v>
      </c>
      <c r="Y220" s="160">
        <f t="shared" si="152"/>
        <v>-6.8343493124386097E-3</v>
      </c>
      <c r="Z220" s="98" t="str">
        <f t="shared" si="142"/>
        <v>0.999977345491815+0.00783436451120532i</v>
      </c>
      <c r="AA220" s="160">
        <f t="shared" si="153"/>
        <v>1.0000080343498001</v>
      </c>
      <c r="AB220" s="160">
        <f t="shared" si="154"/>
        <v>7.8343817099487244E-3</v>
      </c>
      <c r="AC220" s="171" t="str">
        <f t="shared" si="155"/>
        <v>1.82184733293278-3.07952577569456i</v>
      </c>
      <c r="AD220" s="190">
        <f t="shared" si="156"/>
        <v>11.072984042966391</v>
      </c>
      <c r="AE220" s="169">
        <f t="shared" si="157"/>
        <v>-59.391442549723287</v>
      </c>
      <c r="AF220" s="98" t="str">
        <f t="shared" si="143"/>
        <v>-0.0000816326530612245</v>
      </c>
      <c r="AG220" s="98" t="str">
        <f t="shared" si="144"/>
        <v>0.000146192106168243i</v>
      </c>
      <c r="AH220" s="98">
        <f t="shared" si="158"/>
        <v>1.4619210616824299E-4</v>
      </c>
      <c r="AI220" s="98">
        <f t="shared" si="159"/>
        <v>1.5707963267948966</v>
      </c>
      <c r="AJ220" s="98" t="str">
        <f t="shared" si="145"/>
        <v>1+0.0161942044868262i</v>
      </c>
      <c r="AK220" s="98">
        <f t="shared" si="160"/>
        <v>1.0001311175335768</v>
      </c>
      <c r="AL220" s="98">
        <f t="shared" si="161"/>
        <v>1.6192789053970223E-2</v>
      </c>
      <c r="AM220" s="98" t="str">
        <f t="shared" si="146"/>
        <v>1+1.63561465316945i</v>
      </c>
      <c r="AN220" s="98">
        <f t="shared" si="162"/>
        <v>1.917090319641362</v>
      </c>
      <c r="AO220" s="98">
        <f t="shared" si="163"/>
        <v>1.0220432003505695</v>
      </c>
      <c r="AP220" s="168" t="str">
        <f t="shared" si="164"/>
        <v>-0.904036004988833+0.573033173489488i</v>
      </c>
      <c r="AQ220" s="98">
        <f t="shared" si="165"/>
        <v>0.59051245341561498</v>
      </c>
      <c r="AR220" s="169">
        <f t="shared" si="166"/>
        <v>147.63098338879317</v>
      </c>
      <c r="AS220" s="168" t="str">
        <f t="shared" si="167"/>
        <v>0.11765484352482+3.82798113832288i</v>
      </c>
      <c r="AT220" s="190">
        <f t="shared" si="168"/>
        <v>11.663496496382013</v>
      </c>
      <c r="AU220" s="169">
        <f t="shared" si="169"/>
        <v>88.239540839069889</v>
      </c>
      <c r="AV220" s="225"/>
      <c r="AX220">
        <f t="shared" si="170"/>
        <v>0</v>
      </c>
      <c r="AY220">
        <f t="shared" si="171"/>
        <v>0</v>
      </c>
    </row>
    <row r="221" spans="14:51" x14ac:dyDescent="0.2">
      <c r="N221" s="170">
        <v>3</v>
      </c>
      <c r="O221" s="199">
        <f t="shared" si="172"/>
        <v>1071.5193052376069</v>
      </c>
      <c r="P221" s="189" t="str">
        <f t="shared" si="138"/>
        <v>6.8875</v>
      </c>
      <c r="Q221" s="160" t="str">
        <f t="shared" si="139"/>
        <v>1+1.68313858875705i</v>
      </c>
      <c r="R221" s="160">
        <f t="shared" si="147"/>
        <v>1.9577935307286809</v>
      </c>
      <c r="S221" s="160">
        <f t="shared" si="148"/>
        <v>1.034705556971492</v>
      </c>
      <c r="T221" s="160" t="str">
        <f t="shared" si="140"/>
        <v>1+0.00269302174201128i</v>
      </c>
      <c r="U221" s="160">
        <f t="shared" si="149"/>
        <v>1.0000036261764769</v>
      </c>
      <c r="V221" s="160">
        <f t="shared" si="150"/>
        <v>2.6930152317797434E-3</v>
      </c>
      <c r="W221" s="98" t="str">
        <f t="shared" si="141"/>
        <v>1-0.00699365064580492i</v>
      </c>
      <c r="X221" s="160">
        <f t="shared" si="151"/>
        <v>1.0000244552756474</v>
      </c>
      <c r="Y221" s="160">
        <f t="shared" si="152"/>
        <v>-6.9935366266538927E-3</v>
      </c>
      <c r="Z221" s="98" t="str">
        <f t="shared" si="142"/>
        <v>0.999976277817738+0.00801685030328944i</v>
      </c>
      <c r="AA221" s="160">
        <f t="shared" si="153"/>
        <v>1.0000084130081124</v>
      </c>
      <c r="AB221" s="160">
        <f t="shared" si="154"/>
        <v>8.0168687320260369E-3</v>
      </c>
      <c r="AC221" s="171" t="str">
        <f t="shared" si="155"/>
        <v>1.7595620358549-3.04642230972507i</v>
      </c>
      <c r="AD221" s="190">
        <f t="shared" si="156"/>
        <v>10.926065290686402</v>
      </c>
      <c r="AE221" s="169">
        <f t="shared" si="157"/>
        <v>-59.989995922087004</v>
      </c>
      <c r="AF221" s="98" t="str">
        <f t="shared" si="143"/>
        <v>-0.0000816326530612245</v>
      </c>
      <c r="AG221" s="98" t="str">
        <f t="shared" si="144"/>
        <v>0.000149597357768727i</v>
      </c>
      <c r="AH221" s="98">
        <f t="shared" si="158"/>
        <v>1.4959735776872701E-4</v>
      </c>
      <c r="AI221" s="98">
        <f t="shared" si="159"/>
        <v>1.5707963267948966</v>
      </c>
      <c r="AJ221" s="98" t="str">
        <f t="shared" si="145"/>
        <v>1+0.0165714159669308i</v>
      </c>
      <c r="AK221" s="98">
        <f t="shared" si="160"/>
        <v>1.0001372964884117</v>
      </c>
      <c r="AL221" s="98">
        <f t="shared" si="161"/>
        <v>1.656989931454499E-2</v>
      </c>
      <c r="AM221" s="98" t="str">
        <f t="shared" si="146"/>
        <v>1+1.67371301266001i</v>
      </c>
      <c r="AN221" s="98">
        <f t="shared" si="162"/>
        <v>1.9496961939613684</v>
      </c>
      <c r="AO221" s="98">
        <f t="shared" si="163"/>
        <v>1.0322362532417397</v>
      </c>
      <c r="AP221" s="168" t="str">
        <f t="shared" si="164"/>
        <v>-0.904024834561714+0.560663423987486i</v>
      </c>
      <c r="AQ221" s="98">
        <f t="shared" si="165"/>
        <v>0.53694618430468655</v>
      </c>
      <c r="AR221" s="169">
        <f t="shared" si="166"/>
        <v>148.1933954734688</v>
      </c>
      <c r="AS221" s="168" t="str">
        <f t="shared" si="167"/>
        <v>0.117329784717525+3.74056350029512i</v>
      </c>
      <c r="AT221" s="190">
        <f t="shared" si="168"/>
        <v>11.463011474991088</v>
      </c>
      <c r="AU221" s="169">
        <f t="shared" si="169"/>
        <v>88.203399551381807</v>
      </c>
      <c r="AV221" s="225"/>
      <c r="AX221">
        <f t="shared" si="170"/>
        <v>0</v>
      </c>
      <c r="AY221">
        <f t="shared" si="171"/>
        <v>0</v>
      </c>
    </row>
    <row r="222" spans="14:51" x14ac:dyDescent="0.2">
      <c r="N222" s="170">
        <v>4</v>
      </c>
      <c r="O222" s="199">
        <f t="shared" si="172"/>
        <v>1096.4781961431863</v>
      </c>
      <c r="P222" s="189" t="str">
        <f t="shared" si="138"/>
        <v>6.8875</v>
      </c>
      <c r="Q222" s="160" t="str">
        <f t="shared" si="139"/>
        <v>1+1.72234392291241i</v>
      </c>
      <c r="R222" s="160">
        <f t="shared" si="147"/>
        <v>1.9915995051197692</v>
      </c>
      <c r="S222" s="160">
        <f t="shared" si="148"/>
        <v>1.0447605917980469</v>
      </c>
      <c r="T222" s="160" t="str">
        <f t="shared" si="140"/>
        <v>1+0.00275575027665986i</v>
      </c>
      <c r="U222" s="160">
        <f t="shared" si="149"/>
        <v>1.0000037970725848</v>
      </c>
      <c r="V222" s="160">
        <f t="shared" si="150"/>
        <v>2.7557433008225172E-3</v>
      </c>
      <c r="W222" s="98" t="str">
        <f t="shared" si="141"/>
        <v>1-0.00715655369631195i</v>
      </c>
      <c r="X222" s="160">
        <f t="shared" si="151"/>
        <v>1.0000256078025243</v>
      </c>
      <c r="Y222" s="160">
        <f t="shared" si="152"/>
        <v>-7.1564315227594256E-3</v>
      </c>
      <c r="Z222" s="98" t="str">
        <f t="shared" si="142"/>
        <v>0.999975159825731+0.00820358673551992i</v>
      </c>
      <c r="AA222" s="160">
        <f t="shared" si="153"/>
        <v>1.0000088095131081</v>
      </c>
      <c r="AB222" s="160">
        <f t="shared" si="154"/>
        <v>8.2036064822119999E-3</v>
      </c>
      <c r="AC222" s="171" t="str">
        <f t="shared" si="155"/>
        <v>1.69863323362134-3.01244219623562i</v>
      </c>
      <c r="AD222" s="190">
        <f t="shared" si="156"/>
        <v>10.777370929899028</v>
      </c>
      <c r="AE222" s="169">
        <f t="shared" si="157"/>
        <v>-60.582545401905101</v>
      </c>
      <c r="AF222" s="98" t="str">
        <f t="shared" si="143"/>
        <v>-0.0000816326530612245</v>
      </c>
      <c r="AG222" s="98" t="str">
        <f t="shared" si="144"/>
        <v>0.000153081927868455i</v>
      </c>
      <c r="AH222" s="98">
        <f t="shared" si="158"/>
        <v>1.5308192786845501E-4</v>
      </c>
      <c r="AI222" s="98">
        <f t="shared" si="159"/>
        <v>1.5707963267948966</v>
      </c>
      <c r="AJ222" s="98" t="str">
        <f t="shared" si="145"/>
        <v>1+0.0169574138311297i</v>
      </c>
      <c r="AK222" s="98">
        <f t="shared" si="160"/>
        <v>1.0001437666075015</v>
      </c>
      <c r="AL222" s="98">
        <f t="shared" si="161"/>
        <v>1.6955788721435442E-2</v>
      </c>
      <c r="AM222" s="98" t="str">
        <f t="shared" si="146"/>
        <v>1+1.7126987969441i</v>
      </c>
      <c r="AN222" s="98">
        <f t="shared" si="162"/>
        <v>1.9832642711080557</v>
      </c>
      <c r="AO222" s="98">
        <f t="shared" si="163"/>
        <v>1.0423187038135107</v>
      </c>
      <c r="AP222" s="168" t="str">
        <f t="shared" si="164"/>
        <v>-0.904013137984449+0.54859092820662i</v>
      </c>
      <c r="AQ222" s="98">
        <f t="shared" si="165"/>
        <v>0.48516287662751467</v>
      </c>
      <c r="AR222" s="169">
        <f t="shared" si="166"/>
        <v>148.74896750400674</v>
      </c>
      <c r="AS222" s="168" t="str">
        <f t="shared" si="167"/>
        <v>0.117011700790988+3.65514210513067i</v>
      </c>
      <c r="AT222" s="190">
        <f t="shared" si="168"/>
        <v>11.262533806526536</v>
      </c>
      <c r="AU222" s="169">
        <f t="shared" si="169"/>
        <v>88.166422102101663</v>
      </c>
      <c r="AV222" s="225"/>
      <c r="AX222">
        <f t="shared" si="170"/>
        <v>0</v>
      </c>
      <c r="AY222">
        <f t="shared" si="171"/>
        <v>0</v>
      </c>
    </row>
    <row r="223" spans="14:51" x14ac:dyDescent="0.2">
      <c r="N223" s="170">
        <v>5</v>
      </c>
      <c r="O223" s="199">
        <f t="shared" si="172"/>
        <v>1122.0184543019636</v>
      </c>
      <c r="P223" s="189" t="str">
        <f t="shared" si="138"/>
        <v>6.8875</v>
      </c>
      <c r="Q223" s="160" t="str">
        <f t="shared" si="139"/>
        <v>1+1.76246246661361i</v>
      </c>
      <c r="R223" s="160">
        <f t="shared" si="147"/>
        <v>2.0263943215035249</v>
      </c>
      <c r="S223" s="160">
        <f t="shared" si="148"/>
        <v>1.0547015064075798</v>
      </c>
      <c r="T223" s="160" t="str">
        <f t="shared" si="140"/>
        <v>1+0.00281993994658178i</v>
      </c>
      <c r="U223" s="160">
        <f t="shared" si="149"/>
        <v>1.0000039760227468</v>
      </c>
      <c r="V223" s="160">
        <f t="shared" si="150"/>
        <v>2.8199324718390026E-3</v>
      </c>
      <c r="W223" s="98" t="str">
        <f t="shared" si="141"/>
        <v>1-0.00732325124631695i</v>
      </c>
      <c r="X223" s="160">
        <f t="shared" si="151"/>
        <v>1.0000268146448958</v>
      </c>
      <c r="Y223" s="160">
        <f t="shared" si="152"/>
        <v>-7.323120335186414E-3</v>
      </c>
      <c r="Z223" s="98" t="str">
        <f t="shared" si="142"/>
        <v>0.999973989144384+0.00839467281802488i</v>
      </c>
      <c r="AA223" s="160">
        <f t="shared" si="153"/>
        <v>1.0000092247059795</v>
      </c>
      <c r="AB223" s="160">
        <f t="shared" si="154"/>
        <v>8.3946939769249957E-3</v>
      </c>
      <c r="AC223" s="171" t="str">
        <f t="shared" si="155"/>
        <v>1.63907956996814-2.97764983578376i</v>
      </c>
      <c r="AD223" s="190">
        <f t="shared" si="156"/>
        <v>10.626940358429744</v>
      </c>
      <c r="AE223" s="169">
        <f t="shared" si="157"/>
        <v>-61.168939157350479</v>
      </c>
      <c r="AF223" s="98" t="str">
        <f t="shared" si="143"/>
        <v>-0.0000816326530612245</v>
      </c>
      <c r="AG223" s="98" t="str">
        <f t="shared" si="144"/>
        <v>0.000156647664032618i</v>
      </c>
      <c r="AH223" s="98">
        <f t="shared" si="158"/>
        <v>1.56647664032618E-4</v>
      </c>
      <c r="AI223" s="98">
        <f t="shared" si="159"/>
        <v>1.5707963267948966</v>
      </c>
      <c r="AJ223" s="98" t="str">
        <f t="shared" si="145"/>
        <v>1+0.0173524027405998i</v>
      </c>
      <c r="AK223" s="98">
        <f t="shared" si="160"/>
        <v>1.0001505416090479</v>
      </c>
      <c r="AL223" s="98">
        <f t="shared" si="161"/>
        <v>1.7350661418344914E-2</v>
      </c>
      <c r="AM223" s="98" t="str">
        <f t="shared" si="146"/>
        <v>1+1.75259267680058i</v>
      </c>
      <c r="AN223" s="98">
        <f t="shared" si="162"/>
        <v>2.0178159209340736</v>
      </c>
      <c r="AO223" s="98">
        <f t="shared" si="163"/>
        <v>1.0522876978556912</v>
      </c>
      <c r="AP223" s="168" t="str">
        <f t="shared" si="164"/>
        <v>-0.904000890488882+0.536809283902718i</v>
      </c>
      <c r="AQ223" s="98">
        <f t="shared" si="165"/>
        <v>0.4351231648235015</v>
      </c>
      <c r="AR223" s="169">
        <f t="shared" si="166"/>
        <v>149.29752424963698</v>
      </c>
      <c r="AS223" s="168" t="str">
        <f t="shared" si="167"/>
        <v>0.116700685226794+3.57167123332676i</v>
      </c>
      <c r="AT223" s="190">
        <f t="shared" si="168"/>
        <v>11.062063523253233</v>
      </c>
      <c r="AU223" s="169">
        <f t="shared" si="169"/>
        <v>88.128585092286514</v>
      </c>
      <c r="AV223" s="225"/>
      <c r="AX223">
        <f t="shared" si="170"/>
        <v>0</v>
      </c>
      <c r="AY223">
        <f t="shared" si="171"/>
        <v>0</v>
      </c>
    </row>
    <row r="224" spans="14:51" x14ac:dyDescent="0.2">
      <c r="N224" s="170">
        <v>6</v>
      </c>
      <c r="O224" s="199">
        <f t="shared" si="172"/>
        <v>1148.1536214968839</v>
      </c>
      <c r="P224" s="189" t="str">
        <f t="shared" si="138"/>
        <v>6.8875</v>
      </c>
      <c r="Q224" s="160" t="str">
        <f t="shared" si="139"/>
        <v>1+1.80351549124356i</v>
      </c>
      <c r="R224" s="160">
        <f t="shared" si="147"/>
        <v>2.0621998271640654</v>
      </c>
      <c r="S224" s="160">
        <f t="shared" si="148"/>
        <v>1.0645257119429401</v>
      </c>
      <c r="T224" s="160" t="str">
        <f t="shared" si="140"/>
        <v>1+0.0028856247859897i</v>
      </c>
      <c r="U224" s="160">
        <f t="shared" si="149"/>
        <v>1.0000041634065358</v>
      </c>
      <c r="V224" s="160">
        <f t="shared" si="150"/>
        <v>2.885616776660313E-3</v>
      </c>
      <c r="W224" s="98" t="str">
        <f t="shared" si="141"/>
        <v>1-0.00749383168106743i</v>
      </c>
      <c r="X224" s="160">
        <f t="shared" si="151"/>
        <v>1.0000280783624349</v>
      </c>
      <c r="Y224" s="160">
        <f t="shared" si="152"/>
        <v>-7.4936914074765068E-3</v>
      </c>
      <c r="Z224" s="98" t="str">
        <f t="shared" si="142"/>
        <v>0.999972763290526+0.00859020986717459i</v>
      </c>
      <c r="AA224" s="160">
        <f t="shared" si="153"/>
        <v>1.0000096594675736</v>
      </c>
      <c r="AB224" s="160">
        <f t="shared" si="154"/>
        <v>8.5902325392753481E-3</v>
      </c>
      <c r="AC224" s="171" t="str">
        <f t="shared" si="155"/>
        <v>1.5809160081319-2.94210926525967i</v>
      </c>
      <c r="AD224" s="190">
        <f t="shared" si="156"/>
        <v>10.47481345904008</v>
      </c>
      <c r="AE224" s="169">
        <f t="shared" si="157"/>
        <v>-61.749037775053132</v>
      </c>
      <c r="AF224" s="98" t="str">
        <f t="shared" si="143"/>
        <v>-0.0000816326530612245</v>
      </c>
      <c r="AG224" s="98" t="str">
        <f t="shared" si="144"/>
        <v>0.000160296456861728i</v>
      </c>
      <c r="AH224" s="98">
        <f t="shared" si="158"/>
        <v>1.6029645686172801E-4</v>
      </c>
      <c r="AI224" s="98">
        <f t="shared" si="159"/>
        <v>1.5707963267948966</v>
      </c>
      <c r="AJ224" s="98" t="str">
        <f t="shared" si="145"/>
        <v>1+0.0177565921236891i</v>
      </c>
      <c r="AK224" s="98">
        <f t="shared" si="160"/>
        <v>1.0001576358573918</v>
      </c>
      <c r="AL224" s="98">
        <f t="shared" si="161"/>
        <v>1.7754726279158927E-2</v>
      </c>
      <c r="AM224" s="98" t="str">
        <f t="shared" si="146"/>
        <v>1+1.7934158044926i</v>
      </c>
      <c r="AN224" s="98">
        <f t="shared" si="162"/>
        <v>2.0533728954585526</v>
      </c>
      <c r="AO224" s="98">
        <f t="shared" si="163"/>
        <v>1.062140594631088</v>
      </c>
      <c r="AP224" s="168" t="str">
        <f t="shared" si="164"/>
        <v>-0.90398806614231+0.525312242955813i</v>
      </c>
      <c r="AQ224" s="98">
        <f t="shared" si="165"/>
        <v>0.38678716762942744</v>
      </c>
      <c r="AR224" s="169">
        <f t="shared" si="166"/>
        <v>149.83890243967116</v>
      </c>
      <c r="AS224" s="168" t="str">
        <f t="shared" si="167"/>
        <v>0.11639681223006+3.49010619923798i</v>
      </c>
      <c r="AT224" s="190">
        <f t="shared" si="168"/>
        <v>10.861600626669503</v>
      </c>
      <c r="AU224" s="169">
        <f t="shared" si="169"/>
        <v>88.089864664618005</v>
      </c>
      <c r="AV224" s="225"/>
      <c r="AX224">
        <f t="shared" si="170"/>
        <v>0</v>
      </c>
      <c r="AY224">
        <f t="shared" si="171"/>
        <v>0</v>
      </c>
    </row>
    <row r="225" spans="14:51" x14ac:dyDescent="0.2">
      <c r="N225" s="170">
        <v>7</v>
      </c>
      <c r="O225" s="199">
        <f t="shared" si="172"/>
        <v>1174.8975549395295</v>
      </c>
      <c r="P225" s="189" t="str">
        <f t="shared" si="138"/>
        <v>6.8875</v>
      </c>
      <c r="Q225" s="160" t="str">
        <f t="shared" si="139"/>
        <v>1+1.84552476365932i</v>
      </c>
      <c r="R225" s="160">
        <f t="shared" si="147"/>
        <v>2.0990382686553835</v>
      </c>
      <c r="S225" s="160">
        <f t="shared" si="148"/>
        <v>1.0742308311653128</v>
      </c>
      <c r="T225" s="160" t="str">
        <f t="shared" si="140"/>
        <v>1+0.00295283962185491i</v>
      </c>
      <c r="U225" s="160">
        <f t="shared" si="149"/>
        <v>1.000004359621413</v>
      </c>
      <c r="V225" s="160">
        <f t="shared" si="150"/>
        <v>2.9528310397058709E-3</v>
      </c>
      <c r="W225" s="98" t="str">
        <f t="shared" si="141"/>
        <v>1-0.0076683854445678i</v>
      </c>
      <c r="X225" s="160">
        <f t="shared" si="151"/>
        <v>1.0000294016354352</v>
      </c>
      <c r="Y225" s="160">
        <f t="shared" si="152"/>
        <v>-7.66823513894578E-3</v>
      </c>
      <c r="Z225" s="98" t="str">
        <f t="shared" si="142"/>
        <v>0.999971479663954+0.00879030155930074i</v>
      </c>
      <c r="AA225" s="160">
        <f t="shared" si="153"/>
        <v>1.0000101147202569</v>
      </c>
      <c r="AB225" s="160">
        <f t="shared" si="154"/>
        <v>8.790325852816765E-3</v>
      </c>
      <c r="AC225" s="171" t="str">
        <f t="shared" si="155"/>
        <v>1.52415394368816-2.9058839334134i</v>
      </c>
      <c r="AD225" s="190">
        <f t="shared" si="156"/>
        <v>10.321030494960862</v>
      </c>
      <c r="AE225" s="169">
        <f t="shared" si="157"/>
        <v>-62.322714174099261</v>
      </c>
      <c r="AF225" s="98" t="str">
        <f t="shared" si="143"/>
        <v>-0.0000816326530612245</v>
      </c>
      <c r="AG225" s="98" t="str">
        <f t="shared" si="144"/>
        <v>0.00016403024099404i</v>
      </c>
      <c r="AH225" s="98">
        <f t="shared" si="158"/>
        <v>1.6403024099404E-4</v>
      </c>
      <c r="AI225" s="98">
        <f t="shared" si="159"/>
        <v>1.5707963267948966</v>
      </c>
      <c r="AJ225" s="98" t="str">
        <f t="shared" si="145"/>
        <v>1+0.0181701962869587i</v>
      </c>
      <c r="AK225" s="98">
        <f t="shared" si="160"/>
        <v>1.0001650643934263</v>
      </c>
      <c r="AL225" s="98">
        <f t="shared" si="161"/>
        <v>1.8168197016344222E-2</v>
      </c>
      <c r="AM225" s="98" t="str">
        <f t="shared" si="146"/>
        <v>1+1.83518982498283i</v>
      </c>
      <c r="AN225" s="98">
        <f t="shared" si="162"/>
        <v>2.0899573425600129</v>
      </c>
      <c r="AO225" s="98">
        <f t="shared" si="163"/>
        <v>1.0718749654753137</v>
      </c>
      <c r="AP225" s="168" t="str">
        <f t="shared" si="164"/>
        <v>-0.903974637792882+0.514093708050936i</v>
      </c>
      <c r="AQ225" s="98">
        <f t="shared" si="165"/>
        <v>0.34011459310140096</v>
      </c>
      <c r="AR225" s="169">
        <f t="shared" si="166"/>
        <v>150.37295067706754</v>
      </c>
      <c r="AS225" s="168" t="str">
        <f t="shared" si="167"/>
        <v>0.116100137308037+3.41040332872664i</v>
      </c>
      <c r="AT225" s="190">
        <f t="shared" si="168"/>
        <v>10.66114508806227</v>
      </c>
      <c r="AU225" s="169">
        <f t="shared" si="169"/>
        <v>88.050236502968289</v>
      </c>
      <c r="AV225" s="225"/>
      <c r="AX225">
        <f t="shared" si="170"/>
        <v>0</v>
      </c>
      <c r="AY225">
        <f t="shared" si="171"/>
        <v>0</v>
      </c>
    </row>
    <row r="226" spans="14:51" x14ac:dyDescent="0.2">
      <c r="N226" s="170">
        <v>8</v>
      </c>
      <c r="O226" s="199">
        <f t="shared" si="172"/>
        <v>1202.2644346174138</v>
      </c>
      <c r="P226" s="189" t="str">
        <f t="shared" si="138"/>
        <v>6.8875</v>
      </c>
      <c r="Q226" s="160" t="str">
        <f t="shared" si="139"/>
        <v>1+1.88851255773318i</v>
      </c>
      <c r="R226" s="160">
        <f t="shared" si="147"/>
        <v>2.1369323060677234</v>
      </c>
      <c r="S226" s="160">
        <f t="shared" si="148"/>
        <v>1.0838146961513078</v>
      </c>
      <c r="T226" s="160" t="str">
        <f t="shared" si="140"/>
        <v>1+0.00302162009237308i</v>
      </c>
      <c r="U226" s="160">
        <f t="shared" si="149"/>
        <v>1.0000045650835714</v>
      </c>
      <c r="V226" s="160">
        <f t="shared" si="150"/>
        <v>3.0216108964369712E-3</v>
      </c>
      <c r="W226" s="98" t="str">
        <f t="shared" si="141"/>
        <v>1-0.00784700508753398i</v>
      </c>
      <c r="X226" s="160">
        <f t="shared" si="151"/>
        <v>1.0000307872704939</v>
      </c>
      <c r="Y226" s="160">
        <f t="shared" si="152"/>
        <v>-7.8468440324260917E-3</v>
      </c>
      <c r="Z226" s="98" t="str">
        <f t="shared" si="142"/>
        <v>0.999970135541927+0.00899505398566705i</v>
      </c>
      <c r="AA226" s="160">
        <f t="shared" si="153"/>
        <v>1.0000105914298834</v>
      </c>
      <c r="AB226" s="160">
        <f t="shared" si="154"/>
        <v>8.9950800165513531E-3</v>
      </c>
      <c r="AC226" s="171" t="str">
        <f t="shared" si="155"/>
        <v>1.46880133092293-2.86903649182259i</v>
      </c>
      <c r="AD226" s="190">
        <f t="shared" si="156"/>
        <v>10.165632008879452</v>
      </c>
      <c r="AE226" s="169">
        <f t="shared" si="157"/>
        <v>-62.88985347891348</v>
      </c>
      <c r="AF226" s="98" t="str">
        <f t="shared" si="143"/>
        <v>-0.0000816326530612245</v>
      </c>
      <c r="AG226" s="98" t="str">
        <f t="shared" si="144"/>
        <v>0.000167850996131325i</v>
      </c>
      <c r="AH226" s="98">
        <f t="shared" si="158"/>
        <v>1.6785099613132501E-4</v>
      </c>
      <c r="AI226" s="98">
        <f t="shared" si="159"/>
        <v>1.5707963267948966</v>
      </c>
      <c r="AJ226" s="98" t="str">
        <f t="shared" si="145"/>
        <v>1+0.0185934345288106i</v>
      </c>
      <c r="AK226" s="98">
        <f t="shared" si="160"/>
        <v>1.0001728429664432</v>
      </c>
      <c r="AL226" s="98">
        <f t="shared" si="161"/>
        <v>1.8591292291744922E-2</v>
      </c>
      <c r="AM226" s="98" t="str">
        <f t="shared" si="146"/>
        <v>1+1.87793688740987i</v>
      </c>
      <c r="AN226" s="98">
        <f t="shared" si="162"/>
        <v>2.1275918201324875</v>
      </c>
      <c r="AO226" s="98">
        <f t="shared" si="163"/>
        <v>1.0814885916646104</v>
      </c>
      <c r="AP226" s="168" t="str">
        <f t="shared" si="164"/>
        <v>-0.903960577012425+0.503147729438421i</v>
      </c>
      <c r="AQ226" s="98">
        <f t="shared" si="165"/>
        <v>0.29506484026883273</v>
      </c>
      <c r="AR226" s="169">
        <f t="shared" si="166"/>
        <v>150.89952930991845</v>
      </c>
      <c r="AS226" s="168" t="str">
        <f t="shared" si="167"/>
        <v>0.1158106979188+3.33251993726766i</v>
      </c>
      <c r="AT226" s="190">
        <f t="shared" si="168"/>
        <v>10.460696849148297</v>
      </c>
      <c r="AU226" s="169">
        <f t="shared" si="169"/>
        <v>88.009675831004955</v>
      </c>
      <c r="AV226" s="225"/>
      <c r="AX226">
        <f t="shared" si="170"/>
        <v>0</v>
      </c>
      <c r="AY226">
        <f t="shared" si="171"/>
        <v>0</v>
      </c>
    </row>
    <row r="227" spans="14:51" x14ac:dyDescent="0.2">
      <c r="N227" s="170">
        <v>9</v>
      </c>
      <c r="O227" s="199">
        <f t="shared" si="172"/>
        <v>1230.2687708123824</v>
      </c>
      <c r="P227" s="189" t="str">
        <f t="shared" si="138"/>
        <v>6.8875</v>
      </c>
      <c r="Q227" s="160" t="str">
        <f t="shared" si="139"/>
        <v>1+1.93250166616256i</v>
      </c>
      <c r="R227" s="160">
        <f t="shared" si="147"/>
        <v>2.1759050277346828</v>
      </c>
      <c r="S227" s="160">
        <f t="shared" si="148"/>
        <v>1.0932753453228166</v>
      </c>
      <c r="T227" s="160" t="str">
        <f t="shared" si="140"/>
        <v>1+0.0030920026658601i</v>
      </c>
      <c r="U227" s="160">
        <f t="shared" si="149"/>
        <v>1.0000047802288177</v>
      </c>
      <c r="V227" s="160">
        <f t="shared" si="150"/>
        <v>3.0919928122395738E-3</v>
      </c>
      <c r="W227" s="98" t="str">
        <f t="shared" si="141"/>
        <v>1-0.00802978531646494i</v>
      </c>
      <c r="X227" s="160">
        <f t="shared" si="151"/>
        <v>1.0000322382064633</v>
      </c>
      <c r="Y227" s="160">
        <f t="shared" si="152"/>
        <v>-8.0296127431080961E-3</v>
      </c>
      <c r="Z227" s="98" t="str">
        <f t="shared" si="142"/>
        <v>0.999968728073379+0.00920457570872015i</v>
      </c>
      <c r="AA227" s="160">
        <f t="shared" si="153"/>
        <v>1.0000110906078337</v>
      </c>
      <c r="AB227" s="160">
        <f t="shared" si="154"/>
        <v>9.204603601217486E-3</v>
      </c>
      <c r="AC227" s="171" t="str">
        <f t="shared" si="155"/>
        <v>1.41486282089623-2.83162860191551i</v>
      </c>
      <c r="AD227" s="190">
        <f t="shared" si="156"/>
        <v>10.008658725744649</v>
      </c>
      <c r="AE227" s="169">
        <f t="shared" si="157"/>
        <v>-63.450352854024146</v>
      </c>
      <c r="AF227" s="98" t="str">
        <f t="shared" si="143"/>
        <v>-0.0000816326530612245</v>
      </c>
      <c r="AG227" s="98" t="str">
        <f t="shared" si="144"/>
        <v>0.000171760748088529i</v>
      </c>
      <c r="AH227" s="98">
        <f t="shared" si="158"/>
        <v>1.71760748088529E-4</v>
      </c>
      <c r="AI227" s="98">
        <f t="shared" si="159"/>
        <v>1.5707963267948966</v>
      </c>
      <c r="AJ227" s="98" t="str">
        <f t="shared" si="145"/>
        <v>1+0.0190265312557629i</v>
      </c>
      <c r="AK227" s="98">
        <f t="shared" si="160"/>
        <v>1.000180988067473</v>
      </c>
      <c r="AL227" s="98">
        <f t="shared" si="161"/>
        <v>1.9024235829823904E-2</v>
      </c>
      <c r="AM227" s="98" t="str">
        <f t="shared" si="146"/>
        <v>1+1.92167965683205i</v>
      </c>
      <c r="AN227" s="98">
        <f t="shared" si="162"/>
        <v>2.1662993106868096</v>
      </c>
      <c r="AO227" s="98">
        <f t="shared" si="163"/>
        <v>1.0909794616035171</v>
      </c>
      <c r="AP227" s="168" t="str">
        <f t="shared" si="164"/>
        <v>-0.903945854036612+0.492468501771985i</v>
      </c>
      <c r="AQ227" s="98">
        <f t="shared" si="165"/>
        <v>0.25159709704359201</v>
      </c>
      <c r="AR227" s="169">
        <f t="shared" si="166"/>
        <v>151.41851026382594</v>
      </c>
      <c r="AS227" s="168" t="str">
        <f t="shared" si="167"/>
        <v>0.115528514180339+3.25641430849266i</v>
      </c>
      <c r="AT227" s="190">
        <f t="shared" si="168"/>
        <v>10.260255822788229</v>
      </c>
      <c r="AU227" s="169">
        <f t="shared" si="169"/>
        <v>87.968157409801819</v>
      </c>
      <c r="AV227" s="225"/>
      <c r="AX227">
        <f t="shared" si="170"/>
        <v>0</v>
      </c>
      <c r="AY227">
        <f t="shared" si="171"/>
        <v>0</v>
      </c>
    </row>
    <row r="228" spans="14:51" x14ac:dyDescent="0.2">
      <c r="N228" s="170">
        <v>10</v>
      </c>
      <c r="O228" s="199">
        <f t="shared" si="172"/>
        <v>1258.925411794168</v>
      </c>
      <c r="P228" s="189" t="str">
        <f t="shared" si="138"/>
        <v>6.8875</v>
      </c>
      <c r="Q228" s="160" t="str">
        <f t="shared" si="139"/>
        <v>1+1.97751541255503i</v>
      </c>
      <c r="R228" s="160">
        <f t="shared" si="147"/>
        <v>2.2159799653635615</v>
      </c>
      <c r="S228" s="160">
        <f t="shared" si="148"/>
        <v>1.1026110198636696</v>
      </c>
      <c r="T228" s="160" t="str">
        <f t="shared" si="140"/>
        <v>1+0.00316402466008805i</v>
      </c>
      <c r="U228" s="160">
        <f t="shared" si="149"/>
        <v>1.0000050055134972</v>
      </c>
      <c r="V228" s="160">
        <f t="shared" si="150"/>
        <v>3.1640141017462839E-3</v>
      </c>
      <c r="W228" s="98" t="str">
        <f t="shared" si="141"/>
        <v>1-0.00821682304385747i</v>
      </c>
      <c r="X228" s="160">
        <f t="shared" si="151"/>
        <v>1.0000337575206819</v>
      </c>
      <c r="Y228" s="160">
        <f t="shared" si="152"/>
        <v>-8.2166381285111671E-3</v>
      </c>
      <c r="Z228" s="98" t="str">
        <f t="shared" si="142"/>
        <v>0.999967254272883+0.00941897781965099i</v>
      </c>
      <c r="AA228" s="160">
        <f t="shared" si="153"/>
        <v>1.0000116133131733</v>
      </c>
      <c r="AB228" s="160">
        <f t="shared" si="154"/>
        <v>9.4190077068906954E-3</v>
      </c>
      <c r="AC228" s="171" t="str">
        <f t="shared" si="155"/>
        <v>1.36233990937447-2.79372075845618i</v>
      </c>
      <c r="AD228" s="190">
        <f t="shared" si="156"/>
        <v>9.8501514596999051</v>
      </c>
      <c r="AE228" s="169">
        <f t="shared" si="157"/>
        <v>-64.00412130380964</v>
      </c>
      <c r="AF228" s="98" t="str">
        <f t="shared" si="143"/>
        <v>-0.0000816326530612245</v>
      </c>
      <c r="AG228" s="98" t="str">
        <f t="shared" si="144"/>
        <v>0.000175761569867891i</v>
      </c>
      <c r="AH228" s="98">
        <f t="shared" si="158"/>
        <v>1.7576156986789099E-4</v>
      </c>
      <c r="AI228" s="98">
        <f t="shared" si="159"/>
        <v>1.5707963267948966</v>
      </c>
      <c r="AJ228" s="98" t="str">
        <f t="shared" si="145"/>
        <v>1+0.0194697161014329i</v>
      </c>
      <c r="AK228" s="98">
        <f t="shared" si="160"/>
        <v>1.0001895169641952</v>
      </c>
      <c r="AL228" s="98">
        <f t="shared" si="161"/>
        <v>1.9467256533395469E-2</v>
      </c>
      <c r="AM228" s="98" t="str">
        <f t="shared" si="146"/>
        <v>1+1.96644132624473i</v>
      </c>
      <c r="AN228" s="98">
        <f t="shared" si="162"/>
        <v>2.2061032363792799</v>
      </c>
      <c r="AO228" s="98">
        <f t="shared" si="163"/>
        <v>1.1003457673860242</v>
      </c>
      <c r="AP228" s="168" t="str">
        <f t="shared" si="164"/>
        <v>-0.903930437702351+0.482050361022817i</v>
      </c>
      <c r="AQ228" s="98">
        <f t="shared" si="165"/>
        <v>0.20967043406000282</v>
      </c>
      <c r="AR228" s="169">
        <f t="shared" si="166"/>
        <v>151.92977683824094</v>
      </c>
      <c r="AS228" s="168" t="str">
        <f t="shared" si="167"/>
        <v>0.115253589630494+3.18204567315919i</v>
      </c>
      <c r="AT228" s="190">
        <f t="shared" si="168"/>
        <v>10.059821893759899</v>
      </c>
      <c r="AU228" s="169">
        <f t="shared" si="169"/>
        <v>87.925655534431286</v>
      </c>
      <c r="AV228" s="225"/>
      <c r="AX228">
        <f t="shared" si="170"/>
        <v>0</v>
      </c>
      <c r="AY228">
        <f t="shared" si="171"/>
        <v>0</v>
      </c>
    </row>
    <row r="229" spans="14:51" x14ac:dyDescent="0.2">
      <c r="N229" s="170">
        <v>11</v>
      </c>
      <c r="O229" s="199">
        <f t="shared" si="172"/>
        <v>1288.2495516931347</v>
      </c>
      <c r="P229" s="189" t="str">
        <f t="shared" si="138"/>
        <v>6.8875</v>
      </c>
      <c r="Q229" s="160" t="str">
        <f t="shared" si="139"/>
        <v>1+2.02357766379475i</v>
      </c>
      <c r="R229" s="160">
        <f t="shared" si="147"/>
        <v>2.2571811095720737</v>
      </c>
      <c r="S229" s="160">
        <f t="shared" si="148"/>
        <v>1.1118201595780983</v>
      </c>
      <c r="T229" s="160" t="str">
        <f t="shared" si="140"/>
        <v>1+0.0032377242620716i</v>
      </c>
      <c r="U229" s="160">
        <f t="shared" si="149"/>
        <v>1.0000052414154623</v>
      </c>
      <c r="V229" s="160">
        <f t="shared" si="150"/>
        <v>3.237712948607769E-3</v>
      </c>
      <c r="W229" s="98" t="str">
        <f t="shared" si="141"/>
        <v>1-0.00840821743959036i</v>
      </c>
      <c r="X229" s="160">
        <f t="shared" si="151"/>
        <v>1.0000353484354998</v>
      </c>
      <c r="Y229" s="160">
        <f t="shared" si="152"/>
        <v>-8.4080192996052235E-3</v>
      </c>
      <c r="Z229" s="98" t="str">
        <f t="shared" si="142"/>
        <v>0.999965711014309+0.00963837399729671i</v>
      </c>
      <c r="AA229" s="160">
        <f t="shared" si="153"/>
        <v>1.0000121606548913</v>
      </c>
      <c r="AB229" s="160">
        <f t="shared" si="154"/>
        <v>9.638406021927998E-3</v>
      </c>
      <c r="AC229" s="171" t="str">
        <f t="shared" si="155"/>
        <v>1.31123109284893-2.75537212970252i</v>
      </c>
      <c r="AD229" s="190">
        <f t="shared" si="156"/>
        <v>9.6901510254038463</v>
      </c>
      <c r="AE229" s="169">
        <f t="shared" si="157"/>
        <v>-64.551079440378487</v>
      </c>
      <c r="AF229" s="98" t="str">
        <f t="shared" si="143"/>
        <v>-0.0000816326530612245</v>
      </c>
      <c r="AG229" s="98" t="str">
        <f t="shared" si="144"/>
        <v>0.000179855582758077i</v>
      </c>
      <c r="AH229" s="98">
        <f t="shared" si="158"/>
        <v>1.7985558275807699E-4</v>
      </c>
      <c r="AI229" s="98">
        <f t="shared" si="159"/>
        <v>1.5707963267948966</v>
      </c>
      <c r="AJ229" s="98" t="str">
        <f t="shared" si="145"/>
        <v>1+0.0199232240482921i</v>
      </c>
      <c r="AK229" s="98">
        <f t="shared" si="160"/>
        <v>1.000198447737487</v>
      </c>
      <c r="AL229" s="98">
        <f t="shared" si="161"/>
        <v>1.9920588601897889E-2</v>
      </c>
      <c r="AM229" s="98" t="str">
        <f t="shared" si="146"/>
        <v>1+2.0122456288775i</v>
      </c>
      <c r="AN229" s="98">
        <f t="shared" si="162"/>
        <v>2.2470274744507694</v>
      </c>
      <c r="AO229" s="98">
        <f t="shared" si="163"/>
        <v>1.1095859007850675</v>
      </c>
      <c r="AP229" s="168" t="str">
        <f t="shared" si="164"/>
        <v>-0.903914295382221+0.471887781468058i</v>
      </c>
      <c r="AQ229" s="98">
        <f t="shared" si="165"/>
        <v>0.16924389417371535</v>
      </c>
      <c r="AR229" s="169">
        <f t="shared" si="166"/>
        <v>152.43322346990095</v>
      </c>
      <c r="AS229" s="168" t="str">
        <f t="shared" si="167"/>
        <v>0.11498591202844+3.10937418853228i</v>
      </c>
      <c r="AT229" s="190">
        <f t="shared" si="168"/>
        <v>9.8593949195775537</v>
      </c>
      <c r="AU229" s="169">
        <f t="shared" si="169"/>
        <v>87.882144029522465</v>
      </c>
      <c r="AV229" s="225"/>
      <c r="AX229">
        <f t="shared" si="170"/>
        <v>0</v>
      </c>
      <c r="AY229">
        <f t="shared" si="171"/>
        <v>0</v>
      </c>
    </row>
    <row r="230" spans="14:51" x14ac:dyDescent="0.2">
      <c r="N230" s="170">
        <v>12</v>
      </c>
      <c r="O230" s="199">
        <f t="shared" si="172"/>
        <v>1318.2567385564089</v>
      </c>
      <c r="P230" s="189" t="str">
        <f t="shared" si="138"/>
        <v>6.8875</v>
      </c>
      <c r="Q230" s="160" t="str">
        <f t="shared" si="139"/>
        <v>1+2.07071284269703i</v>
      </c>
      <c r="R230" s="160">
        <f t="shared" si="147"/>
        <v>2.299532925815678</v>
      </c>
      <c r="S230" s="160">
        <f t="shared" si="148"/>
        <v>1.1209013982464739</v>
      </c>
      <c r="T230" s="160" t="str">
        <f t="shared" si="140"/>
        <v>1+0.00331314054831524i</v>
      </c>
      <c r="U230" s="160">
        <f t="shared" si="149"/>
        <v>1.0000054884350851</v>
      </c>
      <c r="V230" s="160">
        <f t="shared" si="150"/>
        <v>3.3131284257239295E-3</v>
      </c>
      <c r="W230" s="98" t="str">
        <f t="shared" si="141"/>
        <v>1-0.00860406998350565i</v>
      </c>
      <c r="X230" s="160">
        <f t="shared" si="151"/>
        <v>1.0000370143251105</v>
      </c>
      <c r="Y230" s="160">
        <f t="shared" si="152"/>
        <v>-8.6038576731108513E-3</v>
      </c>
      <c r="Z230" s="98" t="str">
        <f t="shared" si="142"/>
        <v>0.999964095024199+0.00986288056841477i</v>
      </c>
      <c r="AA230" s="160">
        <f t="shared" si="153"/>
        <v>1.0000127337942613</v>
      </c>
      <c r="AB230" s="160">
        <f t="shared" si="154"/>
        <v>9.8629148832873898E-3</v>
      </c>
      <c r="AC230" s="171" t="str">
        <f t="shared" si="155"/>
        <v>1.26153203091648-2.71664041426704i</v>
      </c>
      <c r="AD230" s="190">
        <f t="shared" si="156"/>
        <v>9.5286981539463973</v>
      </c>
      <c r="AE230" s="169">
        <f t="shared" si="157"/>
        <v>-65.091159222766578</v>
      </c>
      <c r="AF230" s="98" t="str">
        <f t="shared" si="143"/>
        <v>-0.0000816326530612245</v>
      </c>
      <c r="AG230" s="98" t="str">
        <f t="shared" si="144"/>
        <v>0.000184044957458912i</v>
      </c>
      <c r="AH230" s="98">
        <f t="shared" si="158"/>
        <v>1.84044957458912E-4</v>
      </c>
      <c r="AI230" s="98">
        <f t="shared" si="159"/>
        <v>1.5707963267948966</v>
      </c>
      <c r="AJ230" s="98" t="str">
        <f t="shared" si="145"/>
        <v>1+0.0203872955522567i</v>
      </c>
      <c r="AK230" s="98">
        <f t="shared" si="160"/>
        <v>1.000207799319689</v>
      </c>
      <c r="AL230" s="98">
        <f t="shared" si="161"/>
        <v>2.038447165225285E-2</v>
      </c>
      <c r="AM230" s="98" t="str">
        <f t="shared" si="146"/>
        <v>1+2.05911685077793i</v>
      </c>
      <c r="AN230" s="98">
        <f t="shared" si="162"/>
        <v>2.2890963730602563</v>
      </c>
      <c r="AO230" s="98">
        <f t="shared" si="163"/>
        <v>1.1186984487257787</v>
      </c>
      <c r="AP230" s="168" t="str">
        <f t="shared" si="164"/>
        <v>-0.903897392915902+0.461975372752019i</v>
      </c>
      <c r="AQ230" s="98">
        <f t="shared" si="165"/>
        <v>0.13027657739904158</v>
      </c>
      <c r="AR230" s="169">
        <f t="shared" si="166"/>
        <v>152.92875546654136</v>
      </c>
      <c r="AS230" s="168" t="str">
        <f t="shared" si="167"/>
        <v>0.114725454188906+3.03836091816721i</v>
      </c>
      <c r="AT230" s="190">
        <f t="shared" si="168"/>
        <v>9.6589747313454524</v>
      </c>
      <c r="AU230" s="169">
        <f t="shared" si="169"/>
        <v>87.837596243774783</v>
      </c>
      <c r="AV230" s="225"/>
      <c r="AX230">
        <f t="shared" si="170"/>
        <v>0</v>
      </c>
      <c r="AY230">
        <f t="shared" si="171"/>
        <v>0</v>
      </c>
    </row>
    <row r="231" spans="14:51" x14ac:dyDescent="0.2">
      <c r="N231" s="170">
        <v>13</v>
      </c>
      <c r="O231" s="199">
        <f t="shared" si="172"/>
        <v>1348.9628825916541</v>
      </c>
      <c r="P231" s="189" t="str">
        <f t="shared" si="138"/>
        <v>6.8875</v>
      </c>
      <c r="Q231" s="160" t="str">
        <f t="shared" si="139"/>
        <v>1+2.11894594095763i</v>
      </c>
      <c r="R231" s="160">
        <f t="shared" si="147"/>
        <v>2.3430603706906097</v>
      </c>
      <c r="S231" s="160">
        <f t="shared" si="148"/>
        <v>1.1298535585335421</v>
      </c>
      <c r="T231" s="160" t="str">
        <f t="shared" si="140"/>
        <v>1+0.0033903135055322i</v>
      </c>
      <c r="U231" s="160">
        <f t="shared" si="149"/>
        <v>1.0000057470963184</v>
      </c>
      <c r="V231" s="160">
        <f t="shared" si="150"/>
        <v>3.3903005159456132E-3</v>
      </c>
      <c r="W231" s="98" t="str">
        <f t="shared" si="141"/>
        <v>1-0.00880448451921451i</v>
      </c>
      <c r="X231" s="160">
        <f t="shared" si="151"/>
        <v>1.0000387587227053</v>
      </c>
      <c r="Y231" s="160">
        <f t="shared" si="152"/>
        <v>-8.8042570250039757E-3</v>
      </c>
      <c r="Z231" s="98" t="str">
        <f t="shared" si="142"/>
        <v>0.999962402874822+0.0100926165693608i</v>
      </c>
      <c r="AA231" s="160">
        <f t="shared" si="153"/>
        <v>1.0000133339473047</v>
      </c>
      <c r="AB231" s="160">
        <f t="shared" si="154"/>
        <v>1.0092653338254372E-2</v>
      </c>
      <c r="AC231" s="171" t="str">
        <f t="shared" si="155"/>
        <v>1.21323571337479-2.67758171454314i</v>
      </c>
      <c r="AD231" s="190">
        <f t="shared" si="156"/>
        <v>9.3658334135192494</v>
      </c>
      <c r="AE231" s="169">
        <f t="shared" si="157"/>
        <v>-65.6243036706162</v>
      </c>
      <c r="AF231" s="98" t="str">
        <f t="shared" si="143"/>
        <v>-0.0000816326530612245</v>
      </c>
      <c r="AG231" s="98" t="str">
        <f t="shared" si="144"/>
        <v>0.000188331915232314i</v>
      </c>
      <c r="AH231" s="98">
        <f t="shared" si="158"/>
        <v>1.88331915232314E-4</v>
      </c>
      <c r="AI231" s="98">
        <f t="shared" si="159"/>
        <v>1.5707963267948966</v>
      </c>
      <c r="AJ231" s="98" t="str">
        <f t="shared" si="145"/>
        <v>1+0.0208621766701808i</v>
      </c>
      <c r="AK231" s="98">
        <f t="shared" si="160"/>
        <v>1.0002175915346709</v>
      </c>
      <c r="AL231" s="98">
        <f t="shared" si="161"/>
        <v>2.0859150842361323E-2</v>
      </c>
      <c r="AM231" s="98" t="str">
        <f t="shared" si="146"/>
        <v>1+2.10707984368826i</v>
      </c>
      <c r="AN231" s="98">
        <f t="shared" si="162"/>
        <v>2.3323347674974411</v>
      </c>
      <c r="AO231" s="98">
        <f t="shared" si="163"/>
        <v>1.1276821882977774</v>
      </c>
      <c r="AP231" s="168" t="str">
        <f t="shared" si="164"/>
        <v>-0.903879694538376+0.452307877018526i</v>
      </c>
      <c r="AQ231" s="98">
        <f t="shared" si="165"/>
        <v>9.2727721112324579E-2</v>
      </c>
      <c r="AR231" s="169">
        <f t="shared" si="166"/>
        <v>153.41628871404549</v>
      </c>
      <c r="AS231" s="168" t="str">
        <f t="shared" si="167"/>
        <v>0.114472174840379+2.9689678120824i</v>
      </c>
      <c r="AT231" s="190">
        <f t="shared" si="168"/>
        <v>9.4585611346315659</v>
      </c>
      <c r="AU231" s="169">
        <f t="shared" si="169"/>
        <v>87.791985043429307</v>
      </c>
      <c r="AV231" s="225"/>
      <c r="AX231">
        <f t="shared" si="170"/>
        <v>0</v>
      </c>
      <c r="AY231">
        <f t="shared" si="171"/>
        <v>0</v>
      </c>
    </row>
    <row r="232" spans="14:51" x14ac:dyDescent="0.2">
      <c r="N232" s="170">
        <v>14</v>
      </c>
      <c r="O232" s="199">
        <f t="shared" si="172"/>
        <v>1380.3842646028863</v>
      </c>
      <c r="P232" s="189" t="str">
        <f t="shared" si="138"/>
        <v>6.8875</v>
      </c>
      <c r="Q232" s="160" t="str">
        <f t="shared" si="139"/>
        <v>1+2.16830253240369i</v>
      </c>
      <c r="R232" s="160">
        <f t="shared" si="147"/>
        <v>2.387788908598969</v>
      </c>
      <c r="S232" s="160">
        <f t="shared" si="148"/>
        <v>1.1386756465037102</v>
      </c>
      <c r="T232" s="160" t="str">
        <f t="shared" si="140"/>
        <v>1+0.0034692840518459i</v>
      </c>
      <c r="U232" s="160">
        <f t="shared" si="149"/>
        <v>1.0000060179478083</v>
      </c>
      <c r="V232" s="160">
        <f t="shared" si="150"/>
        <v>3.4692701332576284E-3</v>
      </c>
      <c r="W232" s="98" t="str">
        <f t="shared" si="141"/>
        <v>1-0.00900956730915659i</v>
      </c>
      <c r="X232" s="160">
        <f t="shared" si="151"/>
        <v>1.0000405853279646</v>
      </c>
      <c r="Y232" s="160">
        <f t="shared" si="152"/>
        <v>-9.009323545252473E-3</v>
      </c>
      <c r="Z232" s="98" t="str">
        <f t="shared" si="142"/>
        <v>0.999960630976902+0.0103277038092036i</v>
      </c>
      <c r="AA232" s="160">
        <f t="shared" si="153"/>
        <v>1.0000139623873732</v>
      </c>
      <c r="AB232" s="160">
        <f t="shared" si="154"/>
        <v>1.0327743207609095E-2</v>
      </c>
      <c r="AC232" s="171" t="str">
        <f t="shared" si="155"/>
        <v>1.16633263047365-2.63825042641169i</v>
      </c>
      <c r="AD232" s="190">
        <f t="shared" si="156"/>
        <v>9.2015971349549766</v>
      </c>
      <c r="AE232" s="169">
        <f t="shared" si="157"/>
        <v>-66.150466555468228</v>
      </c>
      <c r="AF232" s="98" t="str">
        <f t="shared" si="143"/>
        <v>-0.0000816326530612245</v>
      </c>
      <c r="AG232" s="98" t="str">
        <f t="shared" si="144"/>
        <v>0.00019271872908004i</v>
      </c>
      <c r="AH232" s="98">
        <f t="shared" si="158"/>
        <v>1.9271872908004E-4</v>
      </c>
      <c r="AI232" s="98">
        <f t="shared" si="159"/>
        <v>1.5707963267948966</v>
      </c>
      <c r="AJ232" s="98" t="str">
        <f t="shared" si="145"/>
        <v>1+0.0213481191903191i</v>
      </c>
      <c r="AK232" s="98">
        <f t="shared" si="160"/>
        <v>1.0002278451397781</v>
      </c>
      <c r="AL232" s="98">
        <f t="shared" si="161"/>
        <v>2.1344876997283616E-2</v>
      </c>
      <c r="AM232" s="98" t="str">
        <f t="shared" si="146"/>
        <v>1+2.15616003822223i</v>
      </c>
      <c r="AN232" s="98">
        <f t="shared" si="162"/>
        <v>2.3767679967608299</v>
      </c>
      <c r="AO232" s="98">
        <f t="shared" si="163"/>
        <v>1.1365360813613405</v>
      </c>
      <c r="AP232" s="168" t="str">
        <f t="shared" si="164"/>
        <v>-0.903861162804849+0.442880166112828i</v>
      </c>
      <c r="AQ232" s="98">
        <f t="shared" si="165"/>
        <v>5.6556775397078263E-2</v>
      </c>
      <c r="AR232" s="169">
        <f t="shared" si="166"/>
        <v>153.89574936017164</v>
      </c>
      <c r="AS232" s="168" t="str">
        <f t="shared" si="167"/>
        <v>0.114226019499297+2.90115768731384i</v>
      </c>
      <c r="AT232" s="190">
        <f t="shared" si="168"/>
        <v>9.2581539103520534</v>
      </c>
      <c r="AU232" s="169">
        <f t="shared" si="169"/>
        <v>87.745282804703422</v>
      </c>
      <c r="AV232" s="225"/>
      <c r="AX232">
        <f t="shared" si="170"/>
        <v>0</v>
      </c>
      <c r="AY232">
        <f t="shared" si="171"/>
        <v>0</v>
      </c>
    </row>
    <row r="233" spans="14:51" x14ac:dyDescent="0.2">
      <c r="N233" s="170">
        <v>15</v>
      </c>
      <c r="O233" s="199">
        <f t="shared" si="172"/>
        <v>1412.5375446227545</v>
      </c>
      <c r="P233" s="189" t="str">
        <f t="shared" si="138"/>
        <v>6.8875</v>
      </c>
      <c r="Q233" s="160" t="str">
        <f t="shared" si="139"/>
        <v>1+2.2188087865533i</v>
      </c>
      <c r="R233" s="160">
        <f t="shared" si="147"/>
        <v>2.4337445287634707</v>
      </c>
      <c r="S233" s="160">
        <f t="shared" si="148"/>
        <v>1.1473668457967507</v>
      </c>
      <c r="T233" s="160" t="str">
        <f t="shared" si="140"/>
        <v>1+0.00355009405848529i</v>
      </c>
      <c r="U233" s="160">
        <f t="shared" si="149"/>
        <v>1.0000063015640572</v>
      </c>
      <c r="V233" s="160">
        <f t="shared" si="150"/>
        <v>3.5500791444543316E-3</v>
      </c>
      <c r="W233" s="98" t="str">
        <f t="shared" si="141"/>
        <v>1-0.00921942709094171i</v>
      </c>
      <c r="X233" s="160">
        <f t="shared" si="151"/>
        <v>1.0000424980149021</v>
      </c>
      <c r="Y233" s="160">
        <f t="shared" si="152"/>
        <v>-9.2191658938120171E-3</v>
      </c>
      <c r="Z233" s="98" t="str">
        <f t="shared" si="142"/>
        <v>0.999958775572005+0.0105682669343093i</v>
      </c>
      <c r="AA233" s="160">
        <f t="shared" si="153"/>
        <v>1.0000146204478504</v>
      </c>
      <c r="AB233" s="160">
        <f t="shared" si="154"/>
        <v>1.0568309150266384E-2</v>
      </c>
      <c r="AC233" s="171" t="str">
        <f t="shared" si="155"/>
        <v>1.12081094486461-2.59869914481006i</v>
      </c>
      <c r="AD233" s="190">
        <f t="shared" si="156"/>
        <v>9.0360293422043938</v>
      </c>
      <c r="AE233" s="169">
        <f t="shared" si="157"/>
        <v>-66.669612072722813</v>
      </c>
      <c r="AF233" s="98" t="str">
        <f t="shared" si="143"/>
        <v>-0.0000816326530612245</v>
      </c>
      <c r="AG233" s="98" t="str">
        <f t="shared" si="144"/>
        <v>0.000197207724948858i</v>
      </c>
      <c r="AH233" s="98">
        <f t="shared" si="158"/>
        <v>1.9720772494885799E-4</v>
      </c>
      <c r="AI233" s="98">
        <f t="shared" si="159"/>
        <v>1.5707963267948966</v>
      </c>
      <c r="AJ233" s="98" t="str">
        <f t="shared" si="145"/>
        <v>1+0.0218453807658278i</v>
      </c>
      <c r="AK233" s="98">
        <f t="shared" si="160"/>
        <v>1.0002385818697477</v>
      </c>
      <c r="AL233" s="98">
        <f t="shared" si="161"/>
        <v>2.1841906738152037E-2</v>
      </c>
      <c r="AM233" s="98" t="str">
        <f t="shared" si="146"/>
        <v>1+2.20638345734861i</v>
      </c>
      <c r="AN233" s="98">
        <f t="shared" si="162"/>
        <v>2.4224219204881723</v>
      </c>
      <c r="AO233" s="98">
        <f t="shared" si="163"/>
        <v>1.1452592688010634</v>
      </c>
      <c r="AP233" s="168" t="str">
        <f t="shared" si="164"/>
        <v>-0.903841758512065+0.433687238851549i</v>
      </c>
      <c r="AQ233" s="98">
        <f t="shared" si="165"/>
        <v>2.1723473448825668E-2</v>
      </c>
      <c r="AR233" s="169">
        <f t="shared" si="166"/>
        <v>154.36707347792517</v>
      </c>
      <c r="AS233" s="168" t="str">
        <f t="shared" si="167"/>
        <v>0.113986921352558+2.83489420884185i</v>
      </c>
      <c r="AT233" s="190">
        <f t="shared" si="168"/>
        <v>9.0577528156532132</v>
      </c>
      <c r="AU233" s="169">
        <f t="shared" si="169"/>
        <v>87.697461405202361</v>
      </c>
      <c r="AV233" s="225"/>
      <c r="AX233">
        <f t="shared" si="170"/>
        <v>0</v>
      </c>
      <c r="AY233">
        <f t="shared" si="171"/>
        <v>0</v>
      </c>
    </row>
    <row r="234" spans="14:51" x14ac:dyDescent="0.2">
      <c r="N234" s="170">
        <v>16</v>
      </c>
      <c r="O234" s="199">
        <f t="shared" si="172"/>
        <v>1445.4397707459289</v>
      </c>
      <c r="P234" s="189" t="str">
        <f t="shared" si="138"/>
        <v>6.8875</v>
      </c>
      <c r="Q234" s="160" t="str">
        <f t="shared" si="139"/>
        <v>1+2.27049148249096i</v>
      </c>
      <c r="R234" s="160">
        <f t="shared" si="147"/>
        <v>2.480953762580834</v>
      </c>
      <c r="S234" s="160">
        <f t="shared" si="148"/>
        <v>1.1559265115157247</v>
      </c>
      <c r="T234" s="160" t="str">
        <f t="shared" si="140"/>
        <v>1+0.00363278637198554i</v>
      </c>
      <c r="U234" s="160">
        <f t="shared" si="149"/>
        <v>1.0000065985466418</v>
      </c>
      <c r="V234" s="160">
        <f t="shared" si="150"/>
        <v>3.6327703913191442E-3</v>
      </c>
      <c r="W234" s="98" t="str">
        <f t="shared" si="141"/>
        <v>1-0.009434175135004i</v>
      </c>
      <c r="X234" s="160">
        <f t="shared" si="151"/>
        <v>1.0000445008400767</v>
      </c>
      <c r="Y234" s="160">
        <f t="shared" si="152"/>
        <v>-9.4338952579096982E-3</v>
      </c>
      <c r="Z234" s="98" t="str">
        <f t="shared" si="142"/>
        <v>0.999956832724569+0.0108144334944311i</v>
      </c>
      <c r="AA234" s="160">
        <f t="shared" si="153"/>
        <v>1.000015309524988</v>
      </c>
      <c r="AB234" s="160">
        <f t="shared" si="154"/>
        <v>1.0814478729425314E-2</v>
      </c>
      <c r="AC234" s="171" t="str">
        <f t="shared" si="155"/>
        <v>1.07665666389905-2.55897858463159i</v>
      </c>
      <c r="AD234" s="190">
        <f t="shared" si="156"/>
        <v>8.8691696877806674</v>
      </c>
      <c r="AE234" s="169">
        <f t="shared" si="157"/>
        <v>-67.181714497245508</v>
      </c>
      <c r="AF234" s="98" t="str">
        <f t="shared" si="143"/>
        <v>-0.0000816326530612245</v>
      </c>
      <c r="AG234" s="98" t="str">
        <f t="shared" si="144"/>
        <v>0.000201801282963797i</v>
      </c>
      <c r="AH234" s="98">
        <f t="shared" si="158"/>
        <v>2.0180128296379699E-4</v>
      </c>
      <c r="AI234" s="98">
        <f t="shared" si="159"/>
        <v>1.5707963267948966</v>
      </c>
      <c r="AJ234" s="98" t="str">
        <f t="shared" si="145"/>
        <v>1+0.0223542250513764i</v>
      </c>
      <c r="AK234" s="98">
        <f t="shared" si="160"/>
        <v>1.0002498244826876</v>
      </c>
      <c r="AL234" s="98">
        <f t="shared" si="161"/>
        <v>2.235050261386708E-2</v>
      </c>
      <c r="AM234" s="98" t="str">
        <f t="shared" si="146"/>
        <v>1+2.25777673018901i</v>
      </c>
      <c r="AN234" s="98">
        <f t="shared" si="162"/>
        <v>2.4693229362282643</v>
      </c>
      <c r="AO234" s="98">
        <f t="shared" si="163"/>
        <v>1.1538510644793061</v>
      </c>
      <c r="AP234" s="168" t="str">
        <f t="shared" si="164"/>
        <v>-0.903821440616082+0.424724218359175i</v>
      </c>
      <c r="AQ234" s="98">
        <f t="shared" si="165"/>
        <v>-1.1812102998264176E-2</v>
      </c>
      <c r="AR234" s="169">
        <f t="shared" si="166"/>
        <v>154.8302067115709</v>
      </c>
      <c r="AS234" s="168" t="str">
        <f t="shared" si="167"/>
        <v>0.113754802141376+2.77014187088315i</v>
      </c>
      <c r="AT234" s="190">
        <f t="shared" si="168"/>
        <v>8.8573575847824131</v>
      </c>
      <c r="AU234" s="169">
        <f t="shared" si="169"/>
        <v>87.648492214325401</v>
      </c>
      <c r="AV234" s="225"/>
      <c r="AX234">
        <f t="shared" si="170"/>
        <v>0</v>
      </c>
      <c r="AY234">
        <f t="shared" si="171"/>
        <v>0</v>
      </c>
    </row>
    <row r="235" spans="14:51" x14ac:dyDescent="0.2">
      <c r="N235" s="170">
        <v>17</v>
      </c>
      <c r="O235" s="199">
        <f t="shared" si="172"/>
        <v>1479.1083881682086</v>
      </c>
      <c r="P235" s="189" t="str">
        <f t="shared" si="138"/>
        <v>6.8875</v>
      </c>
      <c r="Q235" s="160" t="str">
        <f t="shared" si="139"/>
        <v>1+2.32337802306614i</v>
      </c>
      <c r="R235" s="160">
        <f t="shared" si="147"/>
        <v>2.5294437013040487</v>
      </c>
      <c r="S235" s="160">
        <f t="shared" si="148"/>
        <v>1.1643541638769581</v>
      </c>
      <c r="T235" s="160" t="str">
        <f t="shared" si="140"/>
        <v>1+0.00371740483690583i</v>
      </c>
      <c r="U235" s="160">
        <f t="shared" si="149"/>
        <v>1.00000690952549</v>
      </c>
      <c r="V235" s="160">
        <f t="shared" si="150"/>
        <v>3.7173877133196663E-3</v>
      </c>
      <c r="W235" s="98" t="str">
        <f t="shared" si="141"/>
        <v>1-0.00965392530359893i</v>
      </c>
      <c r="X235" s="160">
        <f t="shared" si="151"/>
        <v>1.0000465980511946</v>
      </c>
      <c r="Y235" s="160">
        <f t="shared" si="152"/>
        <v>-9.6536254106439952E-3</v>
      </c>
      <c r="Z235" s="98" t="str">
        <f t="shared" si="142"/>
        <v>0.999954798313555+0.0110663340103376i</v>
      </c>
      <c r="AA235" s="160">
        <f t="shared" si="153"/>
        <v>1.0000160310808677</v>
      </c>
      <c r="AB235" s="160">
        <f t="shared" si="154"/>
        <v>1.1066382480261677E-2</v>
      </c>
      <c r="AC235" s="171" t="str">
        <f t="shared" si="155"/>
        <v>1.03385381104005-2.51913751632702i</v>
      </c>
      <c r="AD235" s="190">
        <f t="shared" si="156"/>
        <v>8.7010573931637971</v>
      </c>
      <c r="AE235" s="169">
        <f t="shared" si="157"/>
        <v>-67.686757825473123</v>
      </c>
      <c r="AF235" s="98" t="str">
        <f t="shared" si="143"/>
        <v>-0.0000816326530612245</v>
      </c>
      <c r="AG235" s="98" t="str">
        <f t="shared" si="144"/>
        <v>0.000206501838690119i</v>
      </c>
      <c r="AH235" s="98">
        <f t="shared" si="158"/>
        <v>2.06501838690119E-4</v>
      </c>
      <c r="AI235" s="98">
        <f t="shared" si="159"/>
        <v>1.5707963267948966</v>
      </c>
      <c r="AJ235" s="98" t="str">
        <f t="shared" si="145"/>
        <v>1+0.0228749218429403i</v>
      </c>
      <c r="AK235" s="98">
        <f t="shared" si="160"/>
        <v>1.0002615968082151</v>
      </c>
      <c r="AL235" s="98">
        <f t="shared" si="161"/>
        <v>2.2870933235623676E-2</v>
      </c>
      <c r="AM235" s="98" t="str">
        <f t="shared" si="146"/>
        <v>1+2.31036710613697i</v>
      </c>
      <c r="AN235" s="98">
        <f t="shared" si="162"/>
        <v>2.5174979970438347</v>
      </c>
      <c r="AO235" s="98">
        <f t="shared" si="163"/>
        <v>1.162310948939723</v>
      </c>
      <c r="AP235" s="168" t="str">
        <f t="shared" si="164"/>
        <v>-0.903800166146204+0.415986349469603i</v>
      </c>
      <c r="AQ235" s="98">
        <f t="shared" si="165"/>
        <v>-4.4089463225586885E-2</v>
      </c>
      <c r="AR235" s="169">
        <f t="shared" si="166"/>
        <v>155.28510390816501</v>
      </c>
      <c r="AS235" s="168" t="str">
        <f t="shared" si="167"/>
        <v>0.113529573039916+2.70686597854128i</v>
      </c>
      <c r="AT235" s="190">
        <f t="shared" si="168"/>
        <v>8.656967929938201</v>
      </c>
      <c r="AU235" s="169">
        <f t="shared" si="169"/>
        <v>87.598346082691904</v>
      </c>
      <c r="AV235" s="225"/>
      <c r="AX235">
        <f t="shared" si="170"/>
        <v>0</v>
      </c>
      <c r="AY235">
        <f t="shared" si="171"/>
        <v>0</v>
      </c>
    </row>
    <row r="236" spans="14:51" x14ac:dyDescent="0.2">
      <c r="N236" s="170">
        <v>18</v>
      </c>
      <c r="O236" s="199">
        <f t="shared" si="172"/>
        <v>1513.5612484362093</v>
      </c>
      <c r="P236" s="189" t="str">
        <f t="shared" si="138"/>
        <v>6.8875</v>
      </c>
      <c r="Q236" s="160" t="str">
        <f t="shared" si="139"/>
        <v>1+2.3774964494227i</v>
      </c>
      <c r="R236" s="160">
        <f t="shared" si="147"/>
        <v>2.5792420140455112</v>
      </c>
      <c r="S236" s="160">
        <f t="shared" si="148"/>
        <v>1.1726494816697488</v>
      </c>
      <c r="T236" s="160" t="str">
        <f t="shared" si="140"/>
        <v>1+0.00380399431907631i</v>
      </c>
      <c r="U236" s="160">
        <f t="shared" si="149"/>
        <v>1.0000072351602161</v>
      </c>
      <c r="V236" s="160">
        <f t="shared" si="150"/>
        <v>3.8039759708303304E-3</v>
      </c>
      <c r="W236" s="98" t="str">
        <f t="shared" si="141"/>
        <v>1-0.00987879411117463i</v>
      </c>
      <c r="X236" s="160">
        <f t="shared" si="151"/>
        <v>1.0000487940961136</v>
      </c>
      <c r="Y236" s="160">
        <f t="shared" si="152"/>
        <v>-9.8784727709307022E-3</v>
      </c>
      <c r="Z236" s="98" t="str">
        <f t="shared" si="142"/>
        <v>0.999952668023703+0.0113241020430166i</v>
      </c>
      <c r="AA236" s="160">
        <f t="shared" si="153"/>
        <v>1.0000167866465057</v>
      </c>
      <c r="AB236" s="160">
        <f t="shared" si="154"/>
        <v>1.1324153979200533E-2</v>
      </c>
      <c r="AC236" s="171" t="str">
        <f t="shared" si="155"/>
        <v>0.992384595270245-2.47922271549873i</v>
      </c>
      <c r="AD236" s="190">
        <f t="shared" si="156"/>
        <v>8.5317311941221163</v>
      </c>
      <c r="AE236" s="169">
        <f t="shared" si="157"/>
        <v>-68.184735406756189</v>
      </c>
      <c r="AF236" s="98" t="str">
        <f t="shared" si="143"/>
        <v>-0.0000816326530612245</v>
      </c>
      <c r="AG236" s="98" t="str">
        <f t="shared" si="144"/>
        <v>0.000211311884424689i</v>
      </c>
      <c r="AH236" s="98">
        <f t="shared" si="158"/>
        <v>2.11311884424689E-4</v>
      </c>
      <c r="AI236" s="98">
        <f t="shared" si="159"/>
        <v>1.5707963267948966</v>
      </c>
      <c r="AJ236" s="98" t="str">
        <f t="shared" si="145"/>
        <v>1+0.0234077472208508i</v>
      </c>
      <c r="AK236" s="98">
        <f t="shared" si="160"/>
        <v>1.0002739237978542</v>
      </c>
      <c r="AL236" s="98">
        <f t="shared" si="161"/>
        <v>2.340347341431917E-2</v>
      </c>
      <c r="AM236" s="98" t="str">
        <f t="shared" si="146"/>
        <v>1+2.36418246930593i</v>
      </c>
      <c r="AN236" s="98">
        <f t="shared" si="162"/>
        <v>2.566974629437051</v>
      </c>
      <c r="AO236" s="98">
        <f t="shared" si="163"/>
        <v>1.1706385629091014</v>
      </c>
      <c r="AP236" s="168" t="str">
        <f t="shared" si="164"/>
        <v>-0.903777890114874+0.407468996191327i</v>
      </c>
      <c r="AQ236" s="98">
        <f t="shared" si="165"/>
        <v>-7.5147652032179851E-2</v>
      </c>
      <c r="AR236" s="169">
        <f t="shared" si="166"/>
        <v>155.73172873736422</v>
      </c>
      <c r="AS236" s="168" t="str">
        <f t="shared" si="167"/>
        <v>0.113311135523158+2.64503262980881i</v>
      </c>
      <c r="AT236" s="190">
        <f t="shared" si="168"/>
        <v>8.4565835420899234</v>
      </c>
      <c r="AU236" s="169">
        <f t="shared" si="169"/>
        <v>87.546993330608032</v>
      </c>
      <c r="AV236" s="225"/>
      <c r="AX236">
        <f t="shared" si="170"/>
        <v>0</v>
      </c>
      <c r="AY236">
        <f t="shared" si="171"/>
        <v>0</v>
      </c>
    </row>
    <row r="237" spans="14:51" x14ac:dyDescent="0.2">
      <c r="N237" s="170">
        <v>19</v>
      </c>
      <c r="O237" s="199">
        <f t="shared" si="172"/>
        <v>1548.8166189124822</v>
      </c>
      <c r="P237" s="189" t="str">
        <f t="shared" si="138"/>
        <v>6.8875</v>
      </c>
      <c r="Q237" s="160" t="str">
        <f t="shared" si="139"/>
        <v>1+2.43287545586662i</v>
      </c>
      <c r="R237" s="160">
        <f t="shared" si="147"/>
        <v>2.6303769660940639</v>
      </c>
      <c r="S237" s="160">
        <f t="shared" si="148"/>
        <v>1.1808122955709313</v>
      </c>
      <c r="T237" s="160" t="str">
        <f t="shared" si="140"/>
        <v>1+0.00389260072938659i</v>
      </c>
      <c r="U237" s="160">
        <f t="shared" si="149"/>
        <v>1.0000075761415201</v>
      </c>
      <c r="V237" s="160">
        <f t="shared" si="150"/>
        <v>3.8925810688948503E-3</v>
      </c>
      <c r="W237" s="98" t="str">
        <f t="shared" si="141"/>
        <v>1-0.0101089007861494i</v>
      </c>
      <c r="X237" s="160">
        <f t="shared" si="151"/>
        <v>1.0000510936322724</v>
      </c>
      <c r="Y237" s="160">
        <f t="shared" si="152"/>
        <v>-1.0108556464824586E-2</v>
      </c>
      <c r="Z237" s="98" t="str">
        <f t="shared" si="142"/>
        <v>0.999950437336384+0.0115878742644911i</v>
      </c>
      <c r="AA237" s="160">
        <f t="shared" si="153"/>
        <v>1.0000175778251077</v>
      </c>
      <c r="AB237" s="160">
        <f t="shared" si="154"/>
        <v>1.1587929914805768E-2</v>
      </c>
      <c r="AC237" s="171" t="str">
        <f t="shared" si="155"/>
        <v>0.952229577497722-2.43927892571557i</v>
      </c>
      <c r="AD237" s="190">
        <f t="shared" si="156"/>
        <v>8.3612292908793346</v>
      </c>
      <c r="AE237" s="169">
        <f t="shared" si="157"/>
        <v>-68.67564956652437</v>
      </c>
      <c r="AF237" s="98" t="str">
        <f t="shared" si="143"/>
        <v>-0.0000816326530612245</v>
      </c>
      <c r="AG237" s="98" t="str">
        <f t="shared" si="144"/>
        <v>0.000216233970517425i</v>
      </c>
      <c r="AH237" s="98">
        <f t="shared" si="158"/>
        <v>2.16233970517425E-4</v>
      </c>
      <c r="AI237" s="98">
        <f t="shared" si="159"/>
        <v>1.5707963267948966</v>
      </c>
      <c r="AJ237" s="98" t="str">
        <f t="shared" si="145"/>
        <v>1+0.0239529836961759i</v>
      </c>
      <c r="AK237" s="98">
        <f t="shared" si="160"/>
        <v>1.0002868315777977</v>
      </c>
      <c r="AL237" s="98">
        <f t="shared" si="161"/>
        <v>2.3948404300889684E-2</v>
      </c>
      <c r="AM237" s="98" t="str">
        <f t="shared" si="146"/>
        <v>1+2.41925135331377i</v>
      </c>
      <c r="AN237" s="98">
        <f t="shared" si="162"/>
        <v>2.6177809515905848</v>
      </c>
      <c r="AO237" s="98">
        <f t="shared" si="163"/>
        <v>1.1788337006433081</v>
      </c>
      <c r="AP237" s="168" t="str">
        <f t="shared" si="164"/>
        <v>-0.903754565423429+0.399167639234842i</v>
      </c>
      <c r="AQ237" s="98">
        <f t="shared" si="165"/>
        <v>-0.10502519911961557</v>
      </c>
      <c r="AR237" s="169">
        <f t="shared" si="166"/>
        <v>156.17005330213604</v>
      </c>
      <c r="AS237" s="168" t="str">
        <f t="shared" si="167"/>
        <v>0.113099382218396+2.58460869791596i</v>
      </c>
      <c r="AT237" s="190">
        <f t="shared" si="168"/>
        <v>8.2562040917597166</v>
      </c>
      <c r="AU237" s="169">
        <f t="shared" si="169"/>
        <v>87.494403735611698</v>
      </c>
      <c r="AV237" s="225"/>
      <c r="AX237">
        <f t="shared" si="170"/>
        <v>0</v>
      </c>
      <c r="AY237">
        <f t="shared" si="171"/>
        <v>0</v>
      </c>
    </row>
    <row r="238" spans="14:51" x14ac:dyDescent="0.2">
      <c r="N238" s="170">
        <v>20</v>
      </c>
      <c r="O238" s="199">
        <f t="shared" si="172"/>
        <v>1584.8931924611156</v>
      </c>
      <c r="P238" s="189" t="str">
        <f t="shared" si="138"/>
        <v>6.8875</v>
      </c>
      <c r="Q238" s="160" t="str">
        <f t="shared" si="139"/>
        <v>1+2.48954440508016i</v>
      </c>
      <c r="R238" s="160">
        <f t="shared" si="147"/>
        <v>2.6828774375408817</v>
      </c>
      <c r="S238" s="160">
        <f t="shared" si="148"/>
        <v>1.1888425813568673</v>
      </c>
      <c r="T238" s="160" t="str">
        <f t="shared" si="140"/>
        <v>1+0.00398327104812825i</v>
      </c>
      <c r="U238" s="160">
        <f t="shared" si="149"/>
        <v>1.0000079331926537</v>
      </c>
      <c r="V238" s="160">
        <f t="shared" si="150"/>
        <v>3.9832499815408264E-3</v>
      </c>
      <c r="W238" s="98" t="str">
        <f t="shared" si="141"/>
        <v>1-0.0103443673341281i</v>
      </c>
      <c r="X238" s="160">
        <f t="shared" si="151"/>
        <v>1.0000535015365646</v>
      </c>
      <c r="Y238" s="160">
        <f t="shared" si="152"/>
        <v>-1.0343998388247386E-2</v>
      </c>
      <c r="Z238" s="98" t="str">
        <f t="shared" si="142"/>
        <v>0.99994810152001+0.0118577905302843i</v>
      </c>
      <c r="AA238" s="160">
        <f t="shared" si="153"/>
        <v>1.0000184062954705</v>
      </c>
      <c r="AB238" s="160">
        <f t="shared" si="154"/>
        <v>1.1857850160324049E-2</v>
      </c>
      <c r="AC238" s="171" t="str">
        <f t="shared" si="155"/>
        <v>0.913367833079878-2.3993488337277i</v>
      </c>
      <c r="AD238" s="190">
        <f t="shared" si="156"/>
        <v>8.1895893030276987</v>
      </c>
      <c r="AE238" s="169">
        <f t="shared" si="157"/>
        <v>-69.159511223720585</v>
      </c>
      <c r="AF238" s="98" t="str">
        <f t="shared" si="143"/>
        <v>-0.0000816326530612245</v>
      </c>
      <c r="AG238" s="98" t="str">
        <f t="shared" si="144"/>
        <v>0.000221270706723524i</v>
      </c>
      <c r="AH238" s="98">
        <f t="shared" si="158"/>
        <v>2.21270706723524E-4</v>
      </c>
      <c r="AI238" s="98">
        <f t="shared" si="159"/>
        <v>1.5707963267948966</v>
      </c>
      <c r="AJ238" s="98" t="str">
        <f t="shared" si="145"/>
        <v>1+0.024510920360512i</v>
      </c>
      <c r="AK238" s="98">
        <f t="shared" si="160"/>
        <v>1.0003003475041481</v>
      </c>
      <c r="AL238" s="98">
        <f t="shared" si="161"/>
        <v>2.4506013529626239E-2</v>
      </c>
      <c r="AM238" s="98" t="str">
        <f t="shared" si="146"/>
        <v>1+2.47560295641171i</v>
      </c>
      <c r="AN238" s="98">
        <f t="shared" si="162"/>
        <v>2.6699456919185454</v>
      </c>
      <c r="AO238" s="98">
        <f t="shared" si="163"/>
        <v>1.1868963031605182</v>
      </c>
      <c r="AP238" s="168" t="str">
        <f t="shared" si="164"/>
        <v>-0.90373014276347+0.391077873600897i</v>
      </c>
      <c r="AQ238" s="98">
        <f t="shared" si="165"/>
        <v>-0.13376007326787265</v>
      </c>
      <c r="AR238" s="169">
        <f t="shared" si="166"/>
        <v>156.60005774283954</v>
      </c>
      <c r="AS238" s="168" t="str">
        <f t="shared" si="167"/>
        <v>0.112894197736182+2.52556181402044i</v>
      </c>
      <c r="AT238" s="190">
        <f t="shared" si="168"/>
        <v>8.0558292297598335</v>
      </c>
      <c r="AU238" s="169">
        <f t="shared" si="169"/>
        <v>87.440546519118968</v>
      </c>
      <c r="AV238" s="225"/>
      <c r="AX238">
        <f t="shared" si="170"/>
        <v>0</v>
      </c>
      <c r="AY238">
        <f t="shared" si="171"/>
        <v>0</v>
      </c>
    </row>
    <row r="239" spans="14:51" x14ac:dyDescent="0.2">
      <c r="N239" s="170">
        <v>21</v>
      </c>
      <c r="O239" s="199">
        <f t="shared" si="172"/>
        <v>1621.8100973589308</v>
      </c>
      <c r="P239" s="189" t="str">
        <f t="shared" si="138"/>
        <v>6.8875</v>
      </c>
      <c r="Q239" s="160" t="str">
        <f t="shared" si="139"/>
        <v>1+2.54753334369027i</v>
      </c>
      <c r="R239" s="160">
        <f t="shared" si="147"/>
        <v>2.7367729422101732</v>
      </c>
      <c r="S239" s="160">
        <f t="shared" si="148"/>
        <v>1.1967404530525663</v>
      </c>
      <c r="T239" s="160" t="str">
        <f t="shared" si="140"/>
        <v>1+0.00407605334990444i</v>
      </c>
      <c r="U239" s="160">
        <f t="shared" si="149"/>
        <v>1.000008307070952</v>
      </c>
      <c r="V239" s="160">
        <f t="shared" si="150"/>
        <v>4.0760307766594481E-3</v>
      </c>
      <c r="W239" s="98" t="str">
        <f t="shared" si="141"/>
        <v>1-0.0105853186025912i</v>
      </c>
      <c r="X239" s="160">
        <f t="shared" si="151"/>
        <v>1.0000560229156756</v>
      </c>
      <c r="Y239" s="160">
        <f t="shared" si="152"/>
        <v>-1.0584923271153523E-2</v>
      </c>
      <c r="Z239" s="98" t="str">
        <f t="shared" si="142"/>
        <v>0.999945655620002+0.0121339939535729i</v>
      </c>
      <c r="AA239" s="160">
        <f t="shared" si="153"/>
        <v>1.0000192738155507</v>
      </c>
      <c r="AB239" s="160">
        <f t="shared" si="154"/>
        <v>1.2134057847922588E-2</v>
      </c>
      <c r="AC239" s="171" t="str">
        <f t="shared" si="155"/>
        <v>0.875777109702099-2.35947305622682i</v>
      </c>
      <c r="AD239" s="190">
        <f t="shared" si="156"/>
        <v>8.0168482290643457</v>
      </c>
      <c r="AE239" s="169">
        <f t="shared" si="157"/>
        <v>-69.636339504778547</v>
      </c>
      <c r="AF239" s="98" t="str">
        <f t="shared" si="143"/>
        <v>-0.0000816326530612245</v>
      </c>
      <c r="AG239" s="98" t="str">
        <f t="shared" si="144"/>
        <v>0.000226424763587192i</v>
      </c>
      <c r="AH239" s="98">
        <f t="shared" si="158"/>
        <v>2.2642476358719201E-4</v>
      </c>
      <c r="AI239" s="98">
        <f t="shared" si="159"/>
        <v>1.5707963267948966</v>
      </c>
      <c r="AJ239" s="98" t="str">
        <f t="shared" si="145"/>
        <v>1+0.0250818530392635i</v>
      </c>
      <c r="AK239" s="98">
        <f t="shared" si="160"/>
        <v>1.0003145002207472</v>
      </c>
      <c r="AL239" s="98">
        <f t="shared" si="161"/>
        <v>2.5076595364517049E-2</v>
      </c>
      <c r="AM239" s="98" t="str">
        <f t="shared" si="146"/>
        <v>1+2.53326715696561i</v>
      </c>
      <c r="AN239" s="98">
        <f t="shared" si="162"/>
        <v>2.7234982079231527</v>
      </c>
      <c r="AO239" s="98">
        <f t="shared" si="163"/>
        <v>1.1948264514021638</v>
      </c>
      <c r="AP239" s="168" t="str">
        <f t="shared" si="164"/>
        <v>-0.903704570513714+0.383195406228229i</v>
      </c>
      <c r="AQ239" s="98">
        <f t="shared" si="165"/>
        <v>-0.16138964118497018</v>
      </c>
      <c r="AR239" s="169">
        <f t="shared" si="166"/>
        <v>157.02172983699268</v>
      </c>
      <c r="AS239" s="168" t="str">
        <f t="shared" si="167"/>
        <v>0.11269545947632+2.46786035023382i</v>
      </c>
      <c r="AT239" s="190">
        <f t="shared" si="168"/>
        <v>7.8554585878793795</v>
      </c>
      <c r="AU239" s="169">
        <f t="shared" si="169"/>
        <v>87.385390332214158</v>
      </c>
      <c r="AV239" s="225"/>
      <c r="AX239">
        <f t="shared" si="170"/>
        <v>0</v>
      </c>
      <c r="AY239">
        <f t="shared" si="171"/>
        <v>0</v>
      </c>
    </row>
    <row r="240" spans="14:51" x14ac:dyDescent="0.2">
      <c r="N240" s="170">
        <v>22</v>
      </c>
      <c r="O240" s="199">
        <f t="shared" si="172"/>
        <v>1659.5869074375626</v>
      </c>
      <c r="P240" s="189" t="str">
        <f t="shared" si="138"/>
        <v>6.8875</v>
      </c>
      <c r="Q240" s="160" t="str">
        <f t="shared" si="139"/>
        <v>1+2.60687301819982i</v>
      </c>
      <c r="R240" s="160">
        <f t="shared" si="147"/>
        <v>2.7920936468926394</v>
      </c>
      <c r="S240" s="160">
        <f t="shared" si="148"/>
        <v>1.2045061560548442</v>
      </c>
      <c r="T240" s="160" t="str">
        <f t="shared" si="140"/>
        <v>1+0.00417099682911972i</v>
      </c>
      <c r="U240" s="160">
        <f t="shared" si="149"/>
        <v>1.0000086985694416</v>
      </c>
      <c r="V240" s="160">
        <f t="shared" si="150"/>
        <v>4.1709726414632924E-3</v>
      </c>
      <c r="W240" s="98" t="str">
        <f t="shared" si="141"/>
        <v>1-0.0108318823470907i</v>
      </c>
      <c r="X240" s="160">
        <f t="shared" si="151"/>
        <v>1.0000586631169099</v>
      </c>
      <c r="Y240" s="160">
        <f t="shared" si="152"/>
        <v>-1.083145874316529E-2</v>
      </c>
      <c r="Z240" s="98" t="str">
        <f t="shared" si="142"/>
        <v>0.999943094448278+0.0124166309810683i</v>
      </c>
      <c r="AA240" s="160">
        <f t="shared" si="153"/>
        <v>1.0000201822261978</v>
      </c>
      <c r="AB240" s="160">
        <f t="shared" si="154"/>
        <v>1.2416699444660936E-2</v>
      </c>
      <c r="AC240" s="171" t="str">
        <f t="shared" si="155"/>
        <v>0.839433979960339-2.31969013727632i</v>
      </c>
      <c r="AD240" s="190">
        <f t="shared" si="156"/>
        <v>7.8430424104065155</v>
      </c>
      <c r="AE240" s="169">
        <f t="shared" si="157"/>
        <v>-70.106161356263286</v>
      </c>
      <c r="AF240" s="98" t="str">
        <f t="shared" si="143"/>
        <v>-0.0000816326530612245</v>
      </c>
      <c r="AG240" s="98" t="str">
        <f t="shared" si="144"/>
        <v>0.000231698873857601i</v>
      </c>
      <c r="AH240" s="98">
        <f t="shared" si="158"/>
        <v>2.3169887385760099E-4</v>
      </c>
      <c r="AI240" s="98">
        <f t="shared" si="159"/>
        <v>1.5707963267948966</v>
      </c>
      <c r="AJ240" s="98" t="str">
        <f t="shared" si="145"/>
        <v>1+0.0256660844484941i</v>
      </c>
      <c r="AK240" s="98">
        <f t="shared" si="160"/>
        <v>1.0003293197197198</v>
      </c>
      <c r="AL240" s="98">
        <f t="shared" si="161"/>
        <v>2.5660450848666874E-2</v>
      </c>
      <c r="AM240" s="98" t="str">
        <f t="shared" si="146"/>
        <v>1+2.59227452929791i</v>
      </c>
      <c r="AN240" s="98">
        <f t="shared" si="162"/>
        <v>2.77846850535447</v>
      </c>
      <c r="AO240" s="98">
        <f t="shared" si="163"/>
        <v>1.2026243593591794</v>
      </c>
      <c r="AP240" s="168" t="str">
        <f t="shared" si="164"/>
        <v>-0.903677794632041+0.375516053699468i</v>
      </c>
      <c r="AQ240" s="98">
        <f t="shared" si="165"/>
        <v>-0.18795063089311667</v>
      </c>
      <c r="AR240" s="169">
        <f t="shared" si="166"/>
        <v>157.43506459687393</v>
      </c>
      <c r="AS240" s="168" t="str">
        <f t="shared" si="167"/>
        <v>0.112503038405825+2.41147340297951i</v>
      </c>
      <c r="AT240" s="190">
        <f t="shared" si="168"/>
        <v>7.6550917795134126</v>
      </c>
      <c r="AU240" s="169">
        <f t="shared" si="169"/>
        <v>87.328903240610671</v>
      </c>
      <c r="AV240" s="225"/>
      <c r="AX240">
        <f t="shared" si="170"/>
        <v>0</v>
      </c>
      <c r="AY240">
        <f t="shared" si="171"/>
        <v>0</v>
      </c>
    </row>
    <row r="241" spans="14:51" x14ac:dyDescent="0.2">
      <c r="N241" s="170">
        <v>23</v>
      </c>
      <c r="O241" s="199">
        <f t="shared" si="172"/>
        <v>1698.2436524617447</v>
      </c>
      <c r="P241" s="189" t="str">
        <f t="shared" si="138"/>
        <v>6.8875</v>
      </c>
      <c r="Q241" s="160" t="str">
        <f t="shared" si="139"/>
        <v>1+2.66759489128965i</v>
      </c>
      <c r="R241" s="160">
        <f t="shared" si="147"/>
        <v>2.8488703908803288</v>
      </c>
      <c r="S241" s="160">
        <f t="shared" si="148"/>
        <v>1.2121400602634145</v>
      </c>
      <c r="T241" s="160" t="str">
        <f t="shared" si="140"/>
        <v>1+0.00426815182606344i</v>
      </c>
      <c r="U241" s="160">
        <f t="shared" si="149"/>
        <v>1.0000091085185225</v>
      </c>
      <c r="V241" s="160">
        <f t="shared" si="150"/>
        <v>4.2681259085353791E-3</v>
      </c>
      <c r="W241" s="98" t="str">
        <f t="shared" si="141"/>
        <v>1-0.0110841892989875i</v>
      </c>
      <c r="X241" s="160">
        <f t="shared" si="151"/>
        <v>1.0000614277395243</v>
      </c>
      <c r="Y241" s="160">
        <f t="shared" si="152"/>
        <v>-1.1083735400709421E-2</v>
      </c>
      <c r="Z241" s="98" t="str">
        <f t="shared" si="142"/>
        <v>0.999940412572249+0.0127058514706632i</v>
      </c>
      <c r="AA241" s="160">
        <f t="shared" si="153"/>
        <v>1.0000211334550657</v>
      </c>
      <c r="AB241" s="160">
        <f t="shared" si="154"/>
        <v>1.2705924830234609E-2</v>
      </c>
      <c r="AC241" s="171" t="str">
        <f t="shared" si="155"/>
        <v>0.804313988105316-2.2800365555277i</v>
      </c>
      <c r="AD241" s="190">
        <f t="shared" si="156"/>
        <v>7.6682074997266714</v>
      </c>
      <c r="AE241" s="169">
        <f t="shared" si="157"/>
        <v>-70.569011158120674</v>
      </c>
      <c r="AF241" s="98" t="str">
        <f t="shared" si="143"/>
        <v>-0.0000816326530612245</v>
      </c>
      <c r="AG241" s="98" t="str">
        <f t="shared" si="144"/>
        <v>0.000237095833937825i</v>
      </c>
      <c r="AH241" s="98">
        <f t="shared" si="158"/>
        <v>2.3709583393782501E-4</v>
      </c>
      <c r="AI241" s="98">
        <f t="shared" si="159"/>
        <v>1.5707963267948966</v>
      </c>
      <c r="AJ241" s="98" t="str">
        <f t="shared" si="145"/>
        <v>1+0.02626392435543i</v>
      </c>
      <c r="AK241" s="98">
        <f t="shared" si="160"/>
        <v>1.000344837404856</v>
      </c>
      <c r="AL241" s="98">
        <f t="shared" si="161"/>
        <v>2.6257887956838415E-2</v>
      </c>
      <c r="AM241" s="98" t="str">
        <f t="shared" si="146"/>
        <v>1+2.65265635989843i</v>
      </c>
      <c r="AN241" s="98">
        <f t="shared" si="162"/>
        <v>2.8348872576717383</v>
      </c>
      <c r="AO241" s="98">
        <f t="shared" si="163"/>
        <v>1.2102903671981826</v>
      </c>
      <c r="AP241" s="168" t="str">
        <f t="shared" si="164"/>
        <v>-0.903649758542498+0.368035740003918i</v>
      </c>
      <c r="AQ241" s="98">
        <f t="shared" si="165"/>
        <v>-0.2134790994957711</v>
      </c>
      <c r="AR241" s="169">
        <f t="shared" si="166"/>
        <v>157.84006386694034</v>
      </c>
      <c r="AS241" s="168" t="str">
        <f t="shared" si="167"/>
        <v>0.112316799805899+2.35637077667852i</v>
      </c>
      <c r="AT241" s="190">
        <f t="shared" si="168"/>
        <v>7.4547284002309109</v>
      </c>
      <c r="AU241" s="169">
        <f t="shared" si="169"/>
        <v>87.271052708819653</v>
      </c>
      <c r="AV241" s="225"/>
      <c r="AX241">
        <f t="shared" si="170"/>
        <v>0</v>
      </c>
      <c r="AY241">
        <f t="shared" si="171"/>
        <v>0</v>
      </c>
    </row>
    <row r="242" spans="14:51" x14ac:dyDescent="0.2">
      <c r="N242" s="170">
        <v>24</v>
      </c>
      <c r="O242" s="199">
        <f t="shared" si="172"/>
        <v>1737.8008287493772</v>
      </c>
      <c r="P242" s="189" t="str">
        <f t="shared" si="138"/>
        <v>6.8875</v>
      </c>
      <c r="Q242" s="160" t="str">
        <f t="shared" si="139"/>
        <v>1+2.72973115850065i</v>
      </c>
      <c r="R242" s="160">
        <f t="shared" si="147"/>
        <v>2.9071347058038612</v>
      </c>
      <c r="S242" s="160">
        <f t="shared" si="148"/>
        <v>1.2196426532509899</v>
      </c>
      <c r="T242" s="160" t="str">
        <f t="shared" si="140"/>
        <v>1+0.00436756985360104i</v>
      </c>
      <c r="U242" s="160">
        <f t="shared" si="149"/>
        <v>1.0000095377877283</v>
      </c>
      <c r="V242" s="160">
        <f t="shared" si="150"/>
        <v>4.3675420824836842E-3</v>
      </c>
      <c r="W242" s="98" t="str">
        <f t="shared" si="141"/>
        <v>1-0.0113423732347672i</v>
      </c>
      <c r="X242" s="160">
        <f t="shared" si="151"/>
        <v>1.0000643226465968</v>
      </c>
      <c r="Y242" s="160">
        <f t="shared" si="152"/>
        <v>-1.1341886875689116E-2</v>
      </c>
      <c r="Z242" s="98" t="str">
        <f t="shared" si="142"/>
        <v>0.999937604303297+0.0130018087708898i</v>
      </c>
      <c r="AA242" s="160">
        <f t="shared" si="153"/>
        <v>1.0000221295207081</v>
      </c>
      <c r="AB242" s="160">
        <f t="shared" si="154"/>
        <v>1.3001887376537208E-2</v>
      </c>
      <c r="AC242" s="171" t="str">
        <f t="shared" si="155"/>
        <v>0.770391790507897-2.24054674034065i</v>
      </c>
      <c r="AD242" s="190">
        <f t="shared" si="156"/>
        <v>7.4923784334312362</v>
      </c>
      <c r="AE242" s="169">
        <f t="shared" si="157"/>
        <v>-71.024930339319141</v>
      </c>
      <c r="AF242" s="98" t="str">
        <f t="shared" si="143"/>
        <v>-0.0000816326530612245</v>
      </c>
      <c r="AG242" s="98" t="str">
        <f t="shared" si="144"/>
        <v>0.000242618505367538i</v>
      </c>
      <c r="AH242" s="98">
        <f t="shared" si="158"/>
        <v>2.4261850536753799E-4</v>
      </c>
      <c r="AI242" s="98">
        <f t="shared" si="159"/>
        <v>1.5707963267948966</v>
      </c>
      <c r="AJ242" s="98" t="str">
        <f t="shared" si="145"/>
        <v>1+0.0268756897427034i</v>
      </c>
      <c r="AK242" s="98">
        <f t="shared" si="160"/>
        <v>1.0003610861579664</v>
      </c>
      <c r="AL242" s="98">
        <f t="shared" si="161"/>
        <v>2.6869221751166551E-2</v>
      </c>
      <c r="AM242" s="98" t="str">
        <f t="shared" si="146"/>
        <v>1+2.71444466401305i</v>
      </c>
      <c r="AN242" s="98">
        <f t="shared" si="162"/>
        <v>2.8927858258068331</v>
      </c>
      <c r="AO242" s="98">
        <f t="shared" si="163"/>
        <v>1.2178249344193732</v>
      </c>
      <c r="AP242" s="168" t="str">
        <f t="shared" si="164"/>
        <v>-0.903620403017225+0.360750494355898i</v>
      </c>
      <c r="AQ242" s="98">
        <f t="shared" si="165"/>
        <v>-0.23801040515363148</v>
      </c>
      <c r="AR242" s="169">
        <f t="shared" si="166"/>
        <v>158.2367359228835</v>
      </c>
      <c r="AS242" s="168" t="str">
        <f t="shared" si="167"/>
        <v>0.112136603985478+2.302522967759i</v>
      </c>
      <c r="AT242" s="190">
        <f t="shared" si="168"/>
        <v>7.2543680282776144</v>
      </c>
      <c r="AU242" s="169">
        <f t="shared" si="169"/>
        <v>87.21180558356437</v>
      </c>
      <c r="AV242" s="225"/>
      <c r="AX242">
        <f t="shared" si="170"/>
        <v>0</v>
      </c>
      <c r="AY242">
        <f t="shared" si="171"/>
        <v>0</v>
      </c>
    </row>
    <row r="243" spans="14:51" x14ac:dyDescent="0.2">
      <c r="N243" s="170">
        <v>25</v>
      </c>
      <c r="O243" s="199">
        <f t="shared" si="172"/>
        <v>1778.2794100389244</v>
      </c>
      <c r="P243" s="189" t="str">
        <f t="shared" si="138"/>
        <v>6.8875</v>
      </c>
      <c r="Q243" s="160" t="str">
        <f t="shared" si="139"/>
        <v>1+2.79331476530415i</v>
      </c>
      <c r="R243" s="160">
        <f t="shared" si="147"/>
        <v>2.9669188357732637</v>
      </c>
      <c r="S243" s="160">
        <f t="shared" si="148"/>
        <v>1.2270145335004268</v>
      </c>
      <c r="T243" s="160" t="str">
        <f t="shared" si="140"/>
        <v>1+0.00446930362448664i</v>
      </c>
      <c r="U243" s="160">
        <f t="shared" si="149"/>
        <v>1.000009987287571</v>
      </c>
      <c r="V243" s="160">
        <f t="shared" si="150"/>
        <v>4.4692738672143162E-3</v>
      </c>
      <c r="W243" s="98" t="str">
        <f t="shared" si="141"/>
        <v>1-0.0116065710469701i</v>
      </c>
      <c r="X243" s="160">
        <f t="shared" si="151"/>
        <v>1.0000673539774549</v>
      </c>
      <c r="Y243" s="160">
        <f t="shared" si="152"/>
        <v>-1.1606049905724279E-2</v>
      </c>
      <c r="Z243" s="98" t="str">
        <f t="shared" si="142"/>
        <v>0.999934663684707+0.013304659802226i</v>
      </c>
      <c r="AA243" s="160">
        <f t="shared" si="153"/>
        <v>1.0000231725368671</v>
      </c>
      <c r="AB243" s="160">
        <f t="shared" si="154"/>
        <v>1.330474402907806E-2</v>
      </c>
      <c r="AC243" s="171" t="str">
        <f t="shared" si="155"/>
        <v>0.737641289501847-2.20125309593598i</v>
      </c>
      <c r="AD243" s="190">
        <f t="shared" si="156"/>
        <v>7.3155894080977752</v>
      </c>
      <c r="AE243" s="169">
        <f t="shared" si="157"/>
        <v>-71.473966997492823</v>
      </c>
      <c r="AF243" s="98" t="str">
        <f t="shared" si="143"/>
        <v>-0.0000816326530612245</v>
      </c>
      <c r="AG243" s="98" t="str">
        <f t="shared" si="144"/>
        <v>0.000248269816340232i</v>
      </c>
      <c r="AH243" s="98">
        <f t="shared" si="158"/>
        <v>2.4826981634023198E-4</v>
      </c>
      <c r="AI243" s="98">
        <f t="shared" si="159"/>
        <v>1.5707963267948966</v>
      </c>
      <c r="AJ243" s="98" t="str">
        <f t="shared" si="145"/>
        <v>1+0.0275017049764203i</v>
      </c>
      <c r="AK243" s="98">
        <f t="shared" si="160"/>
        <v>1.0003781004083456</v>
      </c>
      <c r="AL243" s="98">
        <f t="shared" si="161"/>
        <v>2.7494774540088952E-2</v>
      </c>
      <c r="AM243" s="98" t="str">
        <f t="shared" si="146"/>
        <v>1+2.77767220261845i</v>
      </c>
      <c r="AN243" s="98">
        <f t="shared" si="162"/>
        <v>2.9521962782307059</v>
      </c>
      <c r="AO243" s="98">
        <f t="shared" si="163"/>
        <v>1.2252286330748763</v>
      </c>
      <c r="AP243" s="168" t="str">
        <f t="shared" si="164"/>
        <v>-0.9035896660528+0.353656449067451i</v>
      </c>
      <c r="AQ243" s="98">
        <f t="shared" si="165"/>
        <v>-0.26157918308904027</v>
      </c>
      <c r="AR243" s="169">
        <f t="shared" si="166"/>
        <v>158.62509507396257</v>
      </c>
      <c r="AS243" s="168" t="str">
        <f t="shared" si="167"/>
        <v>0.111962306959721+2.24990114898524i</v>
      </c>
      <c r="AT243" s="190">
        <f t="shared" si="168"/>
        <v>7.0540102250087235</v>
      </c>
      <c r="AU243" s="169">
        <f t="shared" si="169"/>
        <v>87.151128076469746</v>
      </c>
      <c r="AV243" s="225"/>
      <c r="AX243">
        <f t="shared" si="170"/>
        <v>0</v>
      </c>
      <c r="AY243">
        <f t="shared" si="171"/>
        <v>0</v>
      </c>
    </row>
    <row r="244" spans="14:51" x14ac:dyDescent="0.2">
      <c r="N244" s="170">
        <v>26</v>
      </c>
      <c r="O244" s="199">
        <f t="shared" si="172"/>
        <v>1819.7008586099832</v>
      </c>
      <c r="P244" s="189" t="str">
        <f t="shared" si="138"/>
        <v>6.8875</v>
      </c>
      <c r="Q244" s="160" t="str">
        <f t="shared" si="139"/>
        <v>1+2.85837942457008i</v>
      </c>
      <c r="R244" s="160">
        <f t="shared" si="147"/>
        <v>3.0282557578258777</v>
      </c>
      <c r="S244" s="160">
        <f t="shared" si="148"/>
        <v>1.234256403734205</v>
      </c>
      <c r="T244" s="160" t="str">
        <f t="shared" si="140"/>
        <v>1+0.00457340707931212i</v>
      </c>
      <c r="U244" s="160">
        <f t="shared" si="149"/>
        <v>1.0000104579714719</v>
      </c>
      <c r="V244" s="160">
        <f t="shared" si="150"/>
        <v>4.5733751938383631E-3</v>
      </c>
      <c r="W244" s="98" t="str">
        <f t="shared" si="141"/>
        <v>1-0.0118769228167732i</v>
      </c>
      <c r="X244" s="160">
        <f t="shared" si="151"/>
        <v>1.0000705281606872</v>
      </c>
      <c r="Y244" s="160">
        <f t="shared" si="152"/>
        <v>-1.1876364405994452E-2</v>
      </c>
      <c r="Z244" s="98" t="str">
        <f t="shared" si="142"/>
        <v>0.999931584479033+0.0136145651402973i</v>
      </c>
      <c r="AA244" s="160">
        <f t="shared" si="153"/>
        <v>1.0000242647169661</v>
      </c>
      <c r="AB244" s="160">
        <f t="shared" si="154"/>
        <v>1.3614655390303413E-2</v>
      </c>
      <c r="AC244" s="171" t="str">
        <f t="shared" si="155"/>
        <v>0.706035760348873-2.1621860327298i</v>
      </c>
      <c r="AD244" s="190">
        <f t="shared" si="156"/>
        <v>7.1378738606762475</v>
      </c>
      <c r="AE244" s="169">
        <f t="shared" si="157"/>
        <v>-71.916175524040469</v>
      </c>
      <c r="AF244" s="98" t="str">
        <f t="shared" si="143"/>
        <v>-0.0000816326530612245</v>
      </c>
      <c r="AG244" s="98" t="str">
        <f t="shared" si="144"/>
        <v>0.000254052763255789i</v>
      </c>
      <c r="AH244" s="98">
        <f t="shared" si="158"/>
        <v>2.5405276325578897E-4</v>
      </c>
      <c r="AI244" s="98">
        <f t="shared" si="159"/>
        <v>1.5707963267948966</v>
      </c>
      <c r="AJ244" s="98" t="str">
        <f t="shared" si="145"/>
        <v>1+0.0281423019781434i</v>
      </c>
      <c r="AK244" s="98">
        <f t="shared" si="160"/>
        <v>1.0003959162054936</v>
      </c>
      <c r="AL244" s="98">
        <f t="shared" si="161"/>
        <v>2.8134876040540772E-2</v>
      </c>
      <c r="AM244" s="98" t="str">
        <f t="shared" si="146"/>
        <v>1+2.84237249979248i</v>
      </c>
      <c r="AN244" s="98">
        <f t="shared" si="162"/>
        <v>3.0131514113261137</v>
      </c>
      <c r="AO244" s="98">
        <f t="shared" si="163"/>
        <v>1.232502141073534</v>
      </c>
      <c r="AP244" s="168" t="str">
        <f t="shared" si="164"/>
        <v>-0.90355748274098+0.346749837474137i</v>
      </c>
      <c r="AQ244" s="98">
        <f t="shared" si="165"/>
        <v>-0.28421932542545669</v>
      </c>
      <c r="AR244" s="169">
        <f t="shared" si="166"/>
        <v>159.00516127010425</v>
      </c>
      <c r="AS244" s="168" t="str">
        <f t="shared" si="167"/>
        <v>0.111793761091966+2.19847715410294i</v>
      </c>
      <c r="AT244" s="190">
        <f t="shared" si="168"/>
        <v>6.8536545352507741</v>
      </c>
      <c r="AU244" s="169">
        <f t="shared" si="169"/>
        <v>87.08898574606377</v>
      </c>
      <c r="AV244" s="225"/>
      <c r="AX244">
        <f t="shared" si="170"/>
        <v>0</v>
      </c>
      <c r="AY244">
        <f t="shared" si="171"/>
        <v>0</v>
      </c>
    </row>
    <row r="245" spans="14:51" x14ac:dyDescent="0.2">
      <c r="N245" s="170">
        <v>27</v>
      </c>
      <c r="O245" s="199">
        <f t="shared" si="172"/>
        <v>1862.0871366628687</v>
      </c>
      <c r="P245" s="189" t="str">
        <f t="shared" si="138"/>
        <v>6.8875</v>
      </c>
      <c r="Q245" s="160" t="str">
        <f t="shared" si="139"/>
        <v>1+2.92495963444205i</v>
      </c>
      <c r="R245" s="160">
        <f t="shared" si="147"/>
        <v>3.0911792026855012</v>
      </c>
      <c r="S245" s="160">
        <f t="shared" si="148"/>
        <v>1.2413690643586768</v>
      </c>
      <c r="T245" s="160" t="str">
        <f t="shared" si="140"/>
        <v>1+0.00467993541510728i</v>
      </c>
      <c r="U245" s="160">
        <f t="shared" si="149"/>
        <v>1.0000109508377844</v>
      </c>
      <c r="V245" s="160">
        <f t="shared" si="150"/>
        <v>4.6799012492268E-3</v>
      </c>
      <c r="W245" s="98" t="str">
        <f t="shared" si="141"/>
        <v>1-0.0121535718882634i</v>
      </c>
      <c r="X245" s="160">
        <f t="shared" si="151"/>
        <v>1.0000738519277679</v>
      </c>
      <c r="Y245" s="160">
        <f t="shared" si="152"/>
        <v>-1.2152973542720125E-2</v>
      </c>
      <c r="Z245" s="98" t="str">
        <f t="shared" si="142"/>
        <v>0.999928360154865+0.013931689101016i</v>
      </c>
      <c r="AA245" s="160">
        <f t="shared" si="153"/>
        <v>1.0000254083788094</v>
      </c>
      <c r="AB245" s="160">
        <f t="shared" si="154"/>
        <v>1.3931785804863562E-2</v>
      </c>
      <c r="AC245" s="171" t="str">
        <f t="shared" si="155"/>
        <v>0.675547971152992-2.12337400502301i</v>
      </c>
      <c r="AD245" s="190">
        <f t="shared" si="156"/>
        <v>6.9592644522521976</v>
      </c>
      <c r="AE245" s="169">
        <f t="shared" si="157"/>
        <v>-72.351616235968294</v>
      </c>
      <c r="AF245" s="98" t="str">
        <f t="shared" si="143"/>
        <v>-0.0000816326530612245</v>
      </c>
      <c r="AG245" s="98" t="str">
        <f t="shared" si="144"/>
        <v>0.00025997041230921i</v>
      </c>
      <c r="AH245" s="98">
        <f t="shared" si="158"/>
        <v>2.5997041230920999E-4</v>
      </c>
      <c r="AI245" s="98">
        <f t="shared" si="159"/>
        <v>1.5707963267948966</v>
      </c>
      <c r="AJ245" s="98" t="str">
        <f t="shared" si="145"/>
        <v>1+0.0287978204008829i</v>
      </c>
      <c r="AK245" s="98">
        <f t="shared" si="160"/>
        <v>1.0004145712952413</v>
      </c>
      <c r="AL245" s="98">
        <f t="shared" si="161"/>
        <v>2.8789863543459835E-2</v>
      </c>
      <c r="AM245" s="98" t="str">
        <f t="shared" si="146"/>
        <v>1+2.90857986048918i</v>
      </c>
      <c r="AN245" s="98">
        <f t="shared" si="162"/>
        <v>3.0756847700704406</v>
      </c>
      <c r="AO245" s="98">
        <f t="shared" si="163"/>
        <v>1.2396462355952462</v>
      </c>
      <c r="AP245" s="168" t="str">
        <f t="shared" si="164"/>
        <v>-0.903523785133502+0.340026991912726i</v>
      </c>
      <c r="AQ245" s="98">
        <f t="shared" si="165"/>
        <v>-0.30596396466419762</v>
      </c>
      <c r="AR245" s="169">
        <f t="shared" si="166"/>
        <v>159.37695971508995</v>
      </c>
      <c r="AS245" s="168" t="str">
        <f t="shared" si="167"/>
        <v>0.111630815698243+2.14822346279637i</v>
      </c>
      <c r="AT245" s="190">
        <f t="shared" si="168"/>
        <v>6.6533004875879964</v>
      </c>
      <c r="AU245" s="169">
        <f t="shared" si="169"/>
        <v>87.025343479121645</v>
      </c>
      <c r="AV245" s="225"/>
      <c r="AX245">
        <f t="shared" si="170"/>
        <v>0</v>
      </c>
      <c r="AY245">
        <f t="shared" si="171"/>
        <v>0</v>
      </c>
    </row>
    <row r="246" spans="14:51" x14ac:dyDescent="0.2">
      <c r="N246" s="170">
        <v>28</v>
      </c>
      <c r="O246" s="199">
        <f t="shared" si="172"/>
        <v>1905.4607179632501</v>
      </c>
      <c r="P246" s="189" t="str">
        <f t="shared" si="138"/>
        <v>6.8875</v>
      </c>
      <c r="Q246" s="160" t="str">
        <f t="shared" si="139"/>
        <v>1+2.99309069662865i</v>
      </c>
      <c r="R246" s="160">
        <f t="shared" si="147"/>
        <v>3.1557236758380758</v>
      </c>
      <c r="S246" s="160">
        <f t="shared" si="148"/>
        <v>1.2483534070428377</v>
      </c>
      <c r="T246" s="160" t="str">
        <f t="shared" si="140"/>
        <v>1+0.00478894511460584i</v>
      </c>
      <c r="U246" s="160">
        <f t="shared" si="149"/>
        <v>1.00001146693191</v>
      </c>
      <c r="V246" s="160">
        <f t="shared" si="150"/>
        <v>4.7889085052279972E-3</v>
      </c>
      <c r="W246" s="98" t="str">
        <f t="shared" si="141"/>
        <v>1-0.0124366649444404i</v>
      </c>
      <c r="X246" s="160">
        <f t="shared" si="151"/>
        <v>1.0000773323273258</v>
      </c>
      <c r="Y246" s="160">
        <f t="shared" si="152"/>
        <v>-1.2436023808317142E-2</v>
      </c>
      <c r="Z246" s="98" t="str">
        <f t="shared" si="142"/>
        <v>0.999924983872981+0.014256199827704i</v>
      </c>
      <c r="AA246" s="160">
        <f t="shared" si="153"/>
        <v>1.000026605949516</v>
      </c>
      <c r="AB246" s="160">
        <f t="shared" si="154"/>
        <v>1.4256303446872539E-2</v>
      </c>
      <c r="AC246" s="171" t="str">
        <f t="shared" si="155"/>
        <v>0.64615029562607-2.08484355425285i</v>
      </c>
      <c r="AD246" s="190">
        <f t="shared" si="156"/>
        <v>6.7797930551694527</v>
      </c>
      <c r="AE246" s="169">
        <f t="shared" si="157"/>
        <v>-72.780355015612102</v>
      </c>
      <c r="AF246" s="98" t="str">
        <f t="shared" si="143"/>
        <v>-0.0000816326530612245</v>
      </c>
      <c r="AG246" s="98" t="str">
        <f t="shared" si="144"/>
        <v>0.000266025901116354i</v>
      </c>
      <c r="AH246" s="98">
        <f t="shared" si="158"/>
        <v>2.6602590111635398E-4</v>
      </c>
      <c r="AI246" s="98">
        <f t="shared" si="159"/>
        <v>1.5707963267948966</v>
      </c>
      <c r="AJ246" s="98" t="str">
        <f t="shared" si="145"/>
        <v>1+0.0294686078091835i</v>
      </c>
      <c r="AK246" s="98">
        <f t="shared" si="160"/>
        <v>1.0004341051994436</v>
      </c>
      <c r="AL246" s="98">
        <f t="shared" si="161"/>
        <v>2.946008208264116E-2</v>
      </c>
      <c r="AM246" s="98" t="str">
        <f t="shared" si="146"/>
        <v>1+2.97632938872753i</v>
      </c>
      <c r="AN246" s="98">
        <f t="shared" si="162"/>
        <v>3.1398306690334734</v>
      </c>
      <c r="AO246" s="98">
        <f t="shared" si="163"/>
        <v>1.2466617866352354</v>
      </c>
      <c r="AP246" s="168" t="str">
        <f t="shared" si="164"/>
        <v>-0.903488502100539+0.3334843417496i</v>
      </c>
      <c r="AQ246" s="98">
        <f t="shared" si="165"/>
        <v>-0.32684546059689795</v>
      </c>
      <c r="AR246" s="169">
        <f t="shared" si="166"/>
        <v>159.74052048699352</v>
      </c>
      <c r="AS246" s="168" t="str">
        <f t="shared" si="167"/>
        <v>0.11147331761389+2.09911318595404i</v>
      </c>
      <c r="AT246" s="190">
        <f t="shared" si="168"/>
        <v>6.4529475945725521</v>
      </c>
      <c r="AU246" s="169">
        <f t="shared" si="169"/>
        <v>86.960165471381416</v>
      </c>
      <c r="AV246" s="225"/>
      <c r="AX246">
        <f t="shared" si="170"/>
        <v>0</v>
      </c>
      <c r="AY246">
        <f t="shared" si="171"/>
        <v>0</v>
      </c>
    </row>
    <row r="247" spans="14:51" x14ac:dyDescent="0.2">
      <c r="N247" s="170">
        <v>29</v>
      </c>
      <c r="O247" s="199">
        <f t="shared" si="172"/>
        <v>1949.8445997580463</v>
      </c>
      <c r="P247" s="189" t="str">
        <f t="shared" si="138"/>
        <v>6.8875</v>
      </c>
      <c r="Q247" s="160" t="str">
        <f t="shared" si="139"/>
        <v>1+3.0628087351208i</v>
      </c>
      <c r="R247" s="160">
        <f t="shared" si="147"/>
        <v>3.221924478930609</v>
      </c>
      <c r="S247" s="160">
        <f t="shared" si="148"/>
        <v>1.2552104084488251</v>
      </c>
      <c r="T247" s="160" t="str">
        <f t="shared" si="140"/>
        <v>1+0.00490049397619328i</v>
      </c>
      <c r="U247" s="160">
        <f t="shared" si="149"/>
        <v>1.0000120073485173</v>
      </c>
      <c r="V247" s="160">
        <f t="shared" si="150"/>
        <v>4.9004547485636089E-3</v>
      </c>
      <c r="W247" s="98" t="str">
        <f t="shared" si="141"/>
        <v>1-0.0127263520849895i</v>
      </c>
      <c r="X247" s="160">
        <f t="shared" si="151"/>
        <v>1.0000809767400793</v>
      </c>
      <c r="Y247" s="160">
        <f t="shared" si="152"/>
        <v>-1.272566509826039E-2</v>
      </c>
      <c r="Z247" s="98" t="str">
        <f t="shared" si="142"/>
        <v>0.999921448471835+0.0145882693802435i</v>
      </c>
      <c r="AA247" s="160">
        <f t="shared" si="153"/>
        <v>1.0000278599706725</v>
      </c>
      <c r="AB247" s="160">
        <f t="shared" si="154"/>
        <v>1.4588380409205676E-2</v>
      </c>
      <c r="AC247" s="171" t="str">
        <f t="shared" si="155"/>
        <v>0.61781481867311-2.04661935704857i</v>
      </c>
      <c r="AD247" s="190">
        <f t="shared" si="156"/>
        <v>6.5994907433039103</v>
      </c>
      <c r="AE247" s="169">
        <f t="shared" si="157"/>
        <v>-73.202462959228455</v>
      </c>
      <c r="AF247" s="98" t="str">
        <f t="shared" si="143"/>
        <v>-0.0000816326530612245</v>
      </c>
      <c r="AG247" s="98" t="str">
        <f t="shared" si="144"/>
        <v>0.000272222440377537i</v>
      </c>
      <c r="AH247" s="98">
        <f t="shared" si="158"/>
        <v>2.7222244037753698E-4</v>
      </c>
      <c r="AI247" s="98">
        <f t="shared" si="159"/>
        <v>1.5707963267948966</v>
      </c>
      <c r="AJ247" s="98" t="str">
        <f t="shared" si="145"/>
        <v>1+0.0301550198634072i</v>
      </c>
      <c r="AK247" s="98">
        <f t="shared" si="160"/>
        <v>1.0004545592994027</v>
      </c>
      <c r="AL247" s="98">
        <f t="shared" si="161"/>
        <v>3.0145884606987347E-2</v>
      </c>
      <c r="AM247" s="98" t="str">
        <f t="shared" si="146"/>
        <v>1+3.04565700620413i</v>
      </c>
      <c r="AN247" s="98">
        <f t="shared" si="162"/>
        <v>3.2056242136969684</v>
      </c>
      <c r="AO247" s="98">
        <f t="shared" si="163"/>
        <v>1.2535497506961049</v>
      </c>
      <c r="AP247" s="168" t="str">
        <f t="shared" si="164"/>
        <v>-0.903451559182833+0.327118411458689i</v>
      </c>
      <c r="AQ247" s="98">
        <f t="shared" si="165"/>
        <v>-0.3468953904461678</v>
      </c>
      <c r="AR247" s="169">
        <f t="shared" si="166"/>
        <v>160.09587816689452</v>
      </c>
      <c r="AS247" s="168" t="str">
        <f t="shared" si="167"/>
        <v>0.111321111721851+2.05112005123928i</v>
      </c>
      <c r="AT247" s="190">
        <f t="shared" si="168"/>
        <v>6.2525953528577274</v>
      </c>
      <c r="AU247" s="169">
        <f t="shared" si="169"/>
        <v>86.893415207666067</v>
      </c>
      <c r="AV247" s="225"/>
      <c r="AX247">
        <f t="shared" si="170"/>
        <v>0</v>
      </c>
      <c r="AY247">
        <f t="shared" si="171"/>
        <v>0</v>
      </c>
    </row>
    <row r="248" spans="14:51" x14ac:dyDescent="0.2">
      <c r="N248" s="170">
        <v>30</v>
      </c>
      <c r="O248" s="199">
        <f t="shared" si="172"/>
        <v>1995.2623149688804</v>
      </c>
      <c r="P248" s="189" t="str">
        <f t="shared" si="138"/>
        <v>6.8875</v>
      </c>
      <c r="Q248" s="160" t="str">
        <f t="shared" si="139"/>
        <v>1+3.1341507153454i</v>
      </c>
      <c r="R248" s="160">
        <f t="shared" si="147"/>
        <v>3.2898177315012576</v>
      </c>
      <c r="S248" s="160">
        <f t="shared" si="148"/>
        <v>1.2619411241289156</v>
      </c>
      <c r="T248" s="160" t="str">
        <f t="shared" si="140"/>
        <v>1+0.00501464114455264i</v>
      </c>
      <c r="U248" s="160">
        <f t="shared" si="149"/>
        <v>1.0000125732338612</v>
      </c>
      <c r="V248" s="160">
        <f t="shared" si="150"/>
        <v>5.0145991114186909E-3</v>
      </c>
      <c r="W248" s="98" t="str">
        <f t="shared" si="141"/>
        <v>1-0.0130227869058673i</v>
      </c>
      <c r="X248" s="160">
        <f t="shared" si="151"/>
        <v>1.0000847928944803</v>
      </c>
      <c r="Y248" s="160">
        <f t="shared" si="152"/>
        <v>-1.30220507896954E-2</v>
      </c>
      <c r="Z248" s="98" t="str">
        <f t="shared" si="142"/>
        <v>0.999917746452365+0.0149280738263071i</v>
      </c>
      <c r="AA248" s="160">
        <f t="shared" si="153"/>
        <v>1.000029173103735</v>
      </c>
      <c r="AB248" s="160">
        <f t="shared" si="154"/>
        <v>1.4928192794886976E-2</v>
      </c>
      <c r="AC248" s="171" t="str">
        <f t="shared" si="155"/>
        <v>0.59051343482579-2.00872427737374i</v>
      </c>
      <c r="AD248" s="190">
        <f t="shared" si="156"/>
        <v>6.4183877852822659</v>
      </c>
      <c r="AE248" s="169">
        <f t="shared" si="157"/>
        <v>-73.618016035306411</v>
      </c>
      <c r="AF248" s="98" t="str">
        <f t="shared" si="143"/>
        <v>-0.0000816326530612245</v>
      </c>
      <c r="AG248" s="98" t="str">
        <f t="shared" si="144"/>
        <v>0.000278563315579899i</v>
      </c>
      <c r="AH248" s="98">
        <f t="shared" si="158"/>
        <v>2.7856331557989897E-4</v>
      </c>
      <c r="AI248" s="98">
        <f t="shared" si="159"/>
        <v>1.5707963267948966</v>
      </c>
      <c r="AJ248" s="98" t="str">
        <f t="shared" si="145"/>
        <v>1+0.0308574205083116i</v>
      </c>
      <c r="AK248" s="98">
        <f t="shared" si="160"/>
        <v>1.0004759769231977</v>
      </c>
      <c r="AL248" s="98">
        <f t="shared" si="161"/>
        <v>3.0847632156197662E-2</v>
      </c>
      <c r="AM248" s="98" t="str">
        <f t="shared" si="146"/>
        <v>1+3.11659947133947i</v>
      </c>
      <c r="AN248" s="98">
        <f t="shared" si="162"/>
        <v>3.2731013221031611</v>
      </c>
      <c r="AO248" s="98">
        <f t="shared" si="163"/>
        <v>1.2603111646429914</v>
      </c>
      <c r="AP248" s="168" t="str">
        <f t="shared" si="164"/>
        <v>-0.903412878436988+0.320925818747768i</v>
      </c>
      <c r="AQ248" s="98">
        <f t="shared" si="165"/>
        <v>-0.36614454203103508</v>
      </c>
      <c r="AR248" s="169">
        <f t="shared" si="166"/>
        <v>160.44307147673877</v>
      </c>
      <c r="AS248" s="168" t="str">
        <f t="shared" si="167"/>
        <v>0.111174041443006+2.00421838896149i</v>
      </c>
      <c r="AT248" s="190">
        <f t="shared" si="168"/>
        <v>6.0522432432512208</v>
      </c>
      <c r="AU248" s="169">
        <f t="shared" si="169"/>
        <v>86.825055441432355</v>
      </c>
      <c r="AV248" s="225"/>
      <c r="AX248">
        <f t="shared" si="170"/>
        <v>0</v>
      </c>
      <c r="AY248">
        <f t="shared" si="171"/>
        <v>0</v>
      </c>
    </row>
    <row r="249" spans="14:51" x14ac:dyDescent="0.2">
      <c r="N249" s="170">
        <v>31</v>
      </c>
      <c r="O249" s="199">
        <f t="shared" si="172"/>
        <v>2041.7379446695318</v>
      </c>
      <c r="P249" s="189" t="str">
        <f t="shared" si="138"/>
        <v>6.8875</v>
      </c>
      <c r="Q249" s="160" t="str">
        <f t="shared" si="139"/>
        <v>1+3.20715446376465i</v>
      </c>
      <c r="R249" s="160">
        <f t="shared" si="147"/>
        <v>3.3594403930484495</v>
      </c>
      <c r="S249" s="160">
        <f t="shared" si="148"/>
        <v>1.268546682601376</v>
      </c>
      <c r="T249" s="160" t="str">
        <f t="shared" si="140"/>
        <v>1+0.00513144714202344i</v>
      </c>
      <c r="U249" s="160">
        <f t="shared" si="149"/>
        <v>1.0000131657882168</v>
      </c>
      <c r="V249" s="160">
        <f t="shared" si="150"/>
        <v>5.1314021027409791E-3</v>
      </c>
      <c r="W249" s="98" t="str">
        <f t="shared" si="141"/>
        <v>1-0.0133261265807395i</v>
      </c>
      <c r="X249" s="160">
        <f t="shared" si="151"/>
        <v>1.0000887888830901</v>
      </c>
      <c r="Y249" s="160">
        <f t="shared" si="152"/>
        <v>-1.3325337821832451E-2</v>
      </c>
      <c r="Z249" s="98" t="str">
        <f t="shared" si="142"/>
        <v>0.999913869962093+0.0152757933347097i</v>
      </c>
      <c r="AA249" s="160">
        <f t="shared" si="153"/>
        <v>1.0000305481356928</v>
      </c>
      <c r="AB249" s="160">
        <f t="shared" si="154"/>
        <v>1.5275920810609418E-2</v>
      </c>
      <c r="AC249" s="171" t="str">
        <f t="shared" si="155"/>
        <v>0.564217939605785-1.97117942208035i</v>
      </c>
      <c r="AD249" s="190">
        <f t="shared" si="156"/>
        <v>6.2365136404425661</v>
      </c>
      <c r="AE249" s="169">
        <f t="shared" si="157"/>
        <v>-74.02709475330991</v>
      </c>
      <c r="AF249" s="98" t="str">
        <f t="shared" si="143"/>
        <v>-0.0000816326530612245</v>
      </c>
      <c r="AG249" s="98" t="str">
        <f t="shared" si="144"/>
        <v>0.000285051888739403i</v>
      </c>
      <c r="AH249" s="98">
        <f t="shared" si="158"/>
        <v>2.8505188873940301E-4</v>
      </c>
      <c r="AI249" s="98">
        <f t="shared" si="159"/>
        <v>1.5707963267948966</v>
      </c>
      <c r="AJ249" s="98" t="str">
        <f t="shared" si="145"/>
        <v>1+0.0315761821660155i</v>
      </c>
      <c r="AK249" s="98">
        <f t="shared" si="160"/>
        <v>1.0004984034370976</v>
      </c>
      <c r="AL249" s="98">
        <f t="shared" si="161"/>
        <v>3.1565694039926942E-2</v>
      </c>
      <c r="AM249" s="98" t="str">
        <f t="shared" si="146"/>
        <v>1+3.18919439876757i</v>
      </c>
      <c r="AN249" s="98">
        <f t="shared" si="162"/>
        <v>3.3422987468403305</v>
      </c>
      <c r="AO249" s="98">
        <f t="shared" si="163"/>
        <v>1.2669471397347678</v>
      </c>
      <c r="AP249" s="168" t="str">
        <f t="shared" si="164"/>
        <v>-0.903372378273592+0.314903272732025i</v>
      </c>
      <c r="AQ249" s="98">
        <f t="shared" si="165"/>
        <v>-0.38462290975317898</v>
      </c>
      <c r="AR249" s="169">
        <f t="shared" si="166"/>
        <v>160.78214292708452</v>
      </c>
      <c r="AS249" s="168" t="str">
        <f t="shared" si="167"/>
        <v>0.11103194918882+1.95838311824467i</v>
      </c>
      <c r="AT249" s="190">
        <f t="shared" si="168"/>
        <v>5.8518907306893784</v>
      </c>
      <c r="AU249" s="169">
        <f t="shared" si="169"/>
        <v>86.755048173774583</v>
      </c>
      <c r="AV249" s="225"/>
      <c r="AX249">
        <f t="shared" si="170"/>
        <v>0</v>
      </c>
      <c r="AY249">
        <f t="shared" si="171"/>
        <v>0</v>
      </c>
    </row>
    <row r="250" spans="14:51" x14ac:dyDescent="0.2">
      <c r="N250" s="170">
        <v>32</v>
      </c>
      <c r="O250" s="199">
        <f t="shared" si="172"/>
        <v>2089.2961308540398</v>
      </c>
      <c r="P250" s="189" t="str">
        <f t="shared" si="138"/>
        <v>6.8875</v>
      </c>
      <c r="Q250" s="160" t="str">
        <f t="shared" si="139"/>
        <v>1+3.28185868793233i</v>
      </c>
      <c r="R250" s="160">
        <f t="shared" si="147"/>
        <v>3.430830285449415</v>
      </c>
      <c r="S250" s="160">
        <f t="shared" si="148"/>
        <v>1.2750282796155197</v>
      </c>
      <c r="T250" s="160" t="str">
        <f t="shared" si="140"/>
        <v>1+0.00525097390069172i</v>
      </c>
      <c r="U250" s="160">
        <f t="shared" si="149"/>
        <v>1.0000137862684222</v>
      </c>
      <c r="V250" s="160">
        <f t="shared" si="150"/>
        <v>5.2509256402670026E-3</v>
      </c>
      <c r="W250" s="98" t="str">
        <f t="shared" si="141"/>
        <v>1-0.0136365319443171i</v>
      </c>
      <c r="X250" s="160">
        <f t="shared" si="151"/>
        <v>1.0000929731797281</v>
      </c>
      <c r="Y250" s="160">
        <f t="shared" si="152"/>
        <v>-1.3635686778164487E-2</v>
      </c>
      <c r="Z250" s="98" t="str">
        <f t="shared" si="142"/>
        <v>0.999909810778463+0.0156316122709376i</v>
      </c>
      <c r="AA250" s="160">
        <f t="shared" si="153"/>
        <v>1.0000319879849897</v>
      </c>
      <c r="AB250" s="160">
        <f t="shared" si="154"/>
        <v>1.5631748862444641E-2</v>
      </c>
      <c r="AC250" s="171" t="str">
        <f t="shared" si="155"/>
        <v>0.53890011394435-1.93400419924294i</v>
      </c>
      <c r="AD250" s="190">
        <f t="shared" si="156"/>
        <v>6.0538969573314416</v>
      </c>
      <c r="AE250" s="169">
        <f t="shared" si="157"/>
        <v>-74.429783843448817</v>
      </c>
      <c r="AF250" s="98" t="str">
        <f t="shared" si="143"/>
        <v>-0.0000816326530612245</v>
      </c>
      <c r="AG250" s="98" t="str">
        <f t="shared" si="144"/>
        <v>0.000291691600183424i</v>
      </c>
      <c r="AH250" s="98">
        <f t="shared" si="158"/>
        <v>2.9169160018342402E-4</v>
      </c>
      <c r="AI250" s="98">
        <f t="shared" si="159"/>
        <v>1.5707963267948966</v>
      </c>
      <c r="AJ250" s="98" t="str">
        <f t="shared" si="145"/>
        <v>1+0.0323116859334644i</v>
      </c>
      <c r="AK250" s="98">
        <f t="shared" si="160"/>
        <v>1.0005218863412548</v>
      </c>
      <c r="AL250" s="98">
        <f t="shared" si="161"/>
        <v>3.2300448020461683E-2</v>
      </c>
      <c r="AM250" s="98" t="str">
        <f t="shared" si="146"/>
        <v>1+3.26348027927991i</v>
      </c>
      <c r="AN250" s="98">
        <f t="shared" si="162"/>
        <v>3.4132540973752419</v>
      </c>
      <c r="AO250" s="98">
        <f t="shared" si="163"/>
        <v>1.2734588558421234</v>
      </c>
      <c r="AP250" s="168" t="str">
        <f t="shared" si="164"/>
        <v>-0.903329973288131+0.309047572153724i</v>
      </c>
      <c r="AQ250" s="98">
        <f t="shared" si="165"/>
        <v>-0.40235969320043447</v>
      </c>
      <c r="AR250" s="169">
        <f t="shared" si="166"/>
        <v>161.11313847535826</v>
      </c>
      <c r="AS250" s="168" t="str">
        <f t="shared" si="167"/>
        <v>0.110894676776817+1.91358973348912i</v>
      </c>
      <c r="AT250" s="190">
        <f t="shared" si="168"/>
        <v>5.6515372641309858</v>
      </c>
      <c r="AU250" s="169">
        <f t="shared" si="169"/>
        <v>86.683354631909438</v>
      </c>
      <c r="AV250" s="225"/>
      <c r="AX250">
        <f t="shared" si="170"/>
        <v>0</v>
      </c>
      <c r="AY250">
        <f t="shared" si="171"/>
        <v>0</v>
      </c>
    </row>
    <row r="251" spans="14:51" x14ac:dyDescent="0.2">
      <c r="N251" s="170">
        <v>33</v>
      </c>
      <c r="O251" s="199">
        <f t="shared" si="172"/>
        <v>2137.9620895022344</v>
      </c>
      <c r="P251" s="189" t="str">
        <f t="shared" si="138"/>
        <v>6.8875</v>
      </c>
      <c r="Q251" s="160" t="str">
        <f t="shared" si="139"/>
        <v>1+3.35830299701685i</v>
      </c>
      <c r="R251" s="160">
        <f t="shared" si="147"/>
        <v>3.5040261157377746</v>
      </c>
      <c r="S251" s="160">
        <f t="shared" si="148"/>
        <v>1.2813871726141299</v>
      </c>
      <c r="T251" s="160" t="str">
        <f t="shared" si="140"/>
        <v>1+0.00537328479522696i</v>
      </c>
      <c r="U251" s="160">
        <f t="shared" si="149"/>
        <v>1.0000144359905463</v>
      </c>
      <c r="V251" s="160">
        <f t="shared" si="150"/>
        <v>5.3732330832905141E-3</v>
      </c>
      <c r="W251" s="98" t="str">
        <f t="shared" si="141"/>
        <v>1-0.0139541675776323i</v>
      </c>
      <c r="X251" s="160">
        <f t="shared" si="151"/>
        <v>1.0000973546574277</v>
      </c>
      <c r="Y251" s="160">
        <f t="shared" si="152"/>
        <v>-1.3953261970544834E-2</v>
      </c>
      <c r="Z251" s="98" t="str">
        <f t="shared" si="142"/>
        <v>0.999905560291402+0.0159957192949002i</v>
      </c>
      <c r="AA251" s="160">
        <f t="shared" si="153"/>
        <v>1.0000334957077308</v>
      </c>
      <c r="AB251" s="160">
        <f t="shared" si="154"/>
        <v>1.5995865653788039E-2</v>
      </c>
      <c r="AC251" s="171" t="str">
        <f t="shared" si="155"/>
        <v>0.514531801824658-1.89721637868773i</v>
      </c>
      <c r="AD251" s="190">
        <f t="shared" si="156"/>
        <v>5.8705655745444769</v>
      </c>
      <c r="AE251" s="169">
        <f t="shared" si="157"/>
        <v>-74.82617194795148</v>
      </c>
      <c r="AF251" s="98" t="str">
        <f t="shared" si="143"/>
        <v>-0.0000816326530612245</v>
      </c>
      <c r="AG251" s="98" t="str">
        <f t="shared" si="144"/>
        <v>0.000298485970374858i</v>
      </c>
      <c r="AH251" s="98">
        <f t="shared" si="158"/>
        <v>2.9848597037485802E-4</v>
      </c>
      <c r="AI251" s="98">
        <f t="shared" si="159"/>
        <v>1.5707963267948966</v>
      </c>
      <c r="AJ251" s="98" t="str">
        <f t="shared" si="145"/>
        <v>1+0.0330643217844907i</v>
      </c>
      <c r="AK251" s="98">
        <f t="shared" si="160"/>
        <v>1.0005464753698692</v>
      </c>
      <c r="AL251" s="98">
        <f t="shared" si="161"/>
        <v>3.3052280498938491E-2</v>
      </c>
      <c r="AM251" s="98" t="str">
        <f t="shared" si="146"/>
        <v>1+3.33949650023356i</v>
      </c>
      <c r="AN251" s="98">
        <f t="shared" si="162"/>
        <v>3.4860058627420858</v>
      </c>
      <c r="AO251" s="98">
        <f t="shared" si="163"/>
        <v>1.2798475558611888</v>
      </c>
      <c r="AP251" s="168" t="str">
        <f t="shared" si="164"/>
        <v>-0.903285574083951+0.303355603646877i</v>
      </c>
      <c r="AQ251" s="98">
        <f t="shared" si="165"/>
        <v>-0.41938329817372533</v>
      </c>
      <c r="AR251" s="169">
        <f t="shared" si="166"/>
        <v>161.43610719510832</v>
      </c>
      <c r="AS251" s="168" t="str">
        <f t="shared" si="167"/>
        <v>0.110762065809923+1.86981429112246i</v>
      </c>
      <c r="AT251" s="190">
        <f t="shared" si="168"/>
        <v>5.4511822763707753</v>
      </c>
      <c r="AU251" s="169">
        <f t="shared" si="169"/>
        <v>86.609935247156855</v>
      </c>
      <c r="AV251" s="225"/>
      <c r="AX251">
        <f t="shared" si="170"/>
        <v>0</v>
      </c>
      <c r="AY251">
        <f t="shared" si="171"/>
        <v>0</v>
      </c>
    </row>
    <row r="252" spans="14:51" x14ac:dyDescent="0.2">
      <c r="N252" s="170">
        <v>34</v>
      </c>
      <c r="O252" s="199">
        <f t="shared" si="172"/>
        <v>2187.7616239495528</v>
      </c>
      <c r="P252" s="189" t="str">
        <f t="shared" si="138"/>
        <v>6.8875</v>
      </c>
      <c r="Q252" s="160" t="str">
        <f t="shared" si="139"/>
        <v>1+3.4365279228028i</v>
      </c>
      <c r="R252" s="160">
        <f t="shared" si="147"/>
        <v>3.5790674992521905</v>
      </c>
      <c r="S252" s="160">
        <f t="shared" si="148"/>
        <v>1.2876246753997036</v>
      </c>
      <c r="T252" s="160" t="str">
        <f t="shared" si="140"/>
        <v>1+0.00549844467648448i</v>
      </c>
      <c r="U252" s="160">
        <f t="shared" si="149"/>
        <v>1.0000151163326785</v>
      </c>
      <c r="V252" s="160">
        <f t="shared" si="150"/>
        <v>5.4983892661915048E-3</v>
      </c>
      <c r="W252" s="98" t="str">
        <f t="shared" si="141"/>
        <v>1-0.0142792018953025i</v>
      </c>
      <c r="X252" s="160">
        <f t="shared" si="151"/>
        <v>1.0001019426072357</v>
      </c>
      <c r="Y252" s="160">
        <f t="shared" si="152"/>
        <v>-1.4278231525167396E-2</v>
      </c>
      <c r="Z252" s="98" t="str">
        <f t="shared" si="142"/>
        <v>0.999901109485057+0.0163683074609615i</v>
      </c>
      <c r="AA252" s="160">
        <f t="shared" si="153"/>
        <v>1.0000350745041817</v>
      </c>
      <c r="AB252" s="160">
        <f t="shared" si="154"/>
        <v>1.6368464285597437E-2</v>
      </c>
      <c r="AC252" s="171" t="str">
        <f t="shared" si="155"/>
        <v>0.491084981345556-1.86083215417529i</v>
      </c>
      <c r="AD252" s="190">
        <f t="shared" si="156"/>
        <v>5.6865465237131509</v>
      </c>
      <c r="AE252" s="169">
        <f t="shared" si="157"/>
        <v>-75.216351324210919</v>
      </c>
      <c r="AF252" s="98" t="str">
        <f t="shared" si="143"/>
        <v>-0.0000816326530612245</v>
      </c>
      <c r="AG252" s="98" t="str">
        <f t="shared" si="144"/>
        <v>0.000305438601778712i</v>
      </c>
      <c r="AH252" s="98">
        <f t="shared" si="158"/>
        <v>3.0543860177871198E-4</v>
      </c>
      <c r="AI252" s="98">
        <f t="shared" si="159"/>
        <v>1.5707963267948966</v>
      </c>
      <c r="AJ252" s="98" t="str">
        <f t="shared" si="145"/>
        <v>1+0.0338344887765852i</v>
      </c>
      <c r="AK252" s="98">
        <f t="shared" si="160"/>
        <v>1.0005722225960367</v>
      </c>
      <c r="AL252" s="98">
        <f t="shared" si="161"/>
        <v>3.3821586705146872E-2</v>
      </c>
      <c r="AM252" s="98" t="str">
        <f t="shared" si="146"/>
        <v>1+3.41728336643511i</v>
      </c>
      <c r="AN252" s="98">
        <f t="shared" si="162"/>
        <v>3.5605934345996424</v>
      </c>
      <c r="AO252" s="98">
        <f t="shared" si="163"/>
        <v>1.2861145403295868</v>
      </c>
      <c r="AP252" s="168" t="str">
        <f t="shared" si="164"/>
        <v>-0.903239087087388+0.297824340045849i</v>
      </c>
      <c r="AQ252" s="98">
        <f t="shared" si="165"/>
        <v>-0.43572133994123452</v>
      </c>
      <c r="AR252" s="169">
        <f t="shared" si="166"/>
        <v>161.75110095665258</v>
      </c>
      <c r="AS252" s="168" t="str">
        <f t="shared" si="167"/>
        <v>0.110633958020464+1.82703339663581i</v>
      </c>
      <c r="AT252" s="190">
        <f t="shared" si="168"/>
        <v>5.2508251837718936</v>
      </c>
      <c r="AU252" s="169">
        <f t="shared" si="169"/>
        <v>86.534749632441674</v>
      </c>
      <c r="AV252" s="225"/>
      <c r="AX252">
        <f t="shared" si="170"/>
        <v>0</v>
      </c>
      <c r="AY252">
        <f t="shared" si="171"/>
        <v>0</v>
      </c>
    </row>
    <row r="253" spans="14:51" x14ac:dyDescent="0.2">
      <c r="N253" s="170">
        <v>35</v>
      </c>
      <c r="O253" s="199">
        <f t="shared" si="172"/>
        <v>2238.7211385683418</v>
      </c>
      <c r="P253" s="189" t="str">
        <f t="shared" si="138"/>
        <v>6.8875</v>
      </c>
      <c r="Q253" s="160" t="str">
        <f t="shared" si="139"/>
        <v>1+3.51657494118125i</v>
      </c>
      <c r="R253" s="160">
        <f t="shared" si="147"/>
        <v>3.6559949831672243</v>
      </c>
      <c r="S253" s="160">
        <f t="shared" si="148"/>
        <v>1.2937421530090933</v>
      </c>
      <c r="T253" s="160" t="str">
        <f t="shared" si="140"/>
        <v>1+0.00562651990589i</v>
      </c>
      <c r="U253" s="160">
        <f t="shared" si="149"/>
        <v>1.0000158287378511</v>
      </c>
      <c r="V253" s="160">
        <f t="shared" si="150"/>
        <v>5.6264605327421245E-3</v>
      </c>
      <c r="W253" s="98" t="str">
        <f t="shared" si="141"/>
        <v>1-0.0146118072348251i</v>
      </c>
      <c r="X253" s="160">
        <f t="shared" si="151"/>
        <v>1.0001067467578988</v>
      </c>
      <c r="Y253" s="160">
        <f t="shared" si="152"/>
        <v>-1.4610767470485937E-2</v>
      </c>
      <c r="Z253" s="98" t="str">
        <f t="shared" si="142"/>
        <v>0.999896448918672+0.0167495743202987i</v>
      </c>
      <c r="AA253" s="160">
        <f t="shared" si="153"/>
        <v>1.0000367277255779</v>
      </c>
      <c r="AB253" s="160">
        <f t="shared" si="154"/>
        <v>1.6749742358973713E-2</v>
      </c>
      <c r="AC253" s="171" t="str">
        <f t="shared" si="155"/>
        <v>0.468531829433334-1.82486620674218i</v>
      </c>
      <c r="AD253" s="190">
        <f t="shared" si="156"/>
        <v>5.5018660344558414</v>
      </c>
      <c r="AE253" s="169">
        <f t="shared" si="157"/>
        <v>-75.600417560072927</v>
      </c>
      <c r="AF253" s="98" t="str">
        <f t="shared" si="143"/>
        <v>-0.0000816326530612245</v>
      </c>
      <c r="AG253" s="98" t="str">
        <f t="shared" si="144"/>
        <v>0.000312553180772189i</v>
      </c>
      <c r="AH253" s="98">
        <f t="shared" si="158"/>
        <v>3.1255318077218902E-4</v>
      </c>
      <c r="AI253" s="98">
        <f t="shared" si="159"/>
        <v>1.5707963267948966</v>
      </c>
      <c r="AJ253" s="98" t="str">
        <f t="shared" si="145"/>
        <v>1+0.0346225952624815i</v>
      </c>
      <c r="AK253" s="98">
        <f t="shared" si="160"/>
        <v>1.0005991825414957</v>
      </c>
      <c r="AL253" s="98">
        <f t="shared" si="161"/>
        <v>3.4608770890938105E-2</v>
      </c>
      <c r="AM253" s="98" t="str">
        <f t="shared" si="146"/>
        <v>1+3.49688212151064i</v>
      </c>
      <c r="AN253" s="98">
        <f t="shared" si="162"/>
        <v>3.6370571306676989</v>
      </c>
      <c r="AO253" s="98">
        <f t="shared" si="163"/>
        <v>1.2922611622498972</v>
      </c>
      <c r="AP253" s="168" t="str">
        <f t="shared" si="164"/>
        <v>-0.903190414354302+0.292450838736758i</v>
      </c>
      <c r="AQ253" s="98">
        <f t="shared" si="165"/>
        <v>-0.45140064853731643</v>
      </c>
      <c r="AR253" s="169">
        <f t="shared" si="166"/>
        <v>162.05817411940362</v>
      </c>
      <c r="AS253" s="168" t="str">
        <f t="shared" si="167"/>
        <v>0.110510195580044+1.78522419190128i</v>
      </c>
      <c r="AT253" s="190">
        <f t="shared" si="168"/>
        <v>5.0504653859185282</v>
      </c>
      <c r="AU253" s="169">
        <f t="shared" si="169"/>
        <v>86.457756559330704</v>
      </c>
      <c r="AV253" s="225"/>
      <c r="AX253">
        <f t="shared" si="170"/>
        <v>0</v>
      </c>
      <c r="AY253">
        <f t="shared" si="171"/>
        <v>0</v>
      </c>
    </row>
    <row r="254" spans="14:51" x14ac:dyDescent="0.2">
      <c r="N254" s="170">
        <v>36</v>
      </c>
      <c r="O254" s="199">
        <f t="shared" si="172"/>
        <v>2290.8676527677749</v>
      </c>
      <c r="P254" s="189" t="str">
        <f t="shared" si="138"/>
        <v>6.8875</v>
      </c>
      <c r="Q254" s="160" t="str">
        <f t="shared" si="139"/>
        <v>1+3.59848649414088i</v>
      </c>
      <c r="R254" s="160">
        <f t="shared" si="147"/>
        <v>3.7348500704197383</v>
      </c>
      <c r="S254" s="160">
        <f t="shared" si="148"/>
        <v>1.2997410167996881</v>
      </c>
      <c r="T254" s="160" t="str">
        <f t="shared" si="140"/>
        <v>1+0.0057575783906254i</v>
      </c>
      <c r="U254" s="160">
        <f t="shared" si="149"/>
        <v>1.0000165747171015</v>
      </c>
      <c r="V254" s="160">
        <f t="shared" si="150"/>
        <v>5.7575147712081885E-3</v>
      </c>
      <c r="W254" s="98" t="str">
        <f t="shared" si="141"/>
        <v>1-0.0149521599479538i</v>
      </c>
      <c r="X254" s="160">
        <f t="shared" si="151"/>
        <v>1.0001117772964725</v>
      </c>
      <c r="Y254" s="160">
        <f t="shared" si="152"/>
        <v>-1.4951045827116581E-2</v>
      </c>
      <c r="Z254" s="98" t="str">
        <f t="shared" si="142"/>
        <v>0.99989156870656+0.0171397220256473i</v>
      </c>
      <c r="AA254" s="160">
        <f t="shared" si="153"/>
        <v>1.0000384588812481</v>
      </c>
      <c r="AB254" s="160">
        <f t="shared" si="154"/>
        <v>1.7139902080143751E-2</v>
      </c>
      <c r="AC254" s="171" t="str">
        <f t="shared" si="155"/>
        <v>0.446844780449361-1.78933176875013i</v>
      </c>
      <c r="AD254" s="190">
        <f t="shared" si="156"/>
        <v>5.3165495411115193</v>
      </c>
      <c r="AE254" s="169">
        <f t="shared" si="157"/>
        <v>-75.978469301450076</v>
      </c>
      <c r="AF254" s="98" t="str">
        <f t="shared" si="143"/>
        <v>-0.0000816326530612245</v>
      </c>
      <c r="AG254" s="98" t="str">
        <f t="shared" si="144"/>
        <v>0.00031983347959924i</v>
      </c>
      <c r="AH254" s="98">
        <f t="shared" si="158"/>
        <v>3.1983347959923999E-4</v>
      </c>
      <c r="AI254" s="98">
        <f t="shared" si="159"/>
        <v>1.5707963267948966</v>
      </c>
      <c r="AJ254" s="98" t="str">
        <f t="shared" si="145"/>
        <v>1+0.0354290591066702i</v>
      </c>
      <c r="AK254" s="98">
        <f t="shared" si="160"/>
        <v>1.0006274122915002</v>
      </c>
      <c r="AL254" s="98">
        <f t="shared" si="161"/>
        <v>3.5414246527271522E-2</v>
      </c>
      <c r="AM254" s="98" t="str">
        <f t="shared" si="146"/>
        <v>1+3.57833496977369i</v>
      </c>
      <c r="AN254" s="98">
        <f t="shared" si="162"/>
        <v>3.7154382185558239</v>
      </c>
      <c r="AO254" s="98">
        <f t="shared" si="163"/>
        <v>1.2982888221240467</v>
      </c>
      <c r="AP254" s="168" t="str">
        <f t="shared" si="164"/>
        <v>-0.903139453367967+0.287232240050656i</v>
      </c>
      <c r="AQ254" s="98">
        <f t="shared" si="165"/>
        <v>-0.46644727592379676</v>
      </c>
      <c r="AR254" s="169">
        <f t="shared" si="166"/>
        <v>162.35738323607023</v>
      </c>
      <c r="AS254" s="168" t="str">
        <f t="shared" si="167"/>
        <v>0.110390621376537+1.74436434276634i</v>
      </c>
      <c r="AT254" s="190">
        <f t="shared" si="168"/>
        <v>4.8501022651877062</v>
      </c>
      <c r="AU254" s="169">
        <f t="shared" si="169"/>
        <v>86.378913934620172</v>
      </c>
      <c r="AV254" s="225"/>
      <c r="AX254">
        <f t="shared" si="170"/>
        <v>0</v>
      </c>
      <c r="AY254">
        <f t="shared" si="171"/>
        <v>0</v>
      </c>
    </row>
    <row r="255" spans="14:51" x14ac:dyDescent="0.2">
      <c r="N255" s="170">
        <v>37</v>
      </c>
      <c r="O255" s="199">
        <f t="shared" si="172"/>
        <v>2344.2288153199238</v>
      </c>
      <c r="P255" s="189" t="str">
        <f t="shared" si="138"/>
        <v>6.8875</v>
      </c>
      <c r="Q255" s="160" t="str">
        <f t="shared" si="139"/>
        <v>1+3.6823060122713i</v>
      </c>
      <c r="R255" s="160">
        <f t="shared" si="147"/>
        <v>3.8156752440438857</v>
      </c>
      <c r="S255" s="160">
        <f t="shared" si="148"/>
        <v>1.3056227197487724</v>
      </c>
      <c r="T255" s="160" t="str">
        <f t="shared" si="140"/>
        <v>1+0.00589168961963408i</v>
      </c>
      <c r="U255" s="160">
        <f t="shared" si="149"/>
        <v>1.0000173558526742</v>
      </c>
      <c r="V255" s="160">
        <f t="shared" si="150"/>
        <v>5.8916214502642483E-3</v>
      </c>
      <c r="W255" s="98" t="str">
        <f t="shared" si="141"/>
        <v>1-0.0153004404942021i</v>
      </c>
      <c r="X255" s="160">
        <f t="shared" si="151"/>
        <v>1.000117044889905</v>
      </c>
      <c r="Y255" s="160">
        <f t="shared" si="152"/>
        <v>-1.5299246699762216E-2</v>
      </c>
      <c r="Z255" s="98" t="str">
        <f t="shared" si="142"/>
        <v>0.999886458497137+0.017538957438485i</v>
      </c>
      <c r="AA255" s="160">
        <f t="shared" si="153"/>
        <v>1.0000402716460852</v>
      </c>
      <c r="AB255" s="160">
        <f t="shared" si="154"/>
        <v>1.7539150367899142E-2</v>
      </c>
      <c r="AC255" s="171" t="str">
        <f t="shared" si="155"/>
        <v>0.425996578958775-1.75424068823505i</v>
      </c>
      <c r="AD255" s="190">
        <f t="shared" si="156"/>
        <v>5.1306216910845031</v>
      </c>
      <c r="AE255" s="169">
        <f t="shared" si="157"/>
        <v>-76.350607992359457</v>
      </c>
      <c r="AF255" s="98" t="str">
        <f t="shared" si="143"/>
        <v>-0.0000816326530612245</v>
      </c>
      <c r="AG255" s="98" t="str">
        <f t="shared" si="144"/>
        <v>0.000327283358370672i</v>
      </c>
      <c r="AH255" s="98">
        <f t="shared" si="158"/>
        <v>3.27283358370672E-4</v>
      </c>
      <c r="AI255" s="98">
        <f t="shared" si="159"/>
        <v>1.5707963267948966</v>
      </c>
      <c r="AJ255" s="98" t="str">
        <f t="shared" si="145"/>
        <v>1+0.0362543079069563i</v>
      </c>
      <c r="AK255" s="98">
        <f t="shared" si="160"/>
        <v>1.0006569716150546</v>
      </c>
      <c r="AL255" s="98">
        <f t="shared" si="161"/>
        <v>3.6238436504920243E-2</v>
      </c>
      <c r="AM255" s="98" t="str">
        <f t="shared" si="146"/>
        <v>1+3.66168509860258i</v>
      </c>
      <c r="AN255" s="98">
        <f t="shared" si="162"/>
        <v>3.7957789399974531</v>
      </c>
      <c r="AO255" s="98">
        <f t="shared" si="163"/>
        <v>1.3041989632005939</v>
      </c>
      <c r="AP255" s="168" t="str">
        <f t="shared" si="164"/>
        <v>-0.903086096827665+0.282165765697358i</v>
      </c>
      <c r="AQ255" s="98">
        <f t="shared" si="165"/>
        <v>-0.4808865048441493</v>
      </c>
      <c r="AR255" s="169">
        <f t="shared" si="166"/>
        <v>162.64878676884706</v>
      </c>
      <c r="AS255" s="168" t="str">
        <f t="shared" si="167"/>
        <v>0.110275079259485+1.70443202692083i</v>
      </c>
      <c r="AT255" s="190">
        <f t="shared" si="168"/>
        <v>4.6497351862403731</v>
      </c>
      <c r="AU255" s="169">
        <f t="shared" si="169"/>
        <v>86.298178776487617</v>
      </c>
      <c r="AV255" s="225"/>
      <c r="AX255">
        <f t="shared" si="170"/>
        <v>0</v>
      </c>
      <c r="AY255">
        <f t="shared" si="171"/>
        <v>0</v>
      </c>
    </row>
    <row r="256" spans="14:51" x14ac:dyDescent="0.2">
      <c r="N256" s="170">
        <v>38</v>
      </c>
      <c r="O256" s="199">
        <f t="shared" si="172"/>
        <v>2398.8329190194918</v>
      </c>
      <c r="P256" s="189" t="str">
        <f t="shared" si="138"/>
        <v>6.8875</v>
      </c>
      <c r="Q256" s="160" t="str">
        <f t="shared" si="139"/>
        <v>1+3.7680779377905i</v>
      </c>
      <c r="R256" s="160">
        <f t="shared" si="147"/>
        <v>3.898513991928656</v>
      </c>
      <c r="S256" s="160">
        <f t="shared" si="148"/>
        <v>1.3113887519664367</v>
      </c>
      <c r="T256" s="160" t="str">
        <f t="shared" si="140"/>
        <v>1+0.0060289247004648i</v>
      </c>
      <c r="U256" s="160">
        <f t="shared" si="149"/>
        <v>1.0000181738013785</v>
      </c>
      <c r="V256" s="160">
        <f t="shared" si="150"/>
        <v>6.0288516557406953E-3</v>
      </c>
      <c r="W256" s="98" t="str">
        <f t="shared" si="141"/>
        <v>1-0.0156568335365256i</v>
      </c>
      <c r="X256" s="160">
        <f t="shared" si="151"/>
        <v>1.0001225607076316</v>
      </c>
      <c r="Y256" s="160">
        <f t="shared" si="152"/>
        <v>-1.5655554371202914E-2</v>
      </c>
      <c r="Z256" s="98" t="str">
        <f t="shared" si="142"/>
        <v>0.999881107450963+0.0179474922387121i</v>
      </c>
      <c r="AA256" s="160">
        <f t="shared" si="153"/>
        <v>1.0000421698683626</v>
      </c>
      <c r="AB256" s="160">
        <f t="shared" si="154"/>
        <v>1.7947698963549589E-2</v>
      </c>
      <c r="AC256" s="171" t="str">
        <f t="shared" si="155"/>
        <v>0.405960326937858-1.71960349318999i</v>
      </c>
      <c r="AD256" s="190">
        <f t="shared" si="156"/>
        <v>4.9441063546369861</v>
      </c>
      <c r="AE256" s="169">
        <f t="shared" si="157"/>
        <v>-76.716937627410971</v>
      </c>
      <c r="AF256" s="98" t="str">
        <f t="shared" si="143"/>
        <v>-0.0000816326530612245</v>
      </c>
      <c r="AG256" s="98" t="str">
        <f t="shared" si="144"/>
        <v>0.000334906767110819i</v>
      </c>
      <c r="AH256" s="98">
        <f t="shared" si="158"/>
        <v>3.3490676711081898E-4</v>
      </c>
      <c r="AI256" s="98">
        <f t="shared" si="159"/>
        <v>1.5707963267948966</v>
      </c>
      <c r="AJ256" s="98" t="str">
        <f t="shared" si="145"/>
        <v>1+0.037098779221177i</v>
      </c>
      <c r="AK256" s="98">
        <f t="shared" si="160"/>
        <v>1.0006879230907615</v>
      </c>
      <c r="AL256" s="98">
        <f t="shared" si="161"/>
        <v>3.7081773338855505E-2</v>
      </c>
      <c r="AM256" s="98" t="str">
        <f t="shared" si="146"/>
        <v>1+3.74697670133888i</v>
      </c>
      <c r="AN256" s="98">
        <f t="shared" si="162"/>
        <v>3.8781225355030227</v>
      </c>
      <c r="AO256" s="98">
        <f t="shared" si="163"/>
        <v>1.3099930669355848</v>
      </c>
      <c r="AP256" s="168" t="str">
        <f t="shared" si="164"/>
        <v>-0.903030232427861+0.277248717238925i</v>
      </c>
      <c r="AQ256" s="98">
        <f t="shared" si="165"/>
        <v>-0.49474285920377259</v>
      </c>
      <c r="AR256" s="169">
        <f t="shared" si="166"/>
        <v>162.93244481763062</v>
      </c>
      <c r="AS256" s="168" t="str">
        <f t="shared" si="167"/>
        <v>0.110163414255315+1.66540592203253i</v>
      </c>
      <c r="AT256" s="190">
        <f t="shared" si="168"/>
        <v>4.449363495433194</v>
      </c>
      <c r="AU256" s="169">
        <f t="shared" si="169"/>
        <v>86.21550719021964</v>
      </c>
      <c r="AV256" s="225"/>
      <c r="AX256">
        <f t="shared" si="170"/>
        <v>0</v>
      </c>
      <c r="AY256">
        <f t="shared" si="171"/>
        <v>0</v>
      </c>
    </row>
    <row r="257" spans="14:51" x14ac:dyDescent="0.2">
      <c r="N257" s="170">
        <v>39</v>
      </c>
      <c r="O257" s="199">
        <f t="shared" si="172"/>
        <v>2454.7089156850338</v>
      </c>
      <c r="P257" s="189" t="str">
        <f t="shared" si="138"/>
        <v>6.8875</v>
      </c>
      <c r="Q257" s="160" t="str">
        <f t="shared" si="139"/>
        <v>1+3.85584774810873i</v>
      </c>
      <c r="R257" s="160">
        <f t="shared" si="147"/>
        <v>3.9834108320125812</v>
      </c>
      <c r="S257" s="160">
        <f t="shared" si="148"/>
        <v>1.3170406364212799</v>
      </c>
      <c r="T257" s="160" t="str">
        <f t="shared" si="140"/>
        <v>1+0.00616935639697396i</v>
      </c>
      <c r="U257" s="160">
        <f t="shared" si="149"/>
        <v>1.0000190302981002</v>
      </c>
      <c r="V257" s="160">
        <f t="shared" si="150"/>
        <v>6.1692781282223792E-3</v>
      </c>
      <c r="W257" s="98" t="str">
        <f t="shared" si="141"/>
        <v>1-0.0160215280392329i</v>
      </c>
      <c r="X257" s="160">
        <f t="shared" si="151"/>
        <v>1.0001283364452342</v>
      </c>
      <c r="Y257" s="160">
        <f t="shared" si="152"/>
        <v>-1.6020157398394054E-2</v>
      </c>
      <c r="Z257" s="98" t="str">
        <f t="shared" si="142"/>
        <v>0.999875504217753+0.0183655430368873i</v>
      </c>
      <c r="AA257" s="160">
        <f t="shared" si="153"/>
        <v>1.0000441575779269</v>
      </c>
      <c r="AB257" s="160">
        <f t="shared" si="154"/>
        <v>1.8365764543451155E-2</v>
      </c>
      <c r="AC257" s="171" t="str">
        <f t="shared" si="155"/>
        <v>0.386709525706231-1.68542945545583i</v>
      </c>
      <c r="AD257" s="190">
        <f t="shared" si="156"/>
        <v>4.7570266359728999</v>
      </c>
      <c r="AE257" s="169">
        <f t="shared" si="157"/>
        <v>-77.077564516707781</v>
      </c>
      <c r="AF257" s="98" t="str">
        <f t="shared" si="143"/>
        <v>-0.0000816326530612245</v>
      </c>
      <c r="AG257" s="98" t="str">
        <f t="shared" si="144"/>
        <v>0.000342707747851904i</v>
      </c>
      <c r="AH257" s="98">
        <f t="shared" si="158"/>
        <v>3.4270774785190398E-4</v>
      </c>
      <c r="AI257" s="98">
        <f t="shared" si="159"/>
        <v>1.5707963267948966</v>
      </c>
      <c r="AJ257" s="98" t="str">
        <f t="shared" si="145"/>
        <v>1+0.0379629207992012i</v>
      </c>
      <c r="AK257" s="98">
        <f t="shared" si="160"/>
        <v>1.0007203322385363</v>
      </c>
      <c r="AL257" s="98">
        <f t="shared" si="161"/>
        <v>3.7944699376326101E-2</v>
      </c>
      <c r="AM257" s="98" t="str">
        <f t="shared" si="146"/>
        <v>1+3.83425500071932i</v>
      </c>
      <c r="AN257" s="98">
        <f t="shared" si="162"/>
        <v>3.9625132694466916</v>
      </c>
      <c r="AO257" s="98">
        <f t="shared" si="163"/>
        <v>1.3156726486664847</v>
      </c>
      <c r="AP257" s="168" t="str">
        <f t="shared" si="164"/>
        <v>-0.902971742627265+0.272478474601676i</v>
      </c>
      <c r="AQ257" s="98">
        <f t="shared" si="165"/>
        <v>-0.50804011582292796</v>
      </c>
      <c r="AR257" s="169">
        <f t="shared" si="166"/>
        <v>163.20841886023172</v>
      </c>
      <c r="AS257" s="168" t="str">
        <f t="shared" si="167"/>
        <v>0.110055472753819+1.62726519414664i</v>
      </c>
      <c r="AT257" s="190">
        <f t="shared" si="168"/>
        <v>4.2489865201499493</v>
      </c>
      <c r="AU257" s="169">
        <f t="shared" si="169"/>
        <v>86.130854343523978</v>
      </c>
      <c r="AV257" s="225"/>
      <c r="AX257">
        <f t="shared" si="170"/>
        <v>0</v>
      </c>
      <c r="AY257">
        <f t="shared" si="171"/>
        <v>0</v>
      </c>
    </row>
    <row r="258" spans="14:51" x14ac:dyDescent="0.2">
      <c r="N258" s="170">
        <v>40</v>
      </c>
      <c r="O258" s="199">
        <f t="shared" si="172"/>
        <v>2511.8864315095811</v>
      </c>
      <c r="P258" s="189" t="str">
        <f t="shared" si="138"/>
        <v>6.8875</v>
      </c>
      <c r="Q258" s="160" t="str">
        <f t="shared" si="139"/>
        <v>1+3.9456619799412i</v>
      </c>
      <c r="R258" s="160">
        <f t="shared" si="147"/>
        <v>4.0704113379305422</v>
      </c>
      <c r="S258" s="160">
        <f t="shared" si="148"/>
        <v>1.3225799248771006</v>
      </c>
      <c r="T258" s="160" t="str">
        <f t="shared" si="140"/>
        <v>1+0.00631305916790592i</v>
      </c>
      <c r="U258" s="160">
        <f t="shared" si="149"/>
        <v>1.000019927159483</v>
      </c>
      <c r="V258" s="160">
        <f t="shared" si="150"/>
        <v>6.3129753015178638E-3</v>
      </c>
      <c r="W258" s="98" t="str">
        <f t="shared" si="141"/>
        <v>1-0.0163947173681767i</v>
      </c>
      <c r="X258" s="160">
        <f t="shared" si="151"/>
        <v>1.0001343843492145</v>
      </c>
      <c r="Y258" s="160">
        <f t="shared" si="152"/>
        <v>-1.6393248710715208E-2</v>
      </c>
      <c r="Z258" s="98" t="str">
        <f t="shared" si="142"/>
        <v>0.999869636912297+0.0187933314890774i</v>
      </c>
      <c r="AA258" s="160">
        <f t="shared" si="153"/>
        <v>1.0000462389947711</v>
      </c>
      <c r="AB258" s="160">
        <f t="shared" si="154"/>
        <v>1.8793568834169355E-2</v>
      </c>
      <c r="AC258" s="171" t="str">
        <f t="shared" si="155"/>
        <v>0.36821811287512-1.65172665393157i</v>
      </c>
      <c r="AD258" s="190">
        <f t="shared" si="156"/>
        <v>4.5694048854654365</v>
      </c>
      <c r="AE258" s="169">
        <f t="shared" si="157"/>
        <v>-77.432597063058822</v>
      </c>
      <c r="AF258" s="98" t="str">
        <f t="shared" si="143"/>
        <v>-0.0000816326530612245</v>
      </c>
      <c r="AG258" s="98" t="str">
        <f t="shared" si="144"/>
        <v>0.000350690436777173i</v>
      </c>
      <c r="AH258" s="98">
        <f t="shared" si="158"/>
        <v>3.5069043677717299E-4</v>
      </c>
      <c r="AI258" s="98">
        <f t="shared" si="159"/>
        <v>1.5707963267948966</v>
      </c>
      <c r="AJ258" s="98" t="str">
        <f t="shared" si="145"/>
        <v>1+0.038847190820332i</v>
      </c>
      <c r="AK258" s="98">
        <f t="shared" si="160"/>
        <v>1.0007542676574661</v>
      </c>
      <c r="AL258" s="98">
        <f t="shared" si="161"/>
        <v>3.8827667008642069E-2</v>
      </c>
      <c r="AM258" s="98" t="str">
        <f t="shared" si="146"/>
        <v>1+3.92356627285353i</v>
      </c>
      <c r="AN258" s="98">
        <f t="shared" si="162"/>
        <v>4.0489964556015288</v>
      </c>
      <c r="AO258" s="98">
        <f t="shared" si="163"/>
        <v>1.3212392534976329</v>
      </c>
      <c r="AP258" s="168" t="str">
        <f t="shared" si="164"/>
        <v>-0.902910504407633+0.267852494625736i</v>
      </c>
      <c r="AQ258" s="98">
        <f t="shared" si="165"/>
        <v>-0.52080131741209157</v>
      </c>
      <c r="AR258" s="169">
        <f t="shared" si="166"/>
        <v>163.4767715044953</v>
      </c>
      <c r="AS258" s="168" t="str">
        <f t="shared" si="167"/>
        <v>0.109951102667289+1.58998948634487i</v>
      </c>
      <c r="AT258" s="190">
        <f t="shared" si="168"/>
        <v>4.0486035680533607</v>
      </c>
      <c r="AU258" s="169">
        <f t="shared" si="169"/>
        <v>86.04417444143651</v>
      </c>
      <c r="AV258" s="225"/>
      <c r="AX258">
        <f t="shared" si="170"/>
        <v>0</v>
      </c>
      <c r="AY258">
        <f t="shared" si="171"/>
        <v>0</v>
      </c>
    </row>
    <row r="259" spans="14:51" x14ac:dyDescent="0.2">
      <c r="N259" s="170">
        <v>41</v>
      </c>
      <c r="O259" s="199">
        <f t="shared" si="172"/>
        <v>2570.3957827688669</v>
      </c>
      <c r="P259" s="189" t="str">
        <f t="shared" si="138"/>
        <v>6.8875</v>
      </c>
      <c r="Q259" s="160" t="str">
        <f t="shared" si="139"/>
        <v>1+4.03756825398243i</v>
      </c>
      <c r="R259" s="160">
        <f t="shared" si="147"/>
        <v>4.1595621651282881</v>
      </c>
      <c r="S259" s="160">
        <f t="shared" si="148"/>
        <v>1.328008194037902</v>
      </c>
      <c r="T259" s="160" t="str">
        <f t="shared" si="140"/>
        <v>1+0.00646010920637188i</v>
      </c>
      <c r="U259" s="160">
        <f t="shared" si="149"/>
        <v>1.0000208662877781</v>
      </c>
      <c r="V259" s="160">
        <f t="shared" si="150"/>
        <v>6.4600193420192879E-3</v>
      </c>
      <c r="W259" s="98" t="str">
        <f t="shared" si="141"/>
        <v>1-0.0167765993932788i</v>
      </c>
      <c r="X259" s="160">
        <f t="shared" si="151"/>
        <v>1.00014071724293</v>
      </c>
      <c r="Y259" s="160">
        <f t="shared" si="152"/>
        <v>-1.6775025710414154E-2</v>
      </c>
      <c r="Z259" s="98" t="str">
        <f t="shared" si="142"/>
        <v>0.999863493089255+0.0192310844143821i</v>
      </c>
      <c r="AA259" s="160">
        <f t="shared" si="153"/>
        <v>1.0000484185380225</v>
      </c>
      <c r="AB259" s="160">
        <f t="shared" si="154"/>
        <v>1.9231338730339581E-2</v>
      </c>
      <c r="AC259" s="171" t="str">
        <f t="shared" si="155"/>
        <v>0.350460494604755-1.61850203685208i</v>
      </c>
      <c r="AD259" s="190">
        <f t="shared" si="156"/>
        <v>4.3812627128896784</v>
      </c>
      <c r="AE259" s="169">
        <f t="shared" si="157"/>
        <v>-77.782145551356763</v>
      </c>
      <c r="AF259" s="98" t="str">
        <f t="shared" si="143"/>
        <v>-0.0000816326530612245</v>
      </c>
      <c r="AG259" s="98" t="str">
        <f t="shared" si="144"/>
        <v>0.000358859066413958i</v>
      </c>
      <c r="AH259" s="98">
        <f t="shared" si="158"/>
        <v>3.5885906641395799E-4</v>
      </c>
      <c r="AI259" s="98">
        <f t="shared" si="159"/>
        <v>1.5707963267948966</v>
      </c>
      <c r="AJ259" s="98" t="str">
        <f t="shared" si="145"/>
        <v>1+0.0397520581362389i</v>
      </c>
      <c r="AK259" s="98">
        <f t="shared" si="160"/>
        <v>1.0007898011700893</v>
      </c>
      <c r="AL259" s="98">
        <f t="shared" si="161"/>
        <v>3.9731138886669327E-2</v>
      </c>
      <c r="AM259" s="98" t="str">
        <f t="shared" si="146"/>
        <v>1+4.01495787176013i</v>
      </c>
      <c r="AN259" s="98">
        <f t="shared" si="162"/>
        <v>4.1376184831384144</v>
      </c>
      <c r="AO259" s="98">
        <f t="shared" si="163"/>
        <v>1.3266944523947262</v>
      </c>
      <c r="AP259" s="168" t="str">
        <f t="shared" si="164"/>
        <v>-0.902846389021568+0.26336830965102i</v>
      </c>
      <c r="AQ259" s="98">
        <f t="shared" si="165"/>
        <v>-0.53304878663324318</v>
      </c>
      <c r="AR259" s="169">
        <f t="shared" si="166"/>
        <v>163.73756625218346</v>
      </c>
      <c r="AS259" s="168" t="str">
        <f t="shared" si="167"/>
        <v>0.109850153563849+1.55355890765947i</v>
      </c>
      <c r="AT259" s="190">
        <f t="shared" si="168"/>
        <v>3.8482139262564448</v>
      </c>
      <c r="AU259" s="169">
        <f t="shared" si="169"/>
        <v>85.955420700826707</v>
      </c>
      <c r="AV259" s="225"/>
      <c r="AX259">
        <f t="shared" si="170"/>
        <v>0</v>
      </c>
      <c r="AY259">
        <f t="shared" si="171"/>
        <v>0</v>
      </c>
    </row>
    <row r="260" spans="14:51" x14ac:dyDescent="0.2">
      <c r="N260" s="170">
        <v>42</v>
      </c>
      <c r="O260" s="199">
        <f t="shared" si="172"/>
        <v>2630.2679918953822</v>
      </c>
      <c r="P260" s="189" t="str">
        <f t="shared" si="138"/>
        <v>6.8875</v>
      </c>
      <c r="Q260" s="160" t="str">
        <f t="shared" si="139"/>
        <v>1+4.13161530015545i</v>
      </c>
      <c r="R260" s="160">
        <f t="shared" si="147"/>
        <v>4.2509110774607608</v>
      </c>
      <c r="S260" s="160">
        <f t="shared" si="148"/>
        <v>1.3333270418977432</v>
      </c>
      <c r="T260" s="160" t="str">
        <f t="shared" si="140"/>
        <v>1+0.00661058448024872i</v>
      </c>
      <c r="U260" s="160">
        <f t="shared" si="149"/>
        <v>1.0000218496748812</v>
      </c>
      <c r="V260" s="160">
        <f t="shared" si="150"/>
        <v>6.6104881889736938E-3</v>
      </c>
      <c r="W260" s="98" t="str">
        <f t="shared" si="141"/>
        <v>1-0.0171673765934437i</v>
      </c>
      <c r="X260" s="160">
        <f t="shared" si="151"/>
        <v>1.0001473485537524</v>
      </c>
      <c r="Y260" s="160">
        <f t="shared" si="152"/>
        <v>-1.7165690375290896E-2</v>
      </c>
      <c r="Z260" s="98" t="str">
        <f t="shared" si="142"/>
        <v>0.999857059716752+0.0196790339151968i</v>
      </c>
      <c r="AA260" s="160">
        <f t="shared" si="153"/>
        <v>1.0000507008353448</v>
      </c>
      <c r="AB260" s="160">
        <f t="shared" si="154"/>
        <v>1.967930641528965E-2</v>
      </c>
      <c r="AC260" s="171" t="str">
        <f t="shared" si="155"/>
        <v>0.333411573463122-1.58576148291468i</v>
      </c>
      <c r="AD260" s="190">
        <f t="shared" si="156"/>
        <v>4.1926210015295222</v>
      </c>
      <c r="AE260" s="169">
        <f t="shared" si="157"/>
        <v>-78.126321949927373</v>
      </c>
      <c r="AF260" s="98" t="str">
        <f t="shared" si="143"/>
        <v>-0.0000816326530612245</v>
      </c>
      <c r="AG260" s="98" t="str">
        <f t="shared" si="144"/>
        <v>0.000367217967877817i</v>
      </c>
      <c r="AH260" s="98">
        <f t="shared" si="158"/>
        <v>3.6721796787781699E-4</v>
      </c>
      <c r="AI260" s="98">
        <f t="shared" si="159"/>
        <v>1.5707963267948966</v>
      </c>
      <c r="AJ260" s="98" t="str">
        <f t="shared" si="145"/>
        <v>1+0.0406780025195503i</v>
      </c>
      <c r="AK260" s="98">
        <f t="shared" si="160"/>
        <v>1.0008270079733963</v>
      </c>
      <c r="AL260" s="98">
        <f t="shared" si="161"/>
        <v>4.0655588140037301E-2</v>
      </c>
      <c r="AM260" s="98" t="str">
        <f t="shared" si="146"/>
        <v>1+4.10847825447458i</v>
      </c>
      <c r="AN260" s="98">
        <f t="shared" si="162"/>
        <v>4.2284268431049501</v>
      </c>
      <c r="AO260" s="98">
        <f t="shared" si="163"/>
        <v>1.3320398384850751</v>
      </c>
      <c r="AP260" s="168" t="str">
        <f t="shared" si="164"/>
        <v>-0.902779261729168+0.25902352613864i</v>
      </c>
      <c r="AQ260" s="98">
        <f t="shared" si="165"/>
        <v>-0.54480414111370257</v>
      </c>
      <c r="AR260" s="169">
        <f t="shared" si="166"/>
        <v>163.99086727443645</v>
      </c>
      <c r="AS260" s="168" t="str">
        <f t="shared" si="167"/>
        <v>0.109752476776402+1.51795402223812i</v>
      </c>
      <c r="AT260" s="190">
        <f t="shared" si="168"/>
        <v>3.6478168604158459</v>
      </c>
      <c r="AU260" s="169">
        <f t="shared" si="169"/>
        <v>85.864545324509081</v>
      </c>
      <c r="AV260" s="225"/>
      <c r="AX260">
        <f t="shared" si="170"/>
        <v>0</v>
      </c>
      <c r="AY260">
        <f t="shared" si="171"/>
        <v>0</v>
      </c>
    </row>
    <row r="261" spans="14:51" x14ac:dyDescent="0.2">
      <c r="N261" s="170">
        <v>43</v>
      </c>
      <c r="O261" s="199">
        <f t="shared" si="172"/>
        <v>2691.5348039269184</v>
      </c>
      <c r="P261" s="189" t="str">
        <f t="shared" si="138"/>
        <v>6.8875</v>
      </c>
      <c r="Q261" s="160" t="str">
        <f t="shared" si="139"/>
        <v>1+4.22785298344902i</v>
      </c>
      <c r="R261" s="160">
        <f t="shared" si="147"/>
        <v>4.344506974290498</v>
      </c>
      <c r="S261" s="160">
        <f t="shared" si="148"/>
        <v>1.3385380842912902</v>
      </c>
      <c r="T261" s="160" t="str">
        <f t="shared" si="140"/>
        <v>1+0.00676456477351844i</v>
      </c>
      <c r="U261" s="160">
        <f t="shared" si="149"/>
        <v>1.000022879406554</v>
      </c>
      <c r="V261" s="160">
        <f t="shared" si="150"/>
        <v>6.764461595685816E-3</v>
      </c>
      <c r="W261" s="98" t="str">
        <f t="shared" si="141"/>
        <v>1-0.0175672561639156i</v>
      </c>
      <c r="X261" s="160">
        <f t="shared" si="151"/>
        <v>1.000154292341501</v>
      </c>
      <c r="Y261" s="160">
        <f t="shared" si="152"/>
        <v>-1.7565449363665844E-2</v>
      </c>
      <c r="Z261" s="98" t="str">
        <f t="shared" si="142"/>
        <v>0.999850323148745+0.0201374175002762i</v>
      </c>
      <c r="AA261" s="160">
        <f t="shared" si="153"/>
        <v>1.0000530907328022</v>
      </c>
      <c r="AB261" s="160">
        <f t="shared" si="154"/>
        <v>2.0137709484488512E-2</v>
      </c>
      <c r="AC261" s="171" t="str">
        <f t="shared" si="155"/>
        <v>0.317046772175141-1.55350986106719i</v>
      </c>
      <c r="AD261" s="190">
        <f t="shared" si="156"/>
        <v>4.003499923035938</v>
      </c>
      <c r="AE261" s="169">
        <f t="shared" si="157"/>
        <v>-78.465239723616818</v>
      </c>
      <c r="AF261" s="98" t="str">
        <f t="shared" si="143"/>
        <v>-0.0000816326530612245</v>
      </c>
      <c r="AG261" s="98" t="str">
        <f t="shared" si="144"/>
        <v>0.000375771573168949i</v>
      </c>
      <c r="AH261" s="98">
        <f t="shared" si="158"/>
        <v>3.7577157316894899E-4</v>
      </c>
      <c r="AI261" s="98">
        <f t="shared" si="159"/>
        <v>1.5707963267948966</v>
      </c>
      <c r="AJ261" s="98" t="str">
        <f t="shared" si="145"/>
        <v>1+0.0416255149182348i</v>
      </c>
      <c r="AK261" s="98">
        <f t="shared" si="160"/>
        <v>1.0008659667968576</v>
      </c>
      <c r="AL261" s="98">
        <f t="shared" si="161"/>
        <v>4.1601498600050739E-2</v>
      </c>
      <c r="AM261" s="98" t="str">
        <f t="shared" si="146"/>
        <v>1+4.20417700674171i</v>
      </c>
      <c r="AN261" s="98">
        <f t="shared" si="162"/>
        <v>4.3214701554003216</v>
      </c>
      <c r="AO261" s="98">
        <f t="shared" si="163"/>
        <v>1.3372770235596168</v>
      </c>
      <c r="AP261" s="168" t="str">
        <f t="shared" si="164"/>
        <v>-0.902708981522767+0.254815823326651i</v>
      </c>
      <c r="AQ261" s="98">
        <f t="shared" si="165"/>
        <v>-0.55608830929287145</v>
      </c>
      <c r="AR261" s="169">
        <f t="shared" si="166"/>
        <v>164.23673919858047</v>
      </c>
      <c r="AS261" s="168" t="str">
        <f t="shared" si="167"/>
        <v>0.109657925488605+1.4831558387544i</v>
      </c>
      <c r="AT261" s="190">
        <f t="shared" si="168"/>
        <v>3.4474116137430419</v>
      </c>
      <c r="AU261" s="169">
        <f t="shared" si="169"/>
        <v>85.771499474963619</v>
      </c>
      <c r="AV261" s="225"/>
      <c r="AX261">
        <f t="shared" si="170"/>
        <v>0</v>
      </c>
      <c r="AY261">
        <f t="shared" si="171"/>
        <v>0</v>
      </c>
    </row>
    <row r="262" spans="14:51" x14ac:dyDescent="0.2">
      <c r="N262" s="170">
        <v>44</v>
      </c>
      <c r="O262" s="199">
        <f t="shared" si="172"/>
        <v>2754.228703338169</v>
      </c>
      <c r="P262" s="189" t="str">
        <f t="shared" si="138"/>
        <v>6.8875</v>
      </c>
      <c r="Q262" s="160" t="str">
        <f t="shared" si="139"/>
        <v>1+4.32633233035668i</v>
      </c>
      <c r="R262" s="160">
        <f t="shared" si="147"/>
        <v>4.4403999181030374</v>
      </c>
      <c r="S262" s="160">
        <f t="shared" si="148"/>
        <v>1.3436429516403579</v>
      </c>
      <c r="T262" s="160" t="str">
        <f t="shared" si="140"/>
        <v>1+0.00692213172857068i</v>
      </c>
      <c r="U262" s="160">
        <f t="shared" si="149"/>
        <v>1.0000239576668488</v>
      </c>
      <c r="V262" s="160">
        <f t="shared" si="150"/>
        <v>6.9220211716741996E-3</v>
      </c>
      <c r="W262" s="98" t="str">
        <f t="shared" si="141"/>
        <v>1-0.0179764501261358i</v>
      </c>
      <c r="X262" s="160">
        <f t="shared" si="151"/>
        <v>1.0001615633282142</v>
      </c>
      <c r="Y262" s="160">
        <f t="shared" si="152"/>
        <v>-1.7974514121677797E-2</v>
      </c>
      <c r="Z262" s="98" t="str">
        <f t="shared" si="142"/>
        <v>0.999843269096068+0.0206064782106645i</v>
      </c>
      <c r="AA262" s="160">
        <f t="shared" si="153"/>
        <v>1.0000555933051718</v>
      </c>
      <c r="AB262" s="160">
        <f t="shared" si="154"/>
        <v>2.0606791071889376E-2</v>
      </c>
      <c r="AC262" s="171" t="str">
        <f t="shared" si="155"/>
        <v>0.301342053546116-1.52175108879956i</v>
      </c>
      <c r="AD262" s="190">
        <f t="shared" si="156"/>
        <v>3.8139189529238129</v>
      </c>
      <c r="AE262" s="169">
        <f t="shared" si="157"/>
        <v>-78.79901365835353</v>
      </c>
      <c r="AF262" s="98" t="str">
        <f t="shared" si="143"/>
        <v>-0.0000816326530612245</v>
      </c>
      <c r="AG262" s="98" t="str">
        <f t="shared" si="144"/>
        <v>0.000384524417522101i</v>
      </c>
      <c r="AH262" s="98">
        <f t="shared" si="158"/>
        <v>3.8452441752210101E-4</v>
      </c>
      <c r="AI262" s="98">
        <f t="shared" si="159"/>
        <v>1.5707963267948966</v>
      </c>
      <c r="AJ262" s="98" t="str">
        <f t="shared" si="145"/>
        <v>1+0.0425950977159077i</v>
      </c>
      <c r="AK262" s="98">
        <f t="shared" si="160"/>
        <v>1.0009067600678037</v>
      </c>
      <c r="AL262" s="98">
        <f t="shared" si="161"/>
        <v>4.2569365026294999E-2</v>
      </c>
      <c r="AM262" s="98" t="str">
        <f t="shared" si="146"/>
        <v>1+4.30210486930668i</v>
      </c>
      <c r="AN262" s="98">
        <f t="shared" si="162"/>
        <v>4.4167981962630174</v>
      </c>
      <c r="AO262" s="98">
        <f t="shared" si="163"/>
        <v>1.342407634772119</v>
      </c>
      <c r="AP262" s="168" t="str">
        <f t="shared" si="164"/>
        <v>-0.902635400839486+0.250742951919095i</v>
      </c>
      <c r="AQ262" s="98">
        <f t="shared" si="165"/>
        <v>-0.56692154698631303</v>
      </c>
      <c r="AR262" s="169">
        <f t="shared" si="166"/>
        <v>164.4752469060231</v>
      </c>
      <c r="AS262" s="168" t="str">
        <f t="shared" si="167"/>
        <v>0.109566354799306+1.44914580006003i</v>
      </c>
      <c r="AT262" s="190">
        <f t="shared" si="168"/>
        <v>3.2469974059374977</v>
      </c>
      <c r="AU262" s="169">
        <f t="shared" si="169"/>
        <v>85.6762332476696</v>
      </c>
      <c r="AV262" s="225"/>
      <c r="AX262">
        <f t="shared" si="170"/>
        <v>0</v>
      </c>
      <c r="AY262">
        <f t="shared" si="171"/>
        <v>0</v>
      </c>
    </row>
    <row r="263" spans="14:51" x14ac:dyDescent="0.2">
      <c r="N263" s="170">
        <v>45</v>
      </c>
      <c r="O263" s="199">
        <f t="shared" si="172"/>
        <v>2818.3829312644561</v>
      </c>
      <c r="P263" s="189" t="str">
        <f t="shared" si="138"/>
        <v>6.8875</v>
      </c>
      <c r="Q263" s="160" t="str">
        <f t="shared" si="139"/>
        <v>1+4.42710555593165i</v>
      </c>
      <c r="R263" s="160">
        <f t="shared" si="147"/>
        <v>4.538641162656603</v>
      </c>
      <c r="S263" s="160">
        <f t="shared" si="148"/>
        <v>1.3486432858912558</v>
      </c>
      <c r="T263" s="160" t="str">
        <f t="shared" si="140"/>
        <v>1+0.00708336888949064i</v>
      </c>
      <c r="U263" s="160">
        <f t="shared" si="149"/>
        <v>1.00002508674274</v>
      </c>
      <c r="V263" s="160">
        <f t="shared" si="150"/>
        <v>7.0832504258022365E-3</v>
      </c>
      <c r="W263" s="98" t="str">
        <f t="shared" si="141"/>
        <v>1-0.0183951754401592i</v>
      </c>
      <c r="X263" s="160">
        <f t="shared" si="151"/>
        <v>1.0001691769293204</v>
      </c>
      <c r="Y263" s="160">
        <f t="shared" si="152"/>
        <v>-1.8393100992958267E-2</v>
      </c>
      <c r="Z263" s="98" t="str">
        <f t="shared" si="142"/>
        <v>0.999835882596131+0.021086464748559i</v>
      </c>
      <c r="AA263" s="160">
        <f t="shared" si="153"/>
        <v>1.0000582138667611</v>
      </c>
      <c r="AB263" s="160">
        <f t="shared" si="154"/>
        <v>2.1086799979235342E-2</v>
      </c>
      <c r="AC263" s="171" t="str">
        <f t="shared" si="155"/>
        <v>0.286273936836393-1.49048818880769i</v>
      </c>
      <c r="AD263" s="190">
        <f t="shared" si="156"/>
        <v>3.6238968866011492</v>
      </c>
      <c r="AE263" s="169">
        <f t="shared" si="157"/>
        <v>-79.127759696892696</v>
      </c>
      <c r="AF263" s="98" t="str">
        <f t="shared" si="143"/>
        <v>-0.0000816326530612245</v>
      </c>
      <c r="AG263" s="98" t="str">
        <f t="shared" si="144"/>
        <v>0.000393481141811204i</v>
      </c>
      <c r="AH263" s="98">
        <f t="shared" si="158"/>
        <v>3.93481141811204E-4</v>
      </c>
      <c r="AI263" s="98">
        <f t="shared" si="159"/>
        <v>1.5707963267948966</v>
      </c>
      <c r="AJ263" s="98" t="str">
        <f t="shared" si="145"/>
        <v>1+0.0435872649982023i</v>
      </c>
      <c r="AK263" s="98">
        <f t="shared" si="160"/>
        <v>1.0009494740844933</v>
      </c>
      <c r="AL263" s="98">
        <f t="shared" si="161"/>
        <v>4.3559693336917102E-2</v>
      </c>
      <c r="AM263" s="98" t="str">
        <f t="shared" si="146"/>
        <v>1+4.40231376481843i</v>
      </c>
      <c r="AN263" s="98">
        <f t="shared" si="162"/>
        <v>4.5144619262886492</v>
      </c>
      <c r="AO263" s="98">
        <f t="shared" si="163"/>
        <v>1.3474333115304944</v>
      </c>
      <c r="AP263" s="168" t="str">
        <f t="shared" si="164"/>
        <v>-0.902558365260906+0.246802732807274i</v>
      </c>
      <c r="AQ263" s="98">
        <f t="shared" si="165"/>
        <v>-0.57732345456323686</v>
      </c>
      <c r="AR263" s="169">
        <f t="shared" si="166"/>
        <v>164.70645534094405</v>
      </c>
      <c r="AS263" s="168" t="str">
        <f t="shared" si="167"/>
        <v>0.109477621766843+1.41590577307368i</v>
      </c>
      <c r="AT263" s="190">
        <f t="shared" si="168"/>
        <v>3.0465734320379361</v>
      </c>
      <c r="AU263" s="169">
        <f t="shared" si="169"/>
        <v>85.578695644051379</v>
      </c>
      <c r="AV263" s="225"/>
      <c r="AX263">
        <f t="shared" si="170"/>
        <v>0</v>
      </c>
      <c r="AY263">
        <f t="shared" si="171"/>
        <v>0</v>
      </c>
    </row>
    <row r="264" spans="14:51" x14ac:dyDescent="0.2">
      <c r="N264" s="170">
        <v>46</v>
      </c>
      <c r="O264" s="199">
        <f t="shared" si="172"/>
        <v>2884.0315031266077</v>
      </c>
      <c r="P264" s="189" t="str">
        <f t="shared" si="138"/>
        <v>6.8875</v>
      </c>
      <c r="Q264" s="160" t="str">
        <f t="shared" si="139"/>
        <v>1+4.53022609147205i</v>
      </c>
      <c r="R264" s="160">
        <f t="shared" si="147"/>
        <v>4.6392831816837958</v>
      </c>
      <c r="S264" s="160">
        <f t="shared" si="148"/>
        <v>1.3535407376373529</v>
      </c>
      <c r="T264" s="160" t="str">
        <f t="shared" si="140"/>
        <v>1+0.00724836174635528i</v>
      </c>
      <c r="U264" s="160">
        <f t="shared" si="149"/>
        <v>1.0000262690289721</v>
      </c>
      <c r="V264" s="160">
        <f t="shared" si="150"/>
        <v>7.2482348104062734E-3</v>
      </c>
      <c r="W264" s="98" t="str">
        <f t="shared" si="141"/>
        <v>1-0.01882365411969i</v>
      </c>
      <c r="X264" s="160">
        <f t="shared" si="151"/>
        <v>1.0001771492862741</v>
      </c>
      <c r="Y264" s="160">
        <f t="shared" si="152"/>
        <v>-1.8821431330729225E-2</v>
      </c>
      <c r="Z264" s="98" t="str">
        <f t="shared" si="142"/>
        <v>0.999828147981177+0.0215776316091756i</v>
      </c>
      <c r="AA264" s="160">
        <f t="shared" si="153"/>
        <v>1.000060957982728</v>
      </c>
      <c r="AB264" s="160">
        <f t="shared" si="154"/>
        <v>2.1577990808398704E-2</v>
      </c>
      <c r="AC264" s="171" t="str">
        <f t="shared" si="155"/>
        <v>0.271819510855914-1.45972334392251i</v>
      </c>
      <c r="AD264" s="190">
        <f t="shared" si="156"/>
        <v>3.4334518558315565</v>
      </c>
      <c r="AE264" s="169">
        <f t="shared" si="157"/>
        <v>-79.451594785427915</v>
      </c>
      <c r="AF264" s="98" t="str">
        <f t="shared" si="143"/>
        <v>-0.0000816326530612245</v>
      </c>
      <c r="AG264" s="98" t="str">
        <f t="shared" si="144"/>
        <v>0.000402646495010035i</v>
      </c>
      <c r="AH264" s="98">
        <f t="shared" si="158"/>
        <v>4.0264649501003502E-4</v>
      </c>
      <c r="AI264" s="98">
        <f t="shared" si="159"/>
        <v>1.5707963267948966</v>
      </c>
      <c r="AJ264" s="98" t="str">
        <f t="shared" si="145"/>
        <v>1+0.0446025428253446i</v>
      </c>
      <c r="AK264" s="98">
        <f t="shared" si="160"/>
        <v>1.0009941991972215</v>
      </c>
      <c r="AL264" s="98">
        <f t="shared" si="161"/>
        <v>4.457300084255289E-2</v>
      </c>
      <c r="AM264" s="98" t="str">
        <f t="shared" si="146"/>
        <v>1+4.50485682535981i</v>
      </c>
      <c r="AN264" s="98">
        <f t="shared" si="162"/>
        <v>4.6145135189953512</v>
      </c>
      <c r="AO264" s="98">
        <f t="shared" si="163"/>
        <v>1.352355702574725</v>
      </c>
      <c r="AP264" s="168" t="str">
        <f t="shared" si="164"/>
        <v>-0.902477713199486+0.24299305582218i</v>
      </c>
      <c r="AQ264" s="98">
        <f t="shared" si="165"/>
        <v>-0.58731299463863584</v>
      </c>
      <c r="AR264" s="169">
        <f t="shared" si="166"/>
        <v>164.9304293294696</v>
      </c>
      <c r="AS264" s="168" t="str">
        <f t="shared" si="167"/>
        <v>0.109391585434454+1.38341803890206i</v>
      </c>
      <c r="AT264" s="190">
        <f t="shared" si="168"/>
        <v>2.8461388611929062</v>
      </c>
      <c r="AU264" s="169">
        <f t="shared" si="169"/>
        <v>85.478834544041675</v>
      </c>
      <c r="AV264" s="225"/>
      <c r="AX264">
        <f t="shared" si="170"/>
        <v>0</v>
      </c>
      <c r="AY264">
        <f t="shared" si="171"/>
        <v>0</v>
      </c>
    </row>
    <row r="265" spans="14:51" x14ac:dyDescent="0.2">
      <c r="N265" s="170">
        <v>47</v>
      </c>
      <c r="O265" s="199">
        <f t="shared" si="172"/>
        <v>2951.2092266663876</v>
      </c>
      <c r="P265" s="189" t="str">
        <f t="shared" si="138"/>
        <v>6.8875</v>
      </c>
      <c r="Q265" s="160" t="str">
        <f t="shared" si="139"/>
        <v>1+4.63574861285077i</v>
      </c>
      <c r="R265" s="160">
        <f t="shared" si="147"/>
        <v>4.7423796981629209</v>
      </c>
      <c r="S265" s="160">
        <f t="shared" si="148"/>
        <v>1.3583369634209459</v>
      </c>
      <c r="T265" s="160" t="str">
        <f t="shared" si="140"/>
        <v>1+0.00741719778056124i</v>
      </c>
      <c r="U265" s="160">
        <f t="shared" si="149"/>
        <v>1.0000275070331395</v>
      </c>
      <c r="V265" s="160">
        <f t="shared" si="150"/>
        <v>7.4170617664434104E-3</v>
      </c>
      <c r="W265" s="98" t="str">
        <f t="shared" si="141"/>
        <v>1-0.0192621133497955i</v>
      </c>
      <c r="X265" s="160">
        <f t="shared" si="151"/>
        <v>1.0001854973007258</v>
      </c>
      <c r="Y265" s="160">
        <f t="shared" si="152"/>
        <v>-1.9259731612369171E-2</v>
      </c>
      <c r="Z265" s="98" t="str">
        <f t="shared" si="142"/>
        <v>0.99982004884505+0.0220802392156851i</v>
      </c>
      <c r="AA265" s="160">
        <f t="shared" si="153"/>
        <v>1.0000638314809411</v>
      </c>
      <c r="AB265" s="160">
        <f t="shared" si="154"/>
        <v>2.208062409682467E-2</v>
      </c>
      <c r="AC265" s="171" t="str">
        <f t="shared" si="155"/>
        <v>0.257956444038044-1.4294579502203i</v>
      </c>
      <c r="AD265" s="190">
        <f t="shared" si="156"/>
        <v>3.2426013455414826</v>
      </c>
      <c r="AE265" s="169">
        <f t="shared" si="157"/>
        <v>-79.770636730737593</v>
      </c>
      <c r="AF265" s="98" t="str">
        <f t="shared" si="143"/>
        <v>-0.0000816326530612245</v>
      </c>
      <c r="AG265" s="98" t="str">
        <f t="shared" si="144"/>
        <v>0.000412025336710176i</v>
      </c>
      <c r="AH265" s="98">
        <f t="shared" si="158"/>
        <v>4.1202533671017602E-4</v>
      </c>
      <c r="AI265" s="98">
        <f t="shared" si="159"/>
        <v>1.5707963267948966</v>
      </c>
      <c r="AJ265" s="98" t="str">
        <f t="shared" si="145"/>
        <v>1+0.0456414695110774i</v>
      </c>
      <c r="AK265" s="98">
        <f t="shared" si="160"/>
        <v>1.0010410299978372</v>
      </c>
      <c r="AL265" s="98">
        <f t="shared" si="161"/>
        <v>4.5609816483866285E-2</v>
      </c>
      <c r="AM265" s="98" t="str">
        <f t="shared" si="146"/>
        <v>1+4.60978842061881i</v>
      </c>
      <c r="AN265" s="98">
        <f t="shared" si="162"/>
        <v>4.7170063899544665</v>
      </c>
      <c r="AO265" s="98">
        <f t="shared" si="163"/>
        <v>1.357176463235557</v>
      </c>
      <c r="AP265" s="168" t="str">
        <f t="shared" si="164"/>
        <v>-0.902393275571086+0.239311878517009i</v>
      </c>
      <c r="AQ265" s="98">
        <f t="shared" si="165"/>
        <v>-0.59690851019121782</v>
      </c>
      <c r="AR265" s="169">
        <f t="shared" si="166"/>
        <v>165.14723340899761</v>
      </c>
      <c r="AS265" s="168" t="str">
        <f t="shared" si="167"/>
        <v>0.109308106838133+1.35166528318874i</v>
      </c>
      <c r="AT265" s="190">
        <f t="shared" si="168"/>
        <v>2.645692835350272</v>
      </c>
      <c r="AU265" s="169">
        <f t="shared" si="169"/>
        <v>85.376596678260029</v>
      </c>
      <c r="AV265" s="225"/>
      <c r="AX265">
        <f t="shared" si="170"/>
        <v>0</v>
      </c>
      <c r="AY265">
        <f t="shared" si="171"/>
        <v>0</v>
      </c>
    </row>
    <row r="266" spans="14:51" x14ac:dyDescent="0.2">
      <c r="N266" s="170">
        <v>48</v>
      </c>
      <c r="O266" s="199">
        <f t="shared" si="172"/>
        <v>3019.9517204020176</v>
      </c>
      <c r="P266" s="189" t="str">
        <f t="shared" si="138"/>
        <v>6.8875</v>
      </c>
      <c r="Q266" s="160" t="str">
        <f t="shared" si="139"/>
        <v>1+4.74372906950543i</v>
      </c>
      <c r="R266" s="160">
        <f t="shared" si="147"/>
        <v>4.8479857141776783</v>
      </c>
      <c r="S266" s="160">
        <f t="shared" si="148"/>
        <v>1.3630336232083013</v>
      </c>
      <c r="T266" s="160" t="str">
        <f t="shared" si="140"/>
        <v>1+0.00758996651120868i</v>
      </c>
      <c r="U266" s="160">
        <f t="shared" si="149"/>
        <v>1.0000288033810032</v>
      </c>
      <c r="V266" s="160">
        <f t="shared" si="150"/>
        <v>7.5898207696823549E-3</v>
      </c>
      <c r="W266" s="98" t="str">
        <f t="shared" si="141"/>
        <v>1-0.0197107856073633i</v>
      </c>
      <c r="X266" s="160">
        <f t="shared" si="151"/>
        <v>1.0001942386702993</v>
      </c>
      <c r="Y266" s="160">
        <f t="shared" si="152"/>
        <v>-1.9708233556497888E-2</v>
      </c>
      <c r="Z266" s="98" t="str">
        <f t="shared" si="142"/>
        <v>0.999811568008398+0.0225945540572932i</v>
      </c>
      <c r="AA266" s="160">
        <f t="shared" si="153"/>
        <v>1.000066840464406</v>
      </c>
      <c r="AB266" s="160">
        <f t="shared" si="154"/>
        <v>2.2594966456154931E-2</v>
      </c>
      <c r="AC266" s="171" t="str">
        <f t="shared" si="155"/>
        <v>0.244662991741688-1.39969266825001i</v>
      </c>
      <c r="AD266" s="190">
        <f t="shared" si="156"/>
        <v>3.0513622108880556</v>
      </c>
      <c r="AE266" s="169">
        <f t="shared" si="157"/>
        <v>-80.085004067519776</v>
      </c>
      <c r="AF266" s="98" t="str">
        <f t="shared" si="143"/>
        <v>-0.0000816326530612245</v>
      </c>
      <c r="AG266" s="98" t="str">
        <f t="shared" si="144"/>
        <v>0.000421622639697642i</v>
      </c>
      <c r="AH266" s="98">
        <f t="shared" si="158"/>
        <v>4.2162263969764199E-4</v>
      </c>
      <c r="AI266" s="98">
        <f t="shared" si="159"/>
        <v>1.5707963267948966</v>
      </c>
      <c r="AJ266" s="98" t="str">
        <f t="shared" si="145"/>
        <v>1+0.0467045959080812i</v>
      </c>
      <c r="AK266" s="98">
        <f t="shared" si="160"/>
        <v>1.0010900655180517</v>
      </c>
      <c r="AL266" s="98">
        <f t="shared" si="161"/>
        <v>4.667068107265554E-2</v>
      </c>
      <c r="AM266" s="98" t="str">
        <f t="shared" si="146"/>
        <v>1+4.7171641867162i</v>
      </c>
      <c r="AN266" s="98">
        <f t="shared" si="162"/>
        <v>4.8219952265050932</v>
      </c>
      <c r="AO266" s="98">
        <f t="shared" si="163"/>
        <v>1.3618972528678885</v>
      </c>
      <c r="AP266" s="168" t="str">
        <f t="shared" si="164"/>
        <v>-0.902304875453021+0.235757224978638i</v>
      </c>
      <c r="AQ266" s="98">
        <f t="shared" si="165"/>
        <v>-0.60612774302517169</v>
      </c>
      <c r="AR266" s="169">
        <f t="shared" si="166"/>
        <v>165.35693166732685</v>
      </c>
      <c r="AS266" s="168" t="str">
        <f t="shared" si="167"/>
        <v>0.10922704899812+1.32063058668582i</v>
      </c>
      <c r="AT266" s="190">
        <f t="shared" si="168"/>
        <v>2.4452344678628584</v>
      </c>
      <c r="AU266" s="169">
        <f t="shared" si="169"/>
        <v>85.2719275998071</v>
      </c>
      <c r="AV266" s="225"/>
      <c r="AX266">
        <f t="shared" si="170"/>
        <v>0</v>
      </c>
      <c r="AY266">
        <f t="shared" si="171"/>
        <v>0</v>
      </c>
    </row>
    <row r="267" spans="14:51" x14ac:dyDescent="0.2">
      <c r="N267" s="170">
        <v>49</v>
      </c>
      <c r="O267" s="199">
        <f t="shared" si="172"/>
        <v>3090.295432513592</v>
      </c>
      <c r="P267" s="189" t="str">
        <f t="shared" si="138"/>
        <v>6.8875</v>
      </c>
      <c r="Q267" s="160" t="str">
        <f t="shared" si="139"/>
        <v>1+4.8542247141034i</v>
      </c>
      <c r="R267" s="160">
        <f t="shared" si="147"/>
        <v>4.9561575413834689</v>
      </c>
      <c r="S267" s="160">
        <f t="shared" si="148"/>
        <v>1.3676323780315249</v>
      </c>
      <c r="T267" s="160" t="str">
        <f t="shared" si="140"/>
        <v>1+0.00776675954256544i</v>
      </c>
      <c r="U267" s="160">
        <f t="shared" si="149"/>
        <v>1.0000301608220585</v>
      </c>
      <c r="V267" s="160">
        <f t="shared" si="150"/>
        <v>7.7666033779607846E-3</v>
      </c>
      <c r="W267" s="98" t="str">
        <f t="shared" si="141"/>
        <v>1-0.0201699087843632i</v>
      </c>
      <c r="X267" s="160">
        <f t="shared" si="151"/>
        <v>1.0002033919260469</v>
      </c>
      <c r="Y267" s="160">
        <f t="shared" si="152"/>
        <v>-2.0167174242625156E-2</v>
      </c>
      <c r="Z267" s="98" t="str">
        <f t="shared" si="142"/>
        <v>0.999802687482227+0.0231208488305368i</v>
      </c>
      <c r="AA267" s="160">
        <f t="shared" si="153"/>
        <v>1.0000699913242714</v>
      </c>
      <c r="AB267" s="160">
        <f t="shared" si="154"/>
        <v>2.3121290714106419E-2</v>
      </c>
      <c r="AC267" s="171" t="str">
        <f t="shared" si="155"/>
        <v>0.231918001019889-1.37042747233188i</v>
      </c>
      <c r="AD267" s="190">
        <f t="shared" si="156"/>
        <v>2.8597506945119</v>
      </c>
      <c r="AE267" s="169">
        <f t="shared" si="157"/>
        <v>-80.394815935558199</v>
      </c>
      <c r="AF267" s="98" t="str">
        <f t="shared" si="143"/>
        <v>-0.0000816326530612245</v>
      </c>
      <c r="AG267" s="98" t="str">
        <f t="shared" si="144"/>
        <v>0.00043144349258951i</v>
      </c>
      <c r="AH267" s="98">
        <f t="shared" si="158"/>
        <v>4.3144349258950998E-4</v>
      </c>
      <c r="AI267" s="98">
        <f t="shared" si="159"/>
        <v>1.5707963267948966</v>
      </c>
      <c r="AJ267" s="98" t="str">
        <f t="shared" si="145"/>
        <v>1+0.0477924857000438i</v>
      </c>
      <c r="AK267" s="98">
        <f t="shared" si="160"/>
        <v>1.0011414094369431</v>
      </c>
      <c r="AL267" s="98">
        <f t="shared" si="161"/>
        <v>4.7756147536472365E-2</v>
      </c>
      <c r="AM267" s="98" t="str">
        <f t="shared" si="146"/>
        <v>1+4.82704105570442i</v>
      </c>
      <c r="AN267" s="98">
        <f t="shared" si="162"/>
        <v>4.9295360180706709</v>
      </c>
      <c r="AO267" s="98">
        <f t="shared" si="163"/>
        <v>1.3665197324525409</v>
      </c>
      <c r="AP267" s="168" t="str">
        <f t="shared" si="164"/>
        <v>-0.902212327727127+0.232327184666995i</v>
      </c>
      <c r="AQ267" s="98">
        <f t="shared" si="165"/>
        <v>-0.61498785250020904</v>
      </c>
      <c r="AR267" s="169">
        <f t="shared" si="166"/>
        <v>165.55958759123308</v>
      </c>
      <c r="AS267" s="168" t="str">
        <f t="shared" si="167"/>
        <v>0.109148276895196+1.2902974160443i</v>
      </c>
      <c r="AT267" s="190">
        <f t="shared" si="168"/>
        <v>2.2447628420117107</v>
      </c>
      <c r="AU267" s="169">
        <f t="shared" si="169"/>
        <v>85.164771655674897</v>
      </c>
      <c r="AV267" s="225"/>
      <c r="AX267">
        <f t="shared" si="170"/>
        <v>0</v>
      </c>
      <c r="AY267">
        <f t="shared" si="171"/>
        <v>0</v>
      </c>
    </row>
    <row r="268" spans="14:51" x14ac:dyDescent="0.2">
      <c r="N268" s="170">
        <v>50</v>
      </c>
      <c r="O268" s="199">
        <f t="shared" si="172"/>
        <v>3162.2776601683804</v>
      </c>
      <c r="P268" s="189" t="str">
        <f t="shared" si="138"/>
        <v>6.8875</v>
      </c>
      <c r="Q268" s="160" t="str">
        <f t="shared" si="139"/>
        <v>1+4.96729413289805i</v>
      </c>
      <c r="R268" s="160">
        <f t="shared" si="147"/>
        <v>5.0669528320997212</v>
      </c>
      <c r="S268" s="160">
        <f t="shared" si="148"/>
        <v>1.3721348877908224</v>
      </c>
      <c r="T268" s="160" t="str">
        <f t="shared" si="140"/>
        <v>1+0.00794767061263688i</v>
      </c>
      <c r="U268" s="160">
        <f t="shared" si="149"/>
        <v>1.0000315822353647</v>
      </c>
      <c r="V268" s="160">
        <f t="shared" si="150"/>
        <v>7.9475032795336097E-3</v>
      </c>
      <c r="W268" s="98" t="str">
        <f t="shared" si="141"/>
        <v>1-0.0206397263139808i</v>
      </c>
      <c r="X268" s="160">
        <f t="shared" si="151"/>
        <v>1.0002129764716692</v>
      </c>
      <c r="Y268" s="160">
        <f t="shared" si="152"/>
        <v>-2.0636796233413281E-2</v>
      </c>
      <c r="Z268" s="98" t="str">
        <f t="shared" si="142"/>
        <v>0.999793388429752+0.023659402583871i</v>
      </c>
      <c r="AA268" s="160">
        <f t="shared" si="153"/>
        <v>1.0000732907534682</v>
      </c>
      <c r="AB268" s="160">
        <f t="shared" si="154"/>
        <v>2.3659876059682006E-2</v>
      </c>
      <c r="AC268" s="171" t="str">
        <f t="shared" si="155"/>
        <v>0.219700913081696-1.34166169789795i</v>
      </c>
      <c r="AD268" s="190">
        <f t="shared" si="156"/>
        <v>2.6677824439054283</v>
      </c>
      <c r="AE268" s="169">
        <f t="shared" si="157"/>
        <v>-80.700191966355732</v>
      </c>
      <c r="AF268" s="98" t="str">
        <f t="shared" si="143"/>
        <v>-0.0000816326530612245</v>
      </c>
      <c r="AG268" s="98" t="str">
        <f t="shared" si="144"/>
        <v>0.000441493102531979i</v>
      </c>
      <c r="AH268" s="98">
        <f t="shared" si="158"/>
        <v>4.41493102531979E-4</v>
      </c>
      <c r="AI268" s="98">
        <f t="shared" si="159"/>
        <v>1.5707963267948966</v>
      </c>
      <c r="AJ268" s="98" t="str">
        <f t="shared" si="145"/>
        <v>1+0.0489057157005329i</v>
      </c>
      <c r="AK268" s="98">
        <f t="shared" si="160"/>
        <v>1.0011951702980699</v>
      </c>
      <c r="AL268" s="98">
        <f t="shared" si="161"/>
        <v>4.8866781166688258E-2</v>
      </c>
      <c r="AM268" s="98" t="str">
        <f t="shared" si="146"/>
        <v>1+4.93947728575382i</v>
      </c>
      <c r="AN268" s="98">
        <f t="shared" si="162"/>
        <v>5.0396860870968858</v>
      </c>
      <c r="AO268" s="98">
        <f t="shared" si="163"/>
        <v>1.3710455623600035</v>
      </c>
      <c r="AP268" s="168" t="str">
        <f t="shared" si="164"/>
        <v>-0.902115438707176+0.229019911281152i</v>
      </c>
      <c r="AQ268" s="98">
        <f t="shared" si="165"/>
        <v>-0.62350543446253859</v>
      </c>
      <c r="AR268" s="169">
        <f t="shared" si="166"/>
        <v>165.75526392412806</v>
      </c>
      <c r="AS268" s="168" t="str">
        <f t="shared" si="167"/>
        <v>0.109071657432847+1.26064961481818i</v>
      </c>
      <c r="AT268" s="190">
        <f t="shared" si="168"/>
        <v>2.0442770094428773</v>
      </c>
      <c r="AU268" s="169">
        <f t="shared" si="169"/>
        <v>85.055071957772327</v>
      </c>
      <c r="AV268" s="225"/>
      <c r="AX268">
        <f t="shared" si="170"/>
        <v>0</v>
      </c>
      <c r="AY268">
        <f t="shared" si="171"/>
        <v>0</v>
      </c>
    </row>
    <row r="269" spans="14:51" x14ac:dyDescent="0.2">
      <c r="N269" s="170">
        <v>51</v>
      </c>
      <c r="O269" s="199">
        <f t="shared" si="172"/>
        <v>3235.9365692962833</v>
      </c>
      <c r="P269" s="189" t="str">
        <f t="shared" si="138"/>
        <v>6.8875</v>
      </c>
      <c r="Q269" s="160" t="str">
        <f t="shared" si="139"/>
        <v>1+5.08299727679188i</v>
      </c>
      <c r="R269" s="160">
        <f t="shared" si="147"/>
        <v>5.1804306110470844</v>
      </c>
      <c r="S269" s="160">
        <f t="shared" si="148"/>
        <v>1.376542809210608</v>
      </c>
      <c r="T269" s="160" t="str">
        <f t="shared" si="140"/>
        <v>1+0.008132795642867i</v>
      </c>
      <c r="U269" s="160">
        <f t="shared" si="149"/>
        <v>1.0000330706356508</v>
      </c>
      <c r="V269" s="160">
        <f t="shared" si="150"/>
        <v>8.1326163425366783E-3</v>
      </c>
      <c r="W269" s="98" t="str">
        <f t="shared" si="141"/>
        <v>1-0.0211204872996892i</v>
      </c>
      <c r="X269" s="160">
        <f t="shared" si="151"/>
        <v>1.0002230126245728</v>
      </c>
      <c r="Y269" s="160">
        <f t="shared" si="152"/>
        <v>-2.111734769960142E-2</v>
      </c>
      <c r="Z269" s="98" t="str">
        <f t="shared" si="142"/>
        <v>0.999783651126436+0.0242105008656243i</v>
      </c>
      <c r="AA269" s="160">
        <f t="shared" si="153"/>
        <v>1.0000767457609798</v>
      </c>
      <c r="AB269" s="160">
        <f t="shared" si="154"/>
        <v>2.4211008191794042E-2</v>
      </c>
      <c r="AC269" s="171" t="str">
        <f t="shared" si="155"/>
        <v>0.207991763662474-1.31339408685981i</v>
      </c>
      <c r="AD269" s="190">
        <f t="shared" si="156"/>
        <v>2.4754725288347159</v>
      </c>
      <c r="AE269" s="169">
        <f t="shared" si="157"/>
        <v>-81.001252178867418</v>
      </c>
      <c r="AF269" s="98" t="str">
        <f t="shared" si="143"/>
        <v>-0.0000816326530612245</v>
      </c>
      <c r="AG269" s="98" t="str">
        <f t="shared" si="144"/>
        <v>0.000451776797961262i</v>
      </c>
      <c r="AH269" s="98">
        <f t="shared" si="158"/>
        <v>4.5177679796126199E-4</v>
      </c>
      <c r="AI269" s="98">
        <f t="shared" si="159"/>
        <v>1.5707963267948966</v>
      </c>
      <c r="AJ269" s="98" t="str">
        <f t="shared" si="145"/>
        <v>1+0.0500448761588301i</v>
      </c>
      <c r="AK269" s="98">
        <f t="shared" si="160"/>
        <v>1.0012514617366373</v>
      </c>
      <c r="AL269" s="98">
        <f t="shared" si="161"/>
        <v>5.0003159869930765E-2</v>
      </c>
      <c r="AM269" s="98" t="str">
        <f t="shared" si="146"/>
        <v>1+5.05453249204184i</v>
      </c>
      <c r="AN269" s="98">
        <f t="shared" si="162"/>
        <v>5.1525041206297644</v>
      </c>
      <c r="AO269" s="98">
        <f t="shared" si="163"/>
        <v>1.3754764002696223</v>
      </c>
      <c r="AP269" s="168" t="str">
        <f t="shared" si="164"/>
        <v>-0.902014005750033+0.225833621651029i</v>
      </c>
      <c r="AQ269" s="98">
        <f t="shared" si="165"/>
        <v>-0.63169654031516442</v>
      </c>
      <c r="AR269" s="169">
        <f t="shared" si="166"/>
        <v>165.94402253243149</v>
      </c>
      <c r="AS269" s="168" t="str">
        <f t="shared" si="167"/>
        <v>0.108997059386395+1.23167139467831i</v>
      </c>
      <c r="AT269" s="190">
        <f t="shared" si="168"/>
        <v>1.843775988519585</v>
      </c>
      <c r="AU269" s="169">
        <f t="shared" si="169"/>
        <v>84.942770353564086</v>
      </c>
      <c r="AV269" s="225"/>
      <c r="AX269">
        <f t="shared" si="170"/>
        <v>0</v>
      </c>
      <c r="AY269">
        <f t="shared" si="171"/>
        <v>0</v>
      </c>
    </row>
    <row r="270" spans="14:51" x14ac:dyDescent="0.2">
      <c r="N270" s="170">
        <v>52</v>
      </c>
      <c r="O270" s="199">
        <f t="shared" si="172"/>
        <v>3311.3112148259115</v>
      </c>
      <c r="P270" s="189" t="str">
        <f t="shared" si="138"/>
        <v>6.8875</v>
      </c>
      <c r="Q270" s="160" t="str">
        <f t="shared" si="139"/>
        <v>1+5.2013954931233i</v>
      </c>
      <c r="R270" s="160">
        <f t="shared" si="147"/>
        <v>5.2966513077493955</v>
      </c>
      <c r="S270" s="160">
        <f t="shared" si="148"/>
        <v>1.3808577939429181</v>
      </c>
      <c r="T270" s="160" t="str">
        <f t="shared" si="140"/>
        <v>1+0.00832223278899728i</v>
      </c>
      <c r="U270" s="160">
        <f t="shared" si="149"/>
        <v>1.0000346291797071</v>
      </c>
      <c r="V270" s="160">
        <f t="shared" si="150"/>
        <v>8.3220406655912169E-3</v>
      </c>
      <c r="W270" s="98" t="str">
        <f t="shared" si="141"/>
        <v>1-0.0216124466473267i</v>
      </c>
      <c r="X270" s="160">
        <f t="shared" si="151"/>
        <v>1.0002335216588591</v>
      </c>
      <c r="Y270" s="160">
        <f t="shared" si="152"/>
        <v>-2.1609082547639949E-2</v>
      </c>
      <c r="Z270" s="98" t="str">
        <f t="shared" si="142"/>
        <v>0.999773454918152+0.0247744358754006i</v>
      </c>
      <c r="AA270" s="160">
        <f t="shared" si="153"/>
        <v>1.0000803636868001</v>
      </c>
      <c r="AB270" s="160">
        <f t="shared" si="154"/>
        <v>2.4774979471382221E-2</v>
      </c>
      <c r="AC270" s="171" t="str">
        <f>(IMDIV(IMPRODUCT(P270,T270,W270),IMPRODUCT(Q270,Z270)))</f>
        <v>0.196771181505963-1.2856228310015i</v>
      </c>
      <c r="AD270" s="190">
        <f t="shared" si="156"/>
        <v>2.2828354587570705</v>
      </c>
      <c r="AE270" s="169">
        <f t="shared" si="157"/>
        <v>-81.298116883963104</v>
      </c>
      <c r="AF270" s="98" t="str">
        <f t="shared" si="143"/>
        <v>-0.0000816326530612245</v>
      </c>
      <c r="AG270" s="98" t="str">
        <f t="shared" si="144"/>
        <v>0.000462300031428798i</v>
      </c>
      <c r="AH270" s="98">
        <f t="shared" si="158"/>
        <v>4.62300031428798E-4</v>
      </c>
      <c r="AI270" s="98">
        <f t="shared" si="159"/>
        <v>1.5707963267948966</v>
      </c>
      <c r="AJ270" s="98" t="str">
        <f t="shared" si="145"/>
        <v>1+0.0512105710728892i</v>
      </c>
      <c r="AK270" s="98">
        <f t="shared" si="160"/>
        <v>1.0013104027171651</v>
      </c>
      <c r="AL270" s="98">
        <f t="shared" si="161"/>
        <v>5.1165874422800954E-2</v>
      </c>
      <c r="AM270" s="98" t="str">
        <f t="shared" si="146"/>
        <v>1+5.17226767836181i</v>
      </c>
      <c r="AN270" s="98">
        <f t="shared" si="162"/>
        <v>5.2680502025537184</v>
      </c>
      <c r="AO270" s="98">
        <f t="shared" si="163"/>
        <v>1.3798138992376932</v>
      </c>
      <c r="AP270" s="168" t="str">
        <f t="shared" si="164"/>
        <v>-0.901907816849886+0.222766594653513i</v>
      </c>
      <c r="AQ270" s="98">
        <f t="shared" si="165"/>
        <v>-0.63957669617273016</v>
      </c>
      <c r="AR270" s="169">
        <f t="shared" si="166"/>
        <v>166.12592428028634</v>
      </c>
      <c r="AS270" s="168" t="str">
        <f t="shared" si="167"/>
        <v>0.108924353339997+1.20334732683096i</v>
      </c>
      <c r="AT270" s="190">
        <f t="shared" si="168"/>
        <v>1.6432587625843067</v>
      </c>
      <c r="AU270" s="169">
        <f t="shared" si="169"/>
        <v>84.827807396323237</v>
      </c>
      <c r="AV270" s="225"/>
      <c r="AX270">
        <f t="shared" si="170"/>
        <v>0</v>
      </c>
      <c r="AY270">
        <f t="shared" si="171"/>
        <v>0</v>
      </c>
    </row>
    <row r="271" spans="14:51" x14ac:dyDescent="0.2">
      <c r="N271" s="170">
        <v>53</v>
      </c>
      <c r="O271" s="199">
        <f t="shared" si="172"/>
        <v>3388.4415613920314</v>
      </c>
      <c r="P271" s="189" t="str">
        <f t="shared" si="138"/>
        <v>6.8875</v>
      </c>
      <c r="Q271" s="160" t="str">
        <f t="shared" si="139"/>
        <v>1+5.32255155819378i</v>
      </c>
      <c r="R271" s="160">
        <f t="shared" si="147"/>
        <v>5.4156767896202078</v>
      </c>
      <c r="S271" s="160">
        <f t="shared" si="148"/>
        <v>1.3850814868115842</v>
      </c>
      <c r="T271" s="160" t="str">
        <f t="shared" si="140"/>
        <v>1+0.00851608249311004i</v>
      </c>
      <c r="U271" s="160">
        <f t="shared" si="149"/>
        <v>1.0000362611730784</v>
      </c>
      <c r="V271" s="160">
        <f t="shared" si="150"/>
        <v>8.5158766295746098E-3</v>
      </c>
      <c r="W271" s="98" t="str">
        <f t="shared" si="141"/>
        <v>1-0.0221158652002511i</v>
      </c>
      <c r="X271" s="160">
        <f t="shared" si="151"/>
        <v>1.0002445258503321</v>
      </c>
      <c r="Y271" s="160">
        <f t="shared" si="152"/>
        <v>-2.2112260550084355E-2</v>
      </c>
      <c r="Z271" s="98" t="str">
        <f t="shared" si="142"/>
        <v>0.999762778177377+0.0253515066190064i</v>
      </c>
      <c r="AA271" s="160">
        <f t="shared" si="153"/>
        <v>1.0000841522176025</v>
      </c>
      <c r="AB271" s="160">
        <f t="shared" si="154"/>
        <v>2.5352089077107464E-2</v>
      </c>
      <c r="AC271" s="171" t="str">
        <f t="shared" si="155"/>
        <v>0.186020385149635-1.2583456134071i</v>
      </c>
      <c r="AD271" s="190">
        <f t="shared" si="156"/>
        <v>2.0898852001841313</v>
      </c>
      <c r="AE271" s="169">
        <f t="shared" si="157"/>
        <v>-81.590906597251475</v>
      </c>
      <c r="AF271" s="98" t="str">
        <f t="shared" si="143"/>
        <v>-0.0000816326530612245</v>
      </c>
      <c r="AG271" s="98" t="str">
        <f t="shared" si="144"/>
        <v>0.000473068382492262i</v>
      </c>
      <c r="AH271" s="98">
        <f t="shared" si="158"/>
        <v>4.7306838249226198E-4</v>
      </c>
      <c r="AI271" s="98">
        <f t="shared" si="159"/>
        <v>1.5707963267948966</v>
      </c>
      <c r="AJ271" s="98" t="str">
        <f t="shared" si="145"/>
        <v>1+0.0524034185095831i</v>
      </c>
      <c r="AK271" s="98">
        <f t="shared" si="160"/>
        <v>1.0013721177821413</v>
      </c>
      <c r="AL271" s="98">
        <f t="shared" si="161"/>
        <v>5.2355528729767294E-2</v>
      </c>
      <c r="AM271" s="98" t="str">
        <f t="shared" si="146"/>
        <v>1+5.29274526946789i</v>
      </c>
      <c r="AN271" s="98">
        <f t="shared" si="162"/>
        <v>5.3863858465092083</v>
      </c>
      <c r="AO271" s="98">
        <f t="shared" si="163"/>
        <v>1.3840597059079052</v>
      </c>
      <c r="AP271" s="168" t="str">
        <f t="shared" si="164"/>
        <v>-0.901796650214996+0.219817170151811i</v>
      </c>
      <c r="AQ271" s="98">
        <f t="shared" si="165"/>
        <v>-0.64716092205066245</v>
      </c>
      <c r="AR271" s="169">
        <f t="shared" si="166"/>
        <v>166.30102891224928</v>
      </c>
      <c r="AS271" s="168" t="str">
        <f t="shared" si="167"/>
        <v>0.108853411612449+1.1756623336374i</v>
      </c>
      <c r="AT271" s="190">
        <f t="shared" si="168"/>
        <v>1.4427242781334695</v>
      </c>
      <c r="AU271" s="169">
        <f t="shared" si="169"/>
        <v>84.710122314997804</v>
      </c>
      <c r="AV271" s="225"/>
      <c r="AX271">
        <f t="shared" si="170"/>
        <v>0</v>
      </c>
      <c r="AY271">
        <f t="shared" si="171"/>
        <v>0</v>
      </c>
    </row>
    <row r="272" spans="14:51" x14ac:dyDescent="0.2">
      <c r="N272" s="170">
        <v>54</v>
      </c>
      <c r="O272" s="199">
        <f t="shared" si="172"/>
        <v>3467.3685045253224</v>
      </c>
      <c r="P272" s="189" t="str">
        <f t="shared" si="138"/>
        <v>6.8875</v>
      </c>
      <c r="Q272" s="160" t="str">
        <f t="shared" si="139"/>
        <v>1+5.4465297105527i</v>
      </c>
      <c r="R272" s="160">
        <f t="shared" si="147"/>
        <v>5.5375703957541953</v>
      </c>
      <c r="S272" s="160">
        <f t="shared" si="148"/>
        <v>1.3892155241906763</v>
      </c>
      <c r="T272" s="160" t="str">
        <f t="shared" si="140"/>
        <v>1+0.00871444753688432i</v>
      </c>
      <c r="U272" s="160">
        <f t="shared" si="149"/>
        <v>1.0000379700770732</v>
      </c>
      <c r="V272" s="160">
        <f t="shared" si="150"/>
        <v>8.7142269505842036E-3</v>
      </c>
      <c r="W272" s="98" t="str">
        <f t="shared" si="141"/>
        <v>1-0.0226310098776428i</v>
      </c>
      <c r="X272" s="160">
        <f t="shared" si="151"/>
        <v>1.0002560485236178</v>
      </c>
      <c r="Y272" s="160">
        <f t="shared" si="152"/>
        <v>-2.2627147478798283E-2</v>
      </c>
      <c r="Z272" s="98" t="str">
        <f t="shared" si="142"/>
        <v>0.99975159825731+0.0259420190669884i</v>
      </c>
      <c r="AA272" s="160">
        <f t="shared" si="153"/>
        <v>1.0000881194031441</v>
      </c>
      <c r="AB272" s="160">
        <f t="shared" si="154"/>
        <v>2.5942643164711097E-2</v>
      </c>
      <c r="AC272" s="171" t="str">
        <f t="shared" si="155"/>
        <v>0.175721178193109-1.23155964794216i</v>
      </c>
      <c r="AD272" s="190">
        <f t="shared" si="156"/>
        <v>1.8966351939442649</v>
      </c>
      <c r="AE272" s="169">
        <f t="shared" si="157"/>
        <v>-81.879741959899505</v>
      </c>
      <c r="AF272" s="98" t="str">
        <f t="shared" si="143"/>
        <v>-0.0000816326530612245</v>
      </c>
      <c r="AG272" s="98" t="str">
        <f t="shared" si="144"/>
        <v>0.000484087560673923i</v>
      </c>
      <c r="AH272" s="98">
        <f t="shared" si="158"/>
        <v>4.8408756067392299E-4</v>
      </c>
      <c r="AI272" s="98">
        <f t="shared" si="159"/>
        <v>1.5707963267948966</v>
      </c>
      <c r="AJ272" s="98" t="str">
        <f t="shared" si="145"/>
        <v>1+0.0536240509324119i</v>
      </c>
      <c r="AK272" s="98">
        <f t="shared" si="160"/>
        <v>1.0014367373121489</v>
      </c>
      <c r="AL272" s="98">
        <f t="shared" si="161"/>
        <v>5.3572740084120808E-2</v>
      </c>
      <c r="AM272" s="98" t="str">
        <f t="shared" si="146"/>
        <v>1+5.41602914417361i</v>
      </c>
      <c r="AN272" s="98">
        <f t="shared" si="162"/>
        <v>5.5075740295104456</v>
      </c>
      <c r="AO272" s="98">
        <f t="shared" si="163"/>
        <v>1.3882154588576341</v>
      </c>
      <c r="AP272" s="168" t="str">
        <f t="shared" si="164"/>
        <v>-0.901680273826114+0.216983747956801i</v>
      </c>
      <c r="AQ272" s="98">
        <f t="shared" si="165"/>
        <v>-0.65446375104661003</v>
      </c>
      <c r="AR272" s="169">
        <f t="shared" si="166"/>
        <v>166.46939494358787</v>
      </c>
      <c r="AS272" s="168" t="str">
        <f t="shared" si="167"/>
        <v>0.108784108172638+1.14860168042941i</v>
      </c>
      <c r="AT272" s="190">
        <f t="shared" si="168"/>
        <v>1.2421714428976913</v>
      </c>
      <c r="AU272" s="169">
        <f t="shared" si="169"/>
        <v>84.589652983688424</v>
      </c>
      <c r="AV272" s="225"/>
      <c r="AX272">
        <f t="shared" si="170"/>
        <v>0</v>
      </c>
      <c r="AY272">
        <f t="shared" si="171"/>
        <v>0</v>
      </c>
    </row>
    <row r="273" spans="14:51" x14ac:dyDescent="0.2">
      <c r="N273" s="170">
        <v>55</v>
      </c>
      <c r="O273" s="199">
        <f t="shared" si="172"/>
        <v>3548.1338923357539</v>
      </c>
      <c r="P273" s="189" t="str">
        <f t="shared" si="138"/>
        <v>6.8875</v>
      </c>
      <c r="Q273" s="160" t="str">
        <f t="shared" si="139"/>
        <v>1+5.57339568505748i</v>
      </c>
      <c r="R273" s="160">
        <f t="shared" si="147"/>
        <v>5.6623969714439255</v>
      </c>
      <c r="S273" s="160">
        <f t="shared" si="148"/>
        <v>1.3932615325107993</v>
      </c>
      <c r="T273" s="160" t="str">
        <f t="shared" si="140"/>
        <v>1+0.00891743309609196i</v>
      </c>
      <c r="U273" s="160">
        <f t="shared" si="149"/>
        <v>1.0000397595161021</v>
      </c>
      <c r="V273" s="160">
        <f t="shared" si="150"/>
        <v>8.917196734120449E-3</v>
      </c>
      <c r="W273" s="98" t="str">
        <f t="shared" si="141"/>
        <v>1-0.0231581538160283i</v>
      </c>
      <c r="X273" s="160">
        <f t="shared" si="151"/>
        <v>1.0002681141014977</v>
      </c>
      <c r="Y273" s="160">
        <f t="shared" si="152"/>
        <v>-2.315401524101315E-2</v>
      </c>
      <c r="Z273" s="98" t="str">
        <f t="shared" si="142"/>
        <v>0.999739891443844+0.0265462863168628i</v>
      </c>
      <c r="AA273" s="160">
        <f t="shared" si="153"/>
        <v>1.0000922736734674</v>
      </c>
      <c r="AB273" s="160">
        <f t="shared" si="154"/>
        <v>2.6546955030123727E-2</v>
      </c>
      <c r="AC273" s="171" t="str">
        <f t="shared" si="155"/>
        <v>0.165855943217861-1.20526171681671i</v>
      </c>
      <c r="AD273" s="190">
        <f t="shared" si="156"/>
        <v>1.7030983723035729</v>
      </c>
      <c r="AE273" s="169">
        <f t="shared" si="157"/>
        <v>-82.164743667086299</v>
      </c>
      <c r="AF273" s="98" t="str">
        <f t="shared" si="143"/>
        <v>-0.0000816326530612245</v>
      </c>
      <c r="AG273" s="98" t="str">
        <f t="shared" si="144"/>
        <v>0.000495363408487909i</v>
      </c>
      <c r="AH273" s="98">
        <f t="shared" si="158"/>
        <v>4.9536340848790905E-4</v>
      </c>
      <c r="AI273" s="98">
        <f t="shared" si="159"/>
        <v>1.5707963267948966</v>
      </c>
      <c r="AJ273" s="98" t="str">
        <f t="shared" si="145"/>
        <v>1+0.0548731155368431i</v>
      </c>
      <c r="AK273" s="98">
        <f t="shared" si="160"/>
        <v>1.0015043977979925</v>
      </c>
      <c r="AL273" s="98">
        <f t="shared" si="161"/>
        <v>5.481813943185497E-2</v>
      </c>
      <c r="AM273" s="98" t="str">
        <f t="shared" si="146"/>
        <v>1+5.54218466922116i</v>
      </c>
      <c r="AN273" s="98">
        <f t="shared" si="162"/>
        <v>5.6316792262832278</v>
      </c>
      <c r="AO273" s="98">
        <f t="shared" si="163"/>
        <v>1.3922827870736398</v>
      </c>
      <c r="AP273" s="168" t="str">
        <f t="shared" si="164"/>
        <v>-0.901558444976+0.214264786809119i</v>
      </c>
      <c r="AQ273" s="98">
        <f t="shared" si="165"/>
        <v>-0.66149924847461627</v>
      </c>
      <c r="AR273" s="169">
        <f t="shared" si="166"/>
        <v>166.63107955782604</v>
      </c>
      <c r="AS273" s="168" t="str">
        <f t="shared" si="167"/>
        <v>0.108716318545403+1.12215096751698i</v>
      </c>
      <c r="AT273" s="190">
        <f t="shared" si="168"/>
        <v>1.0415991238289761</v>
      </c>
      <c r="AU273" s="169">
        <f t="shared" si="169"/>
        <v>84.466335890739742</v>
      </c>
      <c r="AV273" s="225"/>
      <c r="AX273">
        <f t="shared" si="170"/>
        <v>0</v>
      </c>
      <c r="AY273">
        <f t="shared" si="171"/>
        <v>0</v>
      </c>
    </row>
    <row r="274" spans="14:51" x14ac:dyDescent="0.2">
      <c r="N274" s="170">
        <v>56</v>
      </c>
      <c r="O274" s="199">
        <f t="shared" si="172"/>
        <v>3630.7805477010188</v>
      </c>
      <c r="P274" s="189" t="str">
        <f t="shared" si="138"/>
        <v>6.8875</v>
      </c>
      <c r="Q274" s="160" t="str">
        <f t="shared" si="139"/>
        <v>1+5.70321674772712i</v>
      </c>
      <c r="R274" s="160">
        <f t="shared" si="147"/>
        <v>5.7902229034429329</v>
      </c>
      <c r="S274" s="160">
        <f t="shared" si="148"/>
        <v>1.397221126886933</v>
      </c>
      <c r="T274" s="160" t="str">
        <f t="shared" si="140"/>
        <v>1+0.0091251467963634i</v>
      </c>
      <c r="U274" s="160">
        <f t="shared" si="149"/>
        <v>1.0000416332853623</v>
      </c>
      <c r="V274" s="160">
        <f t="shared" si="150"/>
        <v>9.1248935305173594E-3</v>
      </c>
      <c r="W274" s="98" t="str">
        <f t="shared" si="141"/>
        <v>1-0.0236975765141016i</v>
      </c>
      <c r="X274" s="160">
        <f t="shared" si="151"/>
        <v>1.0002807481565572</v>
      </c>
      <c r="Y274" s="160">
        <f t="shared" si="152"/>
        <v>-2.3693142018295876E-2</v>
      </c>
      <c r="Z274" s="98" t="str">
        <f t="shared" si="142"/>
        <v>0.999727632905257+0.0271646287591242i</v>
      </c>
      <c r="AA274" s="160">
        <f t="shared" si="153"/>
        <v>1.0000966238568998</v>
      </c>
      <c r="AB274" s="160">
        <f t="shared" si="154"/>
        <v>2.7165345276416814E-2</v>
      </c>
      <c r="AC274" s="171" t="str">
        <f t="shared" si="155"/>
        <v>0.156407634515186-1.17944820626501i</v>
      </c>
      <c r="AD274" s="190">
        <f t="shared" si="156"/>
        <v>1.5092871759108717</v>
      </c>
      <c r="AE274" s="169">
        <f t="shared" si="157"/>
        <v>-82.446032403736012</v>
      </c>
      <c r="AF274" s="98" t="str">
        <f t="shared" si="143"/>
        <v>-0.0000816326530612245</v>
      </c>
      <c r="AG274" s="98" t="str">
        <f t="shared" si="144"/>
        <v>0.000506901904537987i</v>
      </c>
      <c r="AH274" s="98">
        <f t="shared" si="158"/>
        <v>5.0690190453798697E-4</v>
      </c>
      <c r="AI274" s="98">
        <f t="shared" si="159"/>
        <v>1.5707963267948966</v>
      </c>
      <c r="AJ274" s="98" t="str">
        <f t="shared" si="145"/>
        <v>1+0.0561512745934639i</v>
      </c>
      <c r="AK274" s="98">
        <f t="shared" si="160"/>
        <v>1.0015752421253585</v>
      </c>
      <c r="AL274" s="98">
        <f t="shared" si="161"/>
        <v>5.6092371638321703E-2</v>
      </c>
      <c r="AM274" s="98" t="str">
        <f t="shared" si="146"/>
        <v>1+5.67127873393986i</v>
      </c>
      <c r="AN274" s="98">
        <f t="shared" si="162"/>
        <v>5.7587674443441896</v>
      </c>
      <c r="AO274" s="98">
        <f t="shared" si="163"/>
        <v>1.3962633085508425</v>
      </c>
      <c r="AP274" s="168" t="str">
        <f t="shared" si="164"/>
        <v>-0.901430909789306+0.211658803380709i</v>
      </c>
      <c r="AQ274" s="98">
        <f t="shared" si="165"/>
        <v>-0.66828103091875535</v>
      </c>
      <c r="AR274" s="169">
        <f t="shared" si="166"/>
        <v>166.78613851118078</v>
      </c>
      <c r="AS274" s="168" t="str">
        <f t="shared" si="167"/>
        <v>0.108649919708558+1.09629612238392i</v>
      </c>
      <c r="AT274" s="190">
        <f t="shared" si="168"/>
        <v>0.84100614499208315</v>
      </c>
      <c r="AU274" s="169">
        <f t="shared" si="169"/>
        <v>84.340106107444768</v>
      </c>
      <c r="AV274" s="225"/>
      <c r="AX274">
        <f t="shared" si="170"/>
        <v>0</v>
      </c>
      <c r="AY274">
        <f t="shared" si="171"/>
        <v>0</v>
      </c>
    </row>
    <row r="275" spans="14:51" x14ac:dyDescent="0.2">
      <c r="N275" s="170">
        <v>57</v>
      </c>
      <c r="O275" s="199">
        <f t="shared" si="172"/>
        <v>3715.352290971724</v>
      </c>
      <c r="P275" s="189" t="str">
        <f t="shared" ref="P275:P338" si="173">COMPLEX(Adc,0)</f>
        <v>6.8875</v>
      </c>
      <c r="Q275" s="160" t="str">
        <f t="shared" ref="Q275:Q338" si="174">IMSUM(COMPLEX(1,0),IMDIV(COMPLEX(0,2*PI()*O275),COMPLEX(wp_lf,0)))</f>
        <v>1+5.8360617314074i</v>
      </c>
      <c r="R275" s="160">
        <f t="shared" si="147"/>
        <v>5.9211161559960921</v>
      </c>
      <c r="S275" s="160">
        <f t="shared" si="148"/>
        <v>1.4010959098616265</v>
      </c>
      <c r="T275" s="160" t="str">
        <f t="shared" ref="T275:T338" si="175">IMSUM(COMPLEX(1,0),IMDIV(COMPLEX(0,2*PI()*O275),COMPLEX(wz_esr,0)))</f>
        <v>1+0.00933769877025184i</v>
      </c>
      <c r="U275" s="160">
        <f t="shared" si="149"/>
        <v>1.0000435953588842</v>
      </c>
      <c r="V275" s="160">
        <f t="shared" si="150"/>
        <v>9.3374273916473922E-3</v>
      </c>
      <c r="W275" s="98" t="str">
        <f t="shared" ref="W275:W338" si="176">IMSUB(COMPLEX(1,0),IMDIV(COMPLEX(0,2*PI()*O275),COMPLEX(wz_rhp,0)))</f>
        <v>1-0.0242495639809172i</v>
      </c>
      <c r="X275" s="160">
        <f t="shared" si="151"/>
        <v>1.0002939774652573</v>
      </c>
      <c r="Y275" s="160">
        <f t="shared" si="152"/>
        <v>-2.4244812408470751E-2</v>
      </c>
      <c r="Z275" s="98" t="str">
        <f t="shared" ref="Z275:Z338" si="177">IF(Dc_Mode_Loop="CCM",IMSUM(COMPLEX(1,0),IMDIV(COMPLEX(0,2*PI()*O275),COMPLEX(Q*(wsl/2),0)),IMDIV(IMPOWER(COMPLEX(0,2*PI()*O275),2),IMPOWER(COMPLEX(wsl/2,0),2))),COMPLEX(1,0))</f>
        <v>0.999714796639545+0.0277973742471201i</v>
      </c>
      <c r="AA275" s="160">
        <f t="shared" si="153"/>
        <v>1.0001011791989254</v>
      </c>
      <c r="AB275" s="160">
        <f t="shared" si="154"/>
        <v>2.7798141984686442E-2</v>
      </c>
      <c r="AC275" s="171" t="str">
        <f t="shared" si="155"/>
        <v>0.147359769768344-1.15411514038286i</v>
      </c>
      <c r="AD275" s="190">
        <f t="shared" si="156"/>
        <v>1.315213570533083</v>
      </c>
      <c r="AE275" s="169">
        <f t="shared" si="157"/>
        <v>-82.723728787181685</v>
      </c>
      <c r="AF275" s="98" t="str">
        <f t="shared" ref="AF275:AF338" si="178">COMPLEX(Adc_ea,0)</f>
        <v>-0.0000816326530612245</v>
      </c>
      <c r="AG275" s="98" t="str">
        <f t="shared" ref="AG275:AG338" si="179">COMPLEX(0,2*PI()*O275*wp0_ea)</f>
        <v>0.000518709166687489i</v>
      </c>
      <c r="AH275" s="98">
        <f t="shared" si="158"/>
        <v>5.1870916668748902E-4</v>
      </c>
      <c r="AI275" s="98">
        <f t="shared" si="159"/>
        <v>1.5707963267948966</v>
      </c>
      <c r="AJ275" s="98" t="str">
        <f t="shared" ref="AJ275:AJ338" si="180">IMSUM(COMPLEX(1,0),IMDIV(COMPLEX(0,2*PI()*O275),COMPLEX(wp1_ea,0)))</f>
        <v>1+0.057459205799124i</v>
      </c>
      <c r="AK275" s="98">
        <f t="shared" si="160"/>
        <v>1.0016494198725749</v>
      </c>
      <c r="AL275" s="98">
        <f t="shared" si="161"/>
        <v>5.739609575749087E-2</v>
      </c>
      <c r="AM275" s="98" t="str">
        <f t="shared" ref="AM275:AM338" si="181">IMSUM(COMPLEX(1,0),IMDIV(COMPLEX(0,2*PI()*O275),COMPLEX(wz_ea,0)))</f>
        <v>1+5.80337978571152i</v>
      </c>
      <c r="AN275" s="98">
        <f t="shared" si="162"/>
        <v>5.8889062598418978</v>
      </c>
      <c r="AO275" s="98">
        <f t="shared" si="163"/>
        <v>1.4001586290079411</v>
      </c>
      <c r="AP275" s="168" t="str">
        <f t="shared" si="164"/>
        <v>-0.901297402722008+0.209164371294466i</v>
      </c>
      <c r="AQ275" s="98">
        <f t="shared" si="165"/>
        <v>-0.67482228517816811</v>
      </c>
      <c r="AR275" s="169">
        <f t="shared" si="166"/>
        <v>166.93462604354573</v>
      </c>
      <c r="AS275" s="168" t="str">
        <f t="shared" si="167"/>
        <v>0.108584789981684+1.07102339206691i</v>
      </c>
      <c r="AT275" s="190">
        <f t="shared" si="168"/>
        <v>0.64039128535491674</v>
      </c>
      <c r="AU275" s="169">
        <f t="shared" si="169"/>
        <v>84.210897256364035</v>
      </c>
      <c r="AV275" s="225"/>
      <c r="AX275">
        <f t="shared" si="170"/>
        <v>0</v>
      </c>
      <c r="AY275">
        <f t="shared" si="171"/>
        <v>0</v>
      </c>
    </row>
    <row r="276" spans="14:51" x14ac:dyDescent="0.2">
      <c r="N276" s="170">
        <v>58</v>
      </c>
      <c r="O276" s="199">
        <f t="shared" si="172"/>
        <v>3801.8939632056172</v>
      </c>
      <c r="P276" s="189" t="str">
        <f t="shared" si="173"/>
        <v>6.8875</v>
      </c>
      <c r="Q276" s="160" t="str">
        <f t="shared" si="174"/>
        <v>1+5.97200107226707i</v>
      </c>
      <c r="R276" s="160">
        <f t="shared" ref="R276:R339" si="182">IMABS(Q276)</f>
        <v>6.055146307659216</v>
      </c>
      <c r="S276" s="160">
        <f t="shared" ref="S276:S339" si="183">IMARGUMENT(Q276)</f>
        <v>1.404887470257524</v>
      </c>
      <c r="T276" s="160" t="str">
        <f t="shared" si="175"/>
        <v>1+0.00955520171562732i</v>
      </c>
      <c r="U276" s="160">
        <f t="shared" ref="U276:U339" si="184">IMABS(T276)</f>
        <v>1.0000456498979566</v>
      </c>
      <c r="V276" s="160">
        <f t="shared" ref="V276:V339" si="185">IMARGUMENT(T276)</f>
        <v>9.554910928930526E-3</v>
      </c>
      <c r="W276" s="98" t="str">
        <f t="shared" si="176"/>
        <v>1-0.0248144088875363i</v>
      </c>
      <c r="X276" s="160">
        <f t="shared" ref="X276:X339" si="186">IMABS(W276)</f>
        <v>1.0003078300645445</v>
      </c>
      <c r="Y276" s="160">
        <f t="shared" ref="Y276:Y339" si="187">IMARGUMENT(W276)</f>
        <v>-2.4809317570547235E-2</v>
      </c>
      <c r="Z276" s="98" t="str">
        <f t="shared" si="177"/>
        <v>0.999701355419267+0.0284448582708834i</v>
      </c>
      <c r="AA276" s="160">
        <f t="shared" ref="AA276:AA339" si="188">IMABS(Z276)</f>
        <v>1.0001059493819493</v>
      </c>
      <c r="AB276" s="160">
        <f t="shared" ref="AB276:AB339" si="189">IMARGUMENT(Z276)</f>
        <v>2.8445680888967154E-2</v>
      </c>
      <c r="AC276" s="171" t="str">
        <f t="shared" ref="AC276:AC339" si="190">(IMDIV(IMPRODUCT(P276,T276,W276),IMPRODUCT(Q276,Z276)))</f>
        <v>0.138696420824239-1.12925821316895i</v>
      </c>
      <c r="AD276" s="190">
        <f t="shared" ref="AD276:AD339" si="191">20*LOG(IMABS(AC276))</f>
        <v>1.1208890635556099</v>
      </c>
      <c r="AE276" s="169">
        <f t="shared" ref="AE276:AE339" si="192">(180/PI())*IMARGUMENT(AC276)</f>
        <v>-82.997953316421814</v>
      </c>
      <c r="AF276" s="98" t="str">
        <f t="shared" si="178"/>
        <v>-0.0000816326530612245</v>
      </c>
      <c r="AG276" s="98" t="str">
        <f t="shared" si="179"/>
        <v>0.000530791455303098i</v>
      </c>
      <c r="AH276" s="98">
        <f t="shared" ref="AH276:AH339" si="193">IMABS(AG276)</f>
        <v>5.3079145530309803E-4</v>
      </c>
      <c r="AI276" s="98">
        <f t="shared" ref="AI276:AI339" si="194">IMARGUMENT(AG276)</f>
        <v>1.5707963267948966</v>
      </c>
      <c r="AJ276" s="98" t="str">
        <f t="shared" si="180"/>
        <v>1+0.0587976026362612i</v>
      </c>
      <c r="AK276" s="98">
        <f t="shared" ref="AK276:AK339" si="195">IMABS(AJ276)</f>
        <v>1.0017270876220588</v>
      </c>
      <c r="AL276" s="98">
        <f t="shared" ref="AL276:AL339" si="196">IMARGUMENT(AJ276)</f>
        <v>5.8729985303630217E-2</v>
      </c>
      <c r="AM276" s="98" t="str">
        <f t="shared" si="181"/>
        <v>1+5.93855786626238i</v>
      </c>
      <c r="AN276" s="98">
        <f t="shared" ref="AN276:AN339" si="197">IMABS(AM276)</f>
        <v>6.0221648541821562</v>
      </c>
      <c r="AO276" s="98">
        <f t="shared" ref="AO276:AO339" si="198">IMARGUMENT(AM276)</f>
        <v>1.4039703407138286</v>
      </c>
      <c r="AP276" s="168" t="str">
        <f t="shared" ref="AP276:AP339" si="199">IMPRODUCT(AF276,IMDIV(AM276,IMPRODUCT(AG276,AJ276)))</f>
        <v>-0.901157646039772+0.206780120160629i</v>
      </c>
      <c r="AQ276" s="98">
        <f t="shared" ref="AQ276:AQ339" si="200">20*LOG(IMABS(AP276))</f>
        <v>-0.68113578707772893</v>
      </c>
      <c r="AR276" s="169">
        <f t="shared" ref="AR276:AR339" si="201">(180/PI())*IMARGUMENT(AP276)</f>
        <v>167.07659479568321</v>
      </c>
      <c r="AS276" s="168" t="str">
        <f t="shared" ref="AS276:AS339" si="202">IMPRODUCT(AC276,AP276)</f>
        <v>0.10852080890734+1.0463193357143i</v>
      </c>
      <c r="AT276" s="190">
        <f t="shared" ref="AT276:AT339" si="203">20*LOG(IMABS(AS276))</f>
        <v>0.43975327647791795</v>
      </c>
      <c r="AU276" s="169">
        <f t="shared" ref="AU276:AU339" si="204">(180/PI())*IMARGUMENT(AS276)</f>
        <v>84.078641479261421</v>
      </c>
      <c r="AV276" s="225"/>
      <c r="AX276">
        <f t="shared" ref="AX276:AX339" si="205">SUM((AT277&lt;0)*(AT276&gt;0))*O276</f>
        <v>0</v>
      </c>
      <c r="AY276">
        <f t="shared" ref="AY276:AY339" si="206">IF(AX276&gt;0,AU276,0)</f>
        <v>0</v>
      </c>
    </row>
    <row r="277" spans="14:51" x14ac:dyDescent="0.2">
      <c r="N277" s="170">
        <v>59</v>
      </c>
      <c r="O277" s="199">
        <f t="shared" si="172"/>
        <v>3890.451449942811</v>
      </c>
      <c r="P277" s="189" t="str">
        <f t="shared" si="173"/>
        <v>6.8875</v>
      </c>
      <c r="Q277" s="160" t="str">
        <f t="shared" si="174"/>
        <v>1+6.11110684714405i</v>
      </c>
      <c r="R277" s="160">
        <f t="shared" si="182"/>
        <v>6.1923845889294453</v>
      </c>
      <c r="S277" s="160">
        <f t="shared" si="183"/>
        <v>1.408597382133328</v>
      </c>
      <c r="T277" s="160" t="str">
        <f t="shared" si="175"/>
        <v>1+0.00977777095543048i</v>
      </c>
      <c r="U277" s="160">
        <f t="shared" si="184"/>
        <v>1.0000478012599481</v>
      </c>
      <c r="V277" s="160">
        <f t="shared" si="185"/>
        <v>9.7774593726755264E-3</v>
      </c>
      <c r="W277" s="98" t="str">
        <f t="shared" si="176"/>
        <v>1-0.0253924107222052i</v>
      </c>
      <c r="X277" s="160">
        <f t="shared" si="186"/>
        <v>1.0003223353111161</v>
      </c>
      <c r="Y277" s="160">
        <f t="shared" si="187"/>
        <v>-2.5386955372700928E-2</v>
      </c>
      <c r="Z277" s="98" t="str">
        <f t="shared" si="177"/>
        <v>0.999687280733794+0.0291074241350143i</v>
      </c>
      <c r="AA277" s="160">
        <f t="shared" si="188"/>
        <v>1.0001109445460055</v>
      </c>
      <c r="AB277" s="160">
        <f t="shared" si="189"/>
        <v>2.910830555527183E-2</v>
      </c>
      <c r="AC277" s="171" t="str">
        <f t="shared" si="190"/>
        <v>0.130402203679781-1.10487281882038i</v>
      </c>
      <c r="AD277" s="190">
        <f t="shared" si="191"/>
        <v>0.92632472022246848</v>
      </c>
      <c r="AE277" s="169">
        <f t="shared" si="192"/>
        <v>-83.268826327638195</v>
      </c>
      <c r="AF277" s="98" t="str">
        <f t="shared" si="178"/>
        <v>-0.0000816326530612245</v>
      </c>
      <c r="AG277" s="98" t="str">
        <f t="shared" si="179"/>
        <v>0.000543155176574163i</v>
      </c>
      <c r="AH277" s="98">
        <f t="shared" si="193"/>
        <v>5.4315517657416298E-4</v>
      </c>
      <c r="AI277" s="98">
        <f t="shared" si="194"/>
        <v>1.5707963267948966</v>
      </c>
      <c r="AJ277" s="98" t="str">
        <f t="shared" si="180"/>
        <v>1+0.0601671747405945i</v>
      </c>
      <c r="AK277" s="98">
        <f t="shared" si="195"/>
        <v>1.0018084092860597</v>
      </c>
      <c r="AL277" s="98">
        <f t="shared" si="196"/>
        <v>6.0094728525189933E-2</v>
      </c>
      <c r="AM277" s="98" t="str">
        <f t="shared" si="181"/>
        <v>1+6.07688464880005i</v>
      </c>
      <c r="AN277" s="98">
        <f t="shared" si="197"/>
        <v>6.1586140514584695</v>
      </c>
      <c r="AO277" s="98">
        <f t="shared" si="198"/>
        <v>1.407700021418856</v>
      </c>
      <c r="AP277" s="168" t="str">
        <f t="shared" si="199"/>
        <v>-0.901011349274384+0.204504734628479i</v>
      </c>
      <c r="AQ277" s="98">
        <f t="shared" si="200"/>
        <v>-0.68723392012471596</v>
      </c>
      <c r="AR277" s="169">
        <f t="shared" si="201"/>
        <v>167.2120957322982</v>
      </c>
      <c r="AS277" s="168" t="str">
        <f t="shared" si="202"/>
        <v>0.108457857125209+1.02217081732045i</v>
      </c>
      <c r="AT277" s="190">
        <f t="shared" si="203"/>
        <v>0.23909080009779607</v>
      </c>
      <c r="AU277" s="169">
        <f t="shared" si="204"/>
        <v>83.943269404660029</v>
      </c>
      <c r="AV277" s="225"/>
      <c r="AX277">
        <f t="shared" si="205"/>
        <v>0</v>
      </c>
      <c r="AY277">
        <f t="shared" si="206"/>
        <v>0</v>
      </c>
    </row>
    <row r="278" spans="14:51" x14ac:dyDescent="0.2">
      <c r="N278" s="170">
        <v>60</v>
      </c>
      <c r="O278" s="199">
        <f t="shared" si="172"/>
        <v>3981.0717055349769</v>
      </c>
      <c r="P278" s="189" t="str">
        <f t="shared" si="173"/>
        <v>6.8875</v>
      </c>
      <c r="Q278" s="160" t="str">
        <f t="shared" si="174"/>
        <v>1+6.25345281176143i</v>
      </c>
      <c r="R278" s="160">
        <f t="shared" si="182"/>
        <v>6.3329039207086453</v>
      </c>
      <c r="S278" s="160">
        <f t="shared" si="183"/>
        <v>1.4122272038374999</v>
      </c>
      <c r="T278" s="160" t="str">
        <f t="shared" si="175"/>
        <v>1+0.0100055244988183i</v>
      </c>
      <c r="U278" s="160">
        <f t="shared" si="184"/>
        <v>1.0000500540075463</v>
      </c>
      <c r="V278" s="160">
        <f t="shared" si="185"/>
        <v>1.0005190632783699E-2</v>
      </c>
      <c r="W278" s="98" t="str">
        <f t="shared" si="176"/>
        <v>1-0.0259838759491472i</v>
      </c>
      <c r="X278" s="160">
        <f t="shared" si="186"/>
        <v>1.000337523943464</v>
      </c>
      <c r="Y278" s="160">
        <f t="shared" si="187"/>
        <v>-2.5978030543354895E-2</v>
      </c>
      <c r="Z278" s="98" t="str">
        <f t="shared" si="177"/>
        <v>0.99967254272883+0.0297854231407037i</v>
      </c>
      <c r="AA278" s="160">
        <f t="shared" si="188"/>
        <v>1.0001161753104462</v>
      </c>
      <c r="AB278" s="160">
        <f t="shared" si="189"/>
        <v>2.9786367564855584E-2</v>
      </c>
      <c r="AC278" s="171" t="str">
        <f t="shared" si="190"/>
        <v>0.1224622677983-1.08095408033621i</v>
      </c>
      <c r="AD278" s="190">
        <f t="shared" si="191"/>
        <v>0.73153117959747105</v>
      </c>
      <c r="AE278" s="169">
        <f t="shared" si="192"/>
        <v>-83.536467955655567</v>
      </c>
      <c r="AF278" s="98" t="str">
        <f t="shared" si="178"/>
        <v>-0.0000816326530612245</v>
      </c>
      <c r="AG278" s="98" t="str">
        <f t="shared" si="179"/>
        <v>0.000555806885909356i</v>
      </c>
      <c r="AH278" s="98">
        <f t="shared" si="193"/>
        <v>5.5580688590935602E-4</v>
      </c>
      <c r="AI278" s="98">
        <f t="shared" si="194"/>
        <v>1.5707963267948966</v>
      </c>
      <c r="AJ278" s="98" t="str">
        <f t="shared" si="180"/>
        <v>1+0.0615686482773818i</v>
      </c>
      <c r="AK278" s="98">
        <f t="shared" si="195"/>
        <v>1.0018935564473423</v>
      </c>
      <c r="AL278" s="98">
        <f t="shared" si="196"/>
        <v>6.1491028680660732E-2</v>
      </c>
      <c r="AM278" s="98" t="str">
        <f t="shared" si="181"/>
        <v>1+6.21843347601556i</v>
      </c>
      <c r="AN278" s="98">
        <f t="shared" si="197"/>
        <v>6.2983263567102457</v>
      </c>
      <c r="AO278" s="98">
        <f t="shared" si="198"/>
        <v>1.411349233385214</v>
      </c>
      <c r="AP278" s="168" t="str">
        <f t="shared" si="199"/>
        <v>-0.900858208657461+0.202336953451867i</v>
      </c>
      <c r="AQ278" s="98">
        <f t="shared" si="200"/>
        <v>-0.69312869399469912</v>
      </c>
      <c r="AR278" s="169">
        <f t="shared" si="201"/>
        <v>167.34117807067724</v>
      </c>
      <c r="AS278" s="168" t="str">
        <f t="shared" si="202"/>
        <v>0.108395816239687+0.998564998631766i</v>
      </c>
      <c r="AT278" s="190">
        <f t="shared" si="203"/>
        <v>3.840248560277186E-2</v>
      </c>
      <c r="AU278" s="169">
        <f t="shared" si="204"/>
        <v>83.804710115021663</v>
      </c>
      <c r="AV278" s="225"/>
      <c r="AX278">
        <f t="shared" si="205"/>
        <v>3981.0717055349769</v>
      </c>
      <c r="AY278">
        <f t="shared" si="206"/>
        <v>83.804710115021663</v>
      </c>
    </row>
    <row r="279" spans="14:51" x14ac:dyDescent="0.2">
      <c r="N279" s="170">
        <v>61</v>
      </c>
      <c r="O279" s="199">
        <f t="shared" si="172"/>
        <v>4073.8027780411317</v>
      </c>
      <c r="P279" s="189" t="str">
        <f t="shared" si="173"/>
        <v>6.8875</v>
      </c>
      <c r="Q279" s="160" t="str">
        <f t="shared" si="174"/>
        <v>1+6.39911443983385i</v>
      </c>
      <c r="R279" s="160">
        <f t="shared" si="182"/>
        <v>6.4767789536227101</v>
      </c>
      <c r="S279" s="160">
        <f t="shared" si="183"/>
        <v>1.4157784771541826</v>
      </c>
      <c r="T279" s="160" t="str">
        <f t="shared" si="175"/>
        <v>1+0.0102385831037342i</v>
      </c>
      <c r="U279" s="160">
        <f t="shared" si="184"/>
        <v>1.0000524129184289</v>
      </c>
      <c r="V279" s="160">
        <f t="shared" si="185"/>
        <v>1.0238225360845392E-2</v>
      </c>
      <c r="W279" s="98" t="str">
        <f t="shared" si="176"/>
        <v>1-0.0265891181710548i</v>
      </c>
      <c r="X279" s="160">
        <f t="shared" si="186"/>
        <v>1.0003534281468296</v>
      </c>
      <c r="Y279" s="160">
        <f t="shared" si="187"/>
        <v>-2.6582854825411634E-2</v>
      </c>
      <c r="Z279" s="98" t="str">
        <f t="shared" si="177"/>
        <v>0.999657110143091+0.0304792147719992i</v>
      </c>
      <c r="AA279" s="160">
        <f t="shared" si="188"/>
        <v>1.0001216527966752</v>
      </c>
      <c r="AB279" s="160">
        <f t="shared" si="189"/>
        <v>3.0480226701810189E-2</v>
      </c>
      <c r="AC279" s="171" t="str">
        <f t="shared" si="190"/>
        <v>0.114862284862042-1.05749687648507i</v>
      </c>
      <c r="AD279" s="190">
        <f t="shared" si="191"/>
        <v>0.53651867022799782</v>
      </c>
      <c r="AE279" s="169">
        <f t="shared" si="192"/>
        <v>-83.800998101033997</v>
      </c>
      <c r="AF279" s="98" t="str">
        <f t="shared" si="178"/>
        <v>-0.0000816326530612245</v>
      </c>
      <c r="AG279" s="98" t="str">
        <f t="shared" si="179"/>
        <v>0.000568753291412433i</v>
      </c>
      <c r="AH279" s="98">
        <f t="shared" si="193"/>
        <v>5.68753291412433E-4</v>
      </c>
      <c r="AI279" s="98">
        <f t="shared" si="194"/>
        <v>1.5707963267948966</v>
      </c>
      <c r="AJ279" s="98" t="str">
        <f t="shared" si="180"/>
        <v>1+0.0630027663264434i</v>
      </c>
      <c r="AK279" s="98">
        <f t="shared" si="195"/>
        <v>1.0019827087154671</v>
      </c>
      <c r="AL279" s="98">
        <f t="shared" si="196"/>
        <v>6.2919604316149541E-2</v>
      </c>
      <c r="AM279" s="98" t="str">
        <f t="shared" si="181"/>
        <v>1+6.36327939897078i</v>
      </c>
      <c r="AN279" s="98">
        <f t="shared" si="197"/>
        <v>6.4413759950313354</v>
      </c>
      <c r="AO279" s="98">
        <f t="shared" si="198"/>
        <v>1.4149195225108646</v>
      </c>
      <c r="AP279" s="168" t="str">
        <f t="shared" si="199"/>
        <v>-0.900697906530727+0.200275568567048i</v>
      </c>
      <c r="AQ279" s="98">
        <f t="shared" si="200"/>
        <v>-0.69883176283249937</v>
      </c>
      <c r="AR279" s="169">
        <f t="shared" si="201"/>
        <v>167.46388921458967</v>
      </c>
      <c r="AS279" s="168" t="str">
        <f t="shared" si="202"/>
        <v>0.108334568681348+0.975489332220541i</v>
      </c>
      <c r="AT279" s="190">
        <f t="shared" si="203"/>
        <v>-0.16231309260450119</v>
      </c>
      <c r="AU279" s="169">
        <f t="shared" si="204"/>
        <v>83.662891113555673</v>
      </c>
      <c r="AV279" s="225"/>
      <c r="AX279">
        <f t="shared" si="205"/>
        <v>0</v>
      </c>
      <c r="AY279">
        <f t="shared" si="206"/>
        <v>0</v>
      </c>
    </row>
    <row r="280" spans="14:51" x14ac:dyDescent="0.2">
      <c r="N280" s="170">
        <v>62</v>
      </c>
      <c r="O280" s="199">
        <f t="shared" si="172"/>
        <v>4168.6938347033583</v>
      </c>
      <c r="P280" s="189" t="str">
        <f t="shared" si="173"/>
        <v>6.8875</v>
      </c>
      <c r="Q280" s="160" t="str">
        <f t="shared" si="174"/>
        <v>1+6.54816896308458i</v>
      </c>
      <c r="R280" s="160">
        <f t="shared" si="182"/>
        <v>6.6240861082193208</v>
      </c>
      <c r="S280" s="160">
        <f t="shared" si="183"/>
        <v>1.4192527265360009</v>
      </c>
      <c r="T280" s="160" t="str">
        <f t="shared" si="175"/>
        <v>1+0.0104770703409353i</v>
      </c>
      <c r="U280" s="160">
        <f t="shared" si="184"/>
        <v>1.0000548829953928</v>
      </c>
      <c r="V280" s="160">
        <f t="shared" si="185"/>
        <v>1.047668701365981E-2</v>
      </c>
      <c r="W280" s="98" t="str">
        <f t="shared" si="176"/>
        <v>1-0.0272084582953653i</v>
      </c>
      <c r="X280" s="160">
        <f t="shared" si="186"/>
        <v>1.000370081621202</v>
      </c>
      <c r="Y280" s="160">
        <f t="shared" si="187"/>
        <v>-2.7201747133679729E-2</v>
      </c>
      <c r="Z280" s="98" t="str">
        <f t="shared" si="177"/>
        <v>0.999640950241994+0.0311891668864069i</v>
      </c>
      <c r="AA280" s="160">
        <f t="shared" si="188"/>
        <v>1.0001273886519582</v>
      </c>
      <c r="AB280" s="160">
        <f t="shared" si="189"/>
        <v>3.1190251145088749E-2</v>
      </c>
      <c r="AC280" s="171" t="str">
        <f t="shared" si="190"/>
        <v>0.10758843705799-1.03449586719516i</v>
      </c>
      <c r="AD280" s="190">
        <f t="shared" si="191"/>
        <v>0.34129702549911484</v>
      </c>
      <c r="AE280" s="169">
        <f t="shared" si="192"/>
        <v>-84.06253640249399</v>
      </c>
      <c r="AF280" s="98" t="str">
        <f t="shared" si="178"/>
        <v>-0.0000816326530612245</v>
      </c>
      <c r="AG280" s="98" t="str">
        <f t="shared" si="179"/>
        <v>0.000582001257438956i</v>
      </c>
      <c r="AH280" s="98">
        <f t="shared" si="193"/>
        <v>5.8200125743895596E-4</v>
      </c>
      <c r="AI280" s="98">
        <f t="shared" si="194"/>
        <v>1.5707963267948966</v>
      </c>
      <c r="AJ280" s="98" t="str">
        <f t="shared" si="180"/>
        <v>1+0.0644702892761515i</v>
      </c>
      <c r="AK280" s="98">
        <f t="shared" si="195"/>
        <v>1.0020760540993636</v>
      </c>
      <c r="AL280" s="98">
        <f t="shared" si="196"/>
        <v>6.4381189544384917E-2</v>
      </c>
      <c r="AM280" s="98" t="str">
        <f t="shared" si="181"/>
        <v>1+6.5114992168913i</v>
      </c>
      <c r="AN280" s="98">
        <f t="shared" si="197"/>
        <v>6.5878389515512605</v>
      </c>
      <c r="AO280" s="98">
        <f t="shared" si="198"/>
        <v>1.4184124175416302</v>
      </c>
      <c r="AP280" s="168" t="str">
        <f t="shared" si="199"/>
        <v>-0.900530110732016+0.19831942418122i</v>
      </c>
      <c r="AQ280" s="98">
        <f t="shared" si="200"/>
        <v>-0.70435444335828468</v>
      </c>
      <c r="AR280" s="169">
        <f t="shared" si="201"/>
        <v>167.58027469315829</v>
      </c>
      <c r="AS280" s="168" t="str">
        <f t="shared" si="202"/>
        <v>0.10827399756268+0.952931554722969i</v>
      </c>
      <c r="AT280" s="190">
        <f t="shared" si="203"/>
        <v>-0.36305741785916418</v>
      </c>
      <c r="AU280" s="169">
        <f t="shared" si="204"/>
        <v>83.517738290664283</v>
      </c>
      <c r="AV280" s="225"/>
      <c r="AX280">
        <f t="shared" si="205"/>
        <v>0</v>
      </c>
      <c r="AY280">
        <f t="shared" si="206"/>
        <v>0</v>
      </c>
    </row>
    <row r="281" spans="14:51" x14ac:dyDescent="0.2">
      <c r="N281" s="170">
        <v>63</v>
      </c>
      <c r="O281" s="199">
        <f t="shared" si="172"/>
        <v>4265.7951880159299</v>
      </c>
      <c r="P281" s="189" t="str">
        <f t="shared" si="173"/>
        <v>6.8875</v>
      </c>
      <c r="Q281" s="160" t="str">
        <f t="shared" si="174"/>
        <v>1+6.70069541219477i</v>
      </c>
      <c r="R281" s="160">
        <f t="shared" si="182"/>
        <v>6.7749036160677631</v>
      </c>
      <c r="S281" s="160">
        <f t="shared" si="183"/>
        <v>1.4226514584186096</v>
      </c>
      <c r="T281" s="160" t="str">
        <f t="shared" si="175"/>
        <v>1+0.0107211126595116i</v>
      </c>
      <c r="U281" s="160">
        <f t="shared" si="184"/>
        <v>1.0000574694769586</v>
      </c>
      <c r="V281" s="160">
        <f t="shared" si="185"/>
        <v>1.0720701918210491E-2</v>
      </c>
      <c r="W281" s="98" t="str">
        <f t="shared" si="176"/>
        <v>1-0.0278422247044104i</v>
      </c>
      <c r="X281" s="160">
        <f t="shared" si="186"/>
        <v>1.0003875196525049</v>
      </c>
      <c r="Y281" s="160">
        <f t="shared" si="187"/>
        <v>-2.7835033715543894E-2</v>
      </c>
      <c r="Z281" s="98" t="str">
        <f t="shared" si="177"/>
        <v>0.999624028748221+0.0319156559099351i</v>
      </c>
      <c r="AA281" s="160">
        <f t="shared" si="188"/>
        <v>1.0001333950743698</v>
      </c>
      <c r="AB281" s="160">
        <f t="shared" si="189"/>
        <v>3.191681766507333E-2</v>
      </c>
      <c r="AC281" s="171" t="str">
        <f t="shared" si="190"/>
        <v>0.100627404985794-1.01194551742593i</v>
      </c>
      <c r="AD281" s="190">
        <f t="shared" si="191"/>
        <v>0.14587569866579983</v>
      </c>
      <c r="AE281" s="169">
        <f t="shared" si="192"/>
        <v>-84.321202214388677</v>
      </c>
      <c r="AF281" s="98" t="str">
        <f t="shared" si="178"/>
        <v>-0.0000816326530612245</v>
      </c>
      <c r="AG281" s="98" t="str">
        <f t="shared" si="179"/>
        <v>0.000595557808235871i</v>
      </c>
      <c r="AH281" s="98">
        <f t="shared" si="193"/>
        <v>5.9555780823587095E-4</v>
      </c>
      <c r="AI281" s="98">
        <f t="shared" si="194"/>
        <v>1.5707963267948966</v>
      </c>
      <c r="AJ281" s="98" t="str">
        <f t="shared" si="180"/>
        <v>1+0.0659719952265989i</v>
      </c>
      <c r="AK281" s="98">
        <f t="shared" si="195"/>
        <v>1.002173789396918</v>
      </c>
      <c r="AL281" s="98">
        <f t="shared" si="196"/>
        <v>6.5876534324844277E-2</v>
      </c>
      <c r="AM281" s="98" t="str">
        <f t="shared" si="181"/>
        <v>1+6.66317151788649i</v>
      </c>
      <c r="AN281" s="98">
        <f t="shared" si="197"/>
        <v>6.7377930123129897</v>
      </c>
      <c r="AO281" s="98">
        <f t="shared" si="198"/>
        <v>1.421829429366271</v>
      </c>
      <c r="AP281" s="168" t="str">
        <f t="shared" si="199"/>
        <v>-0.90035447395609+0.196467415870115i</v>
      </c>
      <c r="AQ281" s="98">
        <f t="shared" si="200"/>
        <v>-0.70970773277234134</v>
      </c>
      <c r="AR281" s="169">
        <f t="shared" si="201"/>
        <v>167.69037810441921</v>
      </c>
      <c r="AS281" s="168" t="str">
        <f t="shared" si="202"/>
        <v>0.108213986528468+0.930879680237521i</v>
      </c>
      <c r="AT281" s="190">
        <f t="shared" si="203"/>
        <v>-0.56383203410654315</v>
      </c>
      <c r="AU281" s="169">
        <f t="shared" si="204"/>
        <v>83.369175890030533</v>
      </c>
      <c r="AV281" s="225"/>
      <c r="AX281">
        <f t="shared" si="205"/>
        <v>0</v>
      </c>
      <c r="AY281">
        <f t="shared" si="206"/>
        <v>0</v>
      </c>
    </row>
    <row r="282" spans="14:51" x14ac:dyDescent="0.2">
      <c r="N282" s="170">
        <v>64</v>
      </c>
      <c r="O282" s="199">
        <f t="shared" si="172"/>
        <v>4365.1583224016631</v>
      </c>
      <c r="P282" s="189" t="str">
        <f t="shared" si="173"/>
        <v>6.8875</v>
      </c>
      <c r="Q282" s="160" t="str">
        <f t="shared" si="174"/>
        <v>1+6.8567746587067i</v>
      </c>
      <c r="R282" s="160">
        <f t="shared" si="182"/>
        <v>6.9293115617846475</v>
      </c>
      <c r="S282" s="160">
        <f t="shared" si="183"/>
        <v>1.4259761606120527</v>
      </c>
      <c r="T282" s="160" t="str">
        <f t="shared" si="175"/>
        <v>1+0.0109708394539307i</v>
      </c>
      <c r="U282" s="160">
        <f t="shared" si="184"/>
        <v>1.0000601778484752</v>
      </c>
      <c r="V282" s="160">
        <f t="shared" si="185"/>
        <v>1.0970399338127447E-2</v>
      </c>
      <c r="W282" s="98" t="str">
        <f t="shared" si="176"/>
        <v>1-0.0284907534295292i</v>
      </c>
      <c r="X282" s="160">
        <f t="shared" si="186"/>
        <v>1.0004057791871168</v>
      </c>
      <c r="Y282" s="160">
        <f t="shared" si="187"/>
        <v>-2.8483048314923012E-2</v>
      </c>
      <c r="Z282" s="98" t="str">
        <f t="shared" si="177"/>
        <v>0.999606309769016+0.0326590670366803i</v>
      </c>
      <c r="AA282" s="160">
        <f t="shared" si="188"/>
        <v>1.0001396848389412</v>
      </c>
      <c r="AB282" s="160">
        <f t="shared" si="189"/>
        <v>3.2660311824792849E-2</v>
      </c>
      <c r="AC282" s="171" t="str">
        <f t="shared" si="190"/>
        <v>0.0939663552687447-0.989840119581564i</v>
      </c>
      <c r="AD282" s="190">
        <f t="shared" si="191"/>
        <v>-4.973622244598818E-2</v>
      </c>
      <c r="AE282" s="169">
        <f t="shared" si="192"/>
        <v>-84.577114588946174</v>
      </c>
      <c r="AF282" s="98" t="str">
        <f t="shared" si="178"/>
        <v>-0.0000816326530612245</v>
      </c>
      <c r="AG282" s="98" t="str">
        <f t="shared" si="179"/>
        <v>0.000609430131665852i</v>
      </c>
      <c r="AH282" s="98">
        <f t="shared" si="193"/>
        <v>6.0943013166585205E-4</v>
      </c>
      <c r="AI282" s="98">
        <f t="shared" si="194"/>
        <v>1.5707963267948966</v>
      </c>
      <c r="AJ282" s="98" t="str">
        <f t="shared" si="180"/>
        <v>1+0.0675086804021579i</v>
      </c>
      <c r="AK282" s="98">
        <f t="shared" si="195"/>
        <v>1.0022761206023223</v>
      </c>
      <c r="AL282" s="98">
        <f t="shared" si="196"/>
        <v>6.740640474465763E-2</v>
      </c>
      <c r="AM282" s="98" t="str">
        <f t="shared" si="181"/>
        <v>1+6.81837672061795i</v>
      </c>
      <c r="AN282" s="98">
        <f t="shared" si="197"/>
        <v>6.8913178060705338</v>
      </c>
      <c r="AO282" s="98">
        <f t="shared" si="198"/>
        <v>1.4251720503895533</v>
      </c>
      <c r="AP282" s="168" t="str">
        <f t="shared" si="199"/>
        <v>-0.900170633089665+0.194718489682913i</v>
      </c>
      <c r="AQ282" s="98">
        <f t="shared" si="200"/>
        <v>-0.7149023264518819</v>
      </c>
      <c r="AR282" s="169">
        <f t="shared" si="201"/>
        <v>167.79424106330779</v>
      </c>
      <c r="AS282" s="168" t="str">
        <f t="shared" si="202"/>
        <v>0.108154419601082+0.909321993880224i</v>
      </c>
      <c r="AT282" s="190">
        <f t="shared" si="203"/>
        <v>-0.76463854889787175</v>
      </c>
      <c r="AU282" s="169">
        <f t="shared" si="204"/>
        <v>83.217126474361635</v>
      </c>
      <c r="AV282" s="225"/>
      <c r="AX282">
        <f t="shared" si="205"/>
        <v>0</v>
      </c>
      <c r="AY282">
        <f t="shared" si="206"/>
        <v>0</v>
      </c>
    </row>
    <row r="283" spans="14:51" x14ac:dyDescent="0.2">
      <c r="N283" s="170">
        <v>65</v>
      </c>
      <c r="O283" s="199">
        <f t="shared" si="172"/>
        <v>4466.8359215096343</v>
      </c>
      <c r="P283" s="189" t="str">
        <f t="shared" si="173"/>
        <v>6.8875</v>
      </c>
      <c r="Q283" s="160" t="str">
        <f t="shared" si="174"/>
        <v>1+7.01648945790282i</v>
      </c>
      <c r="R283" s="160">
        <f t="shared" si="182"/>
        <v>7.0873919260092713</v>
      </c>
      <c r="S283" s="160">
        <f t="shared" si="183"/>
        <v>1.429228301764186</v>
      </c>
      <c r="T283" s="160" t="str">
        <f t="shared" si="175"/>
        <v>1+0.0112263831326445i</v>
      </c>
      <c r="U283" s="160">
        <f t="shared" si="184"/>
        <v>1.0000630138537476</v>
      </c>
      <c r="V283" s="160">
        <f t="shared" si="185"/>
        <v>1.1225911541669634E-2</v>
      </c>
      <c r="W283" s="98" t="str">
        <f t="shared" si="176"/>
        <v>1-0.0291543883292361i</v>
      </c>
      <c r="X283" s="160">
        <f t="shared" si="186"/>
        <v>1.0004248989098841</v>
      </c>
      <c r="Y283" s="160">
        <f t="shared" si="187"/>
        <v>-2.9146132339559667E-2</v>
      </c>
      <c r="Z283" s="98" t="str">
        <f t="shared" si="177"/>
        <v>0.999587755720048+0.0334197944330624i</v>
      </c>
      <c r="AA283" s="160">
        <f t="shared" si="188"/>
        <v>1.0001462713250449</v>
      </c>
      <c r="AB283" s="160">
        <f t="shared" si="189"/>
        <v>3.3421128185906236E-2</v>
      </c>
      <c r="AC283" s="171" t="str">
        <f t="shared" si="190"/>
        <v>0.087592927941299-0.968173814526963i</v>
      </c>
      <c r="AD283" s="190">
        <f t="shared" si="191"/>
        <v>-0.2455300010741335</v>
      </c>
      <c r="AE283" s="169">
        <f t="shared" si="192"/>
        <v>-84.8303922630177</v>
      </c>
      <c r="AF283" s="98" t="str">
        <f t="shared" si="178"/>
        <v>-0.0000816326530612245</v>
      </c>
      <c r="AG283" s="98" t="str">
        <f t="shared" si="179"/>
        <v>0.000623625583018404i</v>
      </c>
      <c r="AH283" s="98">
        <f t="shared" si="193"/>
        <v>6.23625583018404E-4</v>
      </c>
      <c r="AI283" s="98">
        <f t="shared" si="194"/>
        <v>1.5707963267948966</v>
      </c>
      <c r="AJ283" s="98" t="str">
        <f t="shared" si="180"/>
        <v>1+0.0690811595736492i</v>
      </c>
      <c r="AK283" s="98">
        <f t="shared" si="195"/>
        <v>1.0023832633319654</v>
      </c>
      <c r="AL283" s="98">
        <f t="shared" si="196"/>
        <v>6.8971583299914083E-2</v>
      </c>
      <c r="AM283" s="98" t="str">
        <f t="shared" si="181"/>
        <v>1+6.97719711693857i</v>
      </c>
      <c r="AN283" s="98">
        <f t="shared" si="197"/>
        <v>7.0484948470305264</v>
      </c>
      <c r="AO283" s="98">
        <f t="shared" si="198"/>
        <v>1.4284417539785244</v>
      </c>
      <c r="AP283" s="168" t="str">
        <f t="shared" si="199"/>
        <v>-0.899978208519535+0.193071641252671i</v>
      </c>
      <c r="AQ283" s="98">
        <f t="shared" si="200"/>
        <v>-0.71994863544030308</v>
      </c>
      <c r="AR283" s="169">
        <f t="shared" si="201"/>
        <v>167.89190315381407</v>
      </c>
      <c r="AS283" s="168" t="str">
        <f t="shared" si="202"/>
        <v>0.108095181020989+0.888247045493254i</v>
      </c>
      <c r="AT283" s="190">
        <f t="shared" si="203"/>
        <v>-0.96547863651444099</v>
      </c>
      <c r="AU283" s="169">
        <f t="shared" si="204"/>
        <v>83.06151089079637</v>
      </c>
      <c r="AV283" s="225"/>
      <c r="AX283">
        <f t="shared" si="205"/>
        <v>0</v>
      </c>
      <c r="AY283">
        <f t="shared" si="206"/>
        <v>0</v>
      </c>
    </row>
    <row r="284" spans="14:51" x14ac:dyDescent="0.2">
      <c r="N284" s="170">
        <v>66</v>
      </c>
      <c r="O284" s="199">
        <f t="shared" ref="O284:O318" si="207">10^(3+(N284/100))</f>
        <v>4570.8818961487532</v>
      </c>
      <c r="P284" s="189" t="str">
        <f t="shared" si="173"/>
        <v>6.8875</v>
      </c>
      <c r="Q284" s="160" t="str">
        <f t="shared" si="174"/>
        <v>1+7.17992449268375i</v>
      </c>
      <c r="R284" s="160">
        <f t="shared" si="182"/>
        <v>7.2492286293536097</v>
      </c>
      <c r="S284" s="160">
        <f t="shared" si="183"/>
        <v>1.4324093308916359</v>
      </c>
      <c r="T284" s="160" t="str">
        <f t="shared" si="175"/>
        <v>1+0.011487879188294i</v>
      </c>
      <c r="U284" s="160">
        <f t="shared" si="184"/>
        <v>1.0000659835072108</v>
      </c>
      <c r="V284" s="160">
        <f t="shared" si="185"/>
        <v>1.1487373871260921E-2</v>
      </c>
      <c r="W284" s="98" t="str">
        <f t="shared" si="176"/>
        <v>1-0.0298334812715391i</v>
      </c>
      <c r="X284" s="160">
        <f t="shared" si="186"/>
        <v>1.0004449193257865</v>
      </c>
      <c r="Y284" s="160">
        <f t="shared" si="187"/>
        <v>-2.9824635031685271E-2</v>
      </c>
      <c r="Z284" s="98" t="str">
        <f t="shared" si="177"/>
        <v>0.999568327245691+0.0341982414468161i</v>
      </c>
      <c r="AA284" s="160">
        <f t="shared" si="188"/>
        <v>1.0001531685451002</v>
      </c>
      <c r="AB284" s="160">
        <f t="shared" si="189"/>
        <v>3.4199670519565503E-2</v>
      </c>
      <c r="AC284" s="171" t="str">
        <f t="shared" si="190"/>
        <v>0.0814952236796488-0.946940611266448i</v>
      </c>
      <c r="AD284" s="190">
        <f t="shared" si="191"/>
        <v>-0.44149723749710107</v>
      </c>
      <c r="AE284" s="169">
        <f t="shared" si="192"/>
        <v>-85.081153649079511</v>
      </c>
      <c r="AF284" s="98" t="str">
        <f t="shared" si="178"/>
        <v>-0.0000816326530612245</v>
      </c>
      <c r="AG284" s="98" t="str">
        <f t="shared" si="179"/>
        <v>0.000638151688909732i</v>
      </c>
      <c r="AH284" s="98">
        <f t="shared" si="193"/>
        <v>6.3815168890973199E-4</v>
      </c>
      <c r="AI284" s="98">
        <f t="shared" si="194"/>
        <v>1.5707963267948966</v>
      </c>
      <c r="AJ284" s="98" t="str">
        <f t="shared" si="180"/>
        <v>1+0.0706902664903438i</v>
      </c>
      <c r="AK284" s="98">
        <f t="shared" si="195"/>
        <v>1.0024954432696818</v>
      </c>
      <c r="AL284" s="98">
        <f t="shared" si="196"/>
        <v>7.0572869176960665E-2</v>
      </c>
      <c r="AM284" s="98" t="str">
        <f t="shared" si="181"/>
        <v>1+7.13971691552472i</v>
      </c>
      <c r="AN284" s="98">
        <f t="shared" si="197"/>
        <v>7.2094075785621827</v>
      </c>
      <c r="AO284" s="98">
        <f t="shared" si="198"/>
        <v>1.4316399939774058</v>
      </c>
      <c r="AP284" s="168" t="str">
        <f t="shared" si="199"/>
        <v>-0.899776803413233+0.191525914910397i</v>
      </c>
      <c r="AQ284" s="98">
        <f t="shared" si="200"/>
        <v>-0.72485680372640293</v>
      </c>
      <c r="AR284" s="169">
        <f t="shared" si="201"/>
        <v>167.9834018850712</v>
      </c>
      <c r="AS284" s="168" t="str">
        <f t="shared" si="202"/>
        <v>0.108036155082696+0.86764364350357i</v>
      </c>
      <c r="AT284" s="190">
        <f t="shared" si="203"/>
        <v>-1.1663540412234983</v>
      </c>
      <c r="AU284" s="169">
        <f t="shared" si="204"/>
        <v>82.902248235991706</v>
      </c>
      <c r="AV284" s="225"/>
      <c r="AX284">
        <f t="shared" si="205"/>
        <v>0</v>
      </c>
      <c r="AY284">
        <f t="shared" si="206"/>
        <v>0</v>
      </c>
    </row>
    <row r="285" spans="14:51" x14ac:dyDescent="0.2">
      <c r="N285" s="170">
        <v>67</v>
      </c>
      <c r="O285" s="199">
        <f t="shared" si="207"/>
        <v>4677.3514128719844</v>
      </c>
      <c r="P285" s="189" t="str">
        <f t="shared" si="173"/>
        <v>6.8875</v>
      </c>
      <c r="Q285" s="160" t="str">
        <f t="shared" si="174"/>
        <v>1+7.34716641846823i</v>
      </c>
      <c r="R285" s="160">
        <f t="shared" si="182"/>
        <v>7.4149075773516753</v>
      </c>
      <c r="S285" s="160">
        <f t="shared" si="183"/>
        <v>1.4355206769739481</v>
      </c>
      <c r="T285" s="160" t="str">
        <f t="shared" si="175"/>
        <v>1+0.0117554662695492i</v>
      </c>
      <c r="U285" s="160">
        <f t="shared" si="184"/>
        <v>1.0000690931066785</v>
      </c>
      <c r="V285" s="160">
        <f t="shared" si="185"/>
        <v>1.1754924814613354E-2</v>
      </c>
      <c r="W285" s="98" t="str">
        <f t="shared" si="176"/>
        <v>1-0.0305283923205051i</v>
      </c>
      <c r="X285" s="160">
        <f t="shared" si="186"/>
        <v>1.0004658828454245</v>
      </c>
      <c r="Y285" s="160">
        <f t="shared" si="187"/>
        <v>-3.0518913642102376E-2</v>
      </c>
      <c r="Z285" s="98" t="str">
        <f t="shared" si="177"/>
        <v>0.999547983135548+0.0349948208208521i</v>
      </c>
      <c r="AA285" s="160">
        <f t="shared" si="188"/>
        <v>1.0001603911746484</v>
      </c>
      <c r="AB285" s="160">
        <f t="shared" si="189"/>
        <v>3.499635202228131E-2</v>
      </c>
      <c r="AC285" s="171" t="str">
        <f t="shared" si="190"/>
        <v>0.0756617909353535-0.926134405345236i</v>
      </c>
      <c r="AD285" s="190">
        <f t="shared" si="191"/>
        <v>-0.63762985535431627</v>
      </c>
      <c r="AE285" s="169">
        <f t="shared" si="192"/>
        <v>-85.32951683024659</v>
      </c>
      <c r="AF285" s="98" t="str">
        <f t="shared" si="178"/>
        <v>-0.0000816326530612245</v>
      </c>
      <c r="AG285" s="98" t="str">
        <f t="shared" si="179"/>
        <v>0.000653016151273457i</v>
      </c>
      <c r="AH285" s="98">
        <f t="shared" si="193"/>
        <v>6.5301615127345695E-4</v>
      </c>
      <c r="AI285" s="98">
        <f t="shared" si="194"/>
        <v>1.5707963267948966</v>
      </c>
      <c r="AJ285" s="98" t="str">
        <f t="shared" si="180"/>
        <v>1+0.0723368543220278i</v>
      </c>
      <c r="AK285" s="98">
        <f t="shared" si="195"/>
        <v>1.0026128966321979</v>
      </c>
      <c r="AL285" s="98">
        <f t="shared" si="196"/>
        <v>7.2211078533247722E-2</v>
      </c>
      <c r="AM285" s="98" t="str">
        <f t="shared" si="181"/>
        <v>1+7.30602228652481i</v>
      </c>
      <c r="AN285" s="98">
        <f t="shared" si="197"/>
        <v>7.3741414179006091</v>
      </c>
      <c r="AO285" s="98">
        <f t="shared" si="198"/>
        <v>1.4347682042867211</v>
      </c>
      <c r="AP285" s="168" t="str">
        <f t="shared" si="199"/>
        <v>-0.899566002971184+0.190080402800773i</v>
      </c>
      <c r="AQ285" s="98">
        <f t="shared" si="200"/>
        <v>-0.72963672531768065</v>
      </c>
      <c r="AR285" s="169">
        <f t="shared" si="201"/>
        <v>168.0687726511502</v>
      </c>
      <c r="AS285" s="168" t="str">
        <f t="shared" si="202"/>
        <v>0.10797722596632+0.847500848928128i</v>
      </c>
      <c r="AT285" s="190">
        <f t="shared" si="203"/>
        <v>-1.3672665806719984</v>
      </c>
      <c r="AU285" s="169">
        <f t="shared" si="204"/>
        <v>82.739255820903594</v>
      </c>
      <c r="AV285" s="225"/>
      <c r="AX285">
        <f t="shared" si="205"/>
        <v>0</v>
      </c>
      <c r="AY285">
        <f t="shared" si="206"/>
        <v>0</v>
      </c>
    </row>
    <row r="286" spans="14:51" x14ac:dyDescent="0.2">
      <c r="N286" s="170">
        <v>68</v>
      </c>
      <c r="O286" s="199">
        <f t="shared" si="207"/>
        <v>4786.3009232263848</v>
      </c>
      <c r="P286" s="189" t="str">
        <f t="shared" si="173"/>
        <v>6.8875</v>
      </c>
      <c r="Q286" s="160" t="str">
        <f t="shared" si="174"/>
        <v>1+7.51830390913902i</v>
      </c>
      <c r="R286" s="160">
        <f t="shared" si="182"/>
        <v>7.5845167064339085</v>
      </c>
      <c r="S286" s="160">
        <f t="shared" si="183"/>
        <v>1.438563748606793</v>
      </c>
      <c r="T286" s="160" t="str">
        <f t="shared" si="175"/>
        <v>1+0.0120292862546224i</v>
      </c>
      <c r="U286" s="160">
        <f t="shared" si="184"/>
        <v>1.0000723492466912</v>
      </c>
      <c r="V286" s="160">
        <f t="shared" si="185"/>
        <v>1.2028706077472589E-2</v>
      </c>
      <c r="W286" s="98" t="str">
        <f t="shared" si="176"/>
        <v>1-0.0312394899271705i</v>
      </c>
      <c r="X286" s="160">
        <f t="shared" si="186"/>
        <v>1.0004878338745102</v>
      </c>
      <c r="Y286" s="160">
        <f t="shared" si="187"/>
        <v>-3.1229333607723557E-2</v>
      </c>
      <c r="Z286" s="98" t="str">
        <f t="shared" si="177"/>
        <v>0.999526680237032+0.0358099549120986i</v>
      </c>
      <c r="AA286" s="160">
        <f t="shared" si="188"/>
        <v>1.0001679545838631</v>
      </c>
      <c r="AB286" s="160">
        <f t="shared" si="189"/>
        <v>3.5811595536911198E-2</v>
      </c>
      <c r="AC286" s="171" t="str">
        <f t="shared" si="190"/>
        <v>0.0700816130259553-0.905748996032902i</v>
      </c>
      <c r="AD286" s="190">
        <f t="shared" si="191"/>
        <v>-0.83392008831129583</v>
      </c>
      <c r="AE286" s="169">
        <f t="shared" si="192"/>
        <v>-85.575599559068607</v>
      </c>
      <c r="AF286" s="98" t="str">
        <f t="shared" si="178"/>
        <v>-0.0000816326530612245</v>
      </c>
      <c r="AG286" s="98" t="str">
        <f t="shared" si="179"/>
        <v>0.000668226851444277i</v>
      </c>
      <c r="AH286" s="98">
        <f t="shared" si="193"/>
        <v>6.6822685144427702E-4</v>
      </c>
      <c r="AI286" s="98">
        <f t="shared" si="194"/>
        <v>1.5707963267948966</v>
      </c>
      <c r="AJ286" s="98" t="str">
        <f t="shared" si="180"/>
        <v>1+0.0740217961113648i</v>
      </c>
      <c r="AK286" s="98">
        <f t="shared" si="195"/>
        <v>1.0027358706556539</v>
      </c>
      <c r="AL286" s="98">
        <f t="shared" si="196"/>
        <v>7.3887044777234817E-2</v>
      </c>
      <c r="AM286" s="98" t="str">
        <f t="shared" si="181"/>
        <v>1+7.47620140724785i</v>
      </c>
      <c r="AN286" s="98">
        <f t="shared" si="197"/>
        <v>7.5427838018688247</v>
      </c>
      <c r="AO286" s="98">
        <f t="shared" si="198"/>
        <v>1.4378277985024697</v>
      </c>
      <c r="AP286" s="168" t="str">
        <f t="shared" si="199"/>
        <v>-0.899345373649641+0.188734243997496i</v>
      </c>
      <c r="AQ286" s="98">
        <f t="shared" si="200"/>
        <v>-0.73429806111054308</v>
      </c>
      <c r="AR286" s="169">
        <f t="shared" si="201"/>
        <v>168.14804869434832</v>
      </c>
      <c r="AS286" s="168" t="str">
        <f t="shared" si="202"/>
        <v>0.107918277564963+0.827807969522576i</v>
      </c>
      <c r="AT286" s="190">
        <f t="shared" si="203"/>
        <v>-1.5682181494218426</v>
      </c>
      <c r="AU286" s="169">
        <f t="shared" si="204"/>
        <v>82.57244913527974</v>
      </c>
      <c r="AV286" s="225"/>
      <c r="AX286">
        <f t="shared" si="205"/>
        <v>0</v>
      </c>
      <c r="AY286">
        <f t="shared" si="206"/>
        <v>0</v>
      </c>
    </row>
    <row r="287" spans="14:51" x14ac:dyDescent="0.2">
      <c r="N287" s="170">
        <v>69</v>
      </c>
      <c r="O287" s="199">
        <f t="shared" si="207"/>
        <v>4897.7881936844633</v>
      </c>
      <c r="P287" s="189" t="str">
        <f t="shared" si="173"/>
        <v>6.8875</v>
      </c>
      <c r="Q287" s="160" t="str">
        <f t="shared" si="174"/>
        <v>1+7.69342770405898i</v>
      </c>
      <c r="R287" s="160">
        <f t="shared" si="182"/>
        <v>7.7581460309523846</v>
      </c>
      <c r="S287" s="160">
        <f t="shared" si="183"/>
        <v>1.4415399337102799</v>
      </c>
      <c r="T287" s="160" t="str">
        <f t="shared" si="175"/>
        <v>1+0.0123094843264944i</v>
      </c>
      <c r="U287" s="160">
        <f t="shared" si="184"/>
        <v>1.0000757588324918</v>
      </c>
      <c r="V287" s="160">
        <f t="shared" si="185"/>
        <v>1.230886265802136E-2</v>
      </c>
      <c r="W287" s="98" t="str">
        <f t="shared" si="176"/>
        <v>1-0.0319671511248988i</v>
      </c>
      <c r="X287" s="160">
        <f t="shared" si="186"/>
        <v>1.0005108189075429</v>
      </c>
      <c r="Y287" s="160">
        <f t="shared" si="187"/>
        <v>-3.19562687326055E-2</v>
      </c>
      <c r="Z287" s="98" t="str">
        <f t="shared" si="177"/>
        <v>0.999504373363839+0.0366440759154403i</v>
      </c>
      <c r="AA287" s="160">
        <f t="shared" si="188"/>
        <v>1.0001758748705836</v>
      </c>
      <c r="AB287" s="160">
        <f t="shared" si="189"/>
        <v>3.6645833778896832E-2</v>
      </c>
      <c r="AC287" s="171" t="str">
        <f t="shared" si="190"/>
        <v>0.064744095230851-0.885778102347084i</v>
      </c>
      <c r="AD287" s="190">
        <f t="shared" si="191"/>
        <v>-1.0303604670687261</v>
      </c>
      <c r="AE287" s="169">
        <f t="shared" si="192"/>
        <v>-85.819519259889617</v>
      </c>
      <c r="AF287" s="98" t="str">
        <f t="shared" si="178"/>
        <v>-0.0000816326530612245</v>
      </c>
      <c r="AG287" s="98" t="str">
        <f t="shared" si="179"/>
        <v>0.000683791854336761i</v>
      </c>
      <c r="AH287" s="98">
        <f t="shared" si="193"/>
        <v>6.8379185433676095E-4</v>
      </c>
      <c r="AI287" s="98">
        <f t="shared" si="194"/>
        <v>1.5707963267948966</v>
      </c>
      <c r="AJ287" s="98" t="str">
        <f t="shared" si="180"/>
        <v>1+0.0757459852367945i</v>
      </c>
      <c r="AK287" s="98">
        <f t="shared" si="195"/>
        <v>1.0028646241041175</v>
      </c>
      <c r="AL287" s="98">
        <f t="shared" si="196"/>
        <v>7.5601618846827506E-2</v>
      </c>
      <c r="AM287" s="98" t="str">
        <f t="shared" si="181"/>
        <v>1+7.65034450891625i</v>
      </c>
      <c r="AN287" s="98">
        <f t="shared" si="197"/>
        <v>7.7154242336442538</v>
      </c>
      <c r="AO287" s="98">
        <f t="shared" si="198"/>
        <v>1.4408201696113521</v>
      </c>
      <c r="AP287" s="168" t="str">
        <f t="shared" si="199"/>
        <v>-0.899114462353543+0.187486623616044i</v>
      </c>
      <c r="AQ287" s="98">
        <f t="shared" si="200"/>
        <v>-0.73885025556346473</v>
      </c>
      <c r="AR287" s="169">
        <f t="shared" si="201"/>
        <v>168.22126107177402</v>
      </c>
      <c r="AS287" s="168" t="str">
        <f t="shared" si="202"/>
        <v>0.107859193308028+0.808554554070248i</v>
      </c>
      <c r="AT287" s="190">
        <f t="shared" si="203"/>
        <v>-1.7692107226321885</v>
      </c>
      <c r="AU287" s="169">
        <f t="shared" si="204"/>
        <v>82.401741811884449</v>
      </c>
      <c r="AV287" s="225"/>
      <c r="AX287">
        <f t="shared" si="205"/>
        <v>0</v>
      </c>
      <c r="AY287">
        <f t="shared" si="206"/>
        <v>0</v>
      </c>
    </row>
    <row r="288" spans="14:51" x14ac:dyDescent="0.2">
      <c r="N288" s="170">
        <v>70</v>
      </c>
      <c r="O288" s="199">
        <f t="shared" si="207"/>
        <v>5011.8723362727324</v>
      </c>
      <c r="P288" s="189" t="str">
        <f t="shared" si="173"/>
        <v>6.8875</v>
      </c>
      <c r="Q288" s="160" t="str">
        <f t="shared" si="174"/>
        <v>1+7.87263065618217i</v>
      </c>
      <c r="R288" s="160">
        <f t="shared" si="182"/>
        <v>7.9358876912831438</v>
      </c>
      <c r="S288" s="160">
        <f t="shared" si="183"/>
        <v>1.4444505992886232</v>
      </c>
      <c r="T288" s="160" t="str">
        <f t="shared" si="175"/>
        <v>1+0.0125962090498915i</v>
      </c>
      <c r="U288" s="160">
        <f t="shared" si="184"/>
        <v>1.0000793290946617</v>
      </c>
      <c r="V288" s="160">
        <f t="shared" si="185"/>
        <v>1.2595542922974937E-2</v>
      </c>
      <c r="W288" s="98" t="str">
        <f t="shared" si="176"/>
        <v>1-0.0327117617292888i</v>
      </c>
      <c r="X288" s="160">
        <f t="shared" si="186"/>
        <v>1.0005348866258656</v>
      </c>
      <c r="Y288" s="160">
        <f t="shared" si="187"/>
        <v>-3.2700101372514376E-2</v>
      </c>
      <c r="Z288" s="98" t="str">
        <f t="shared" si="177"/>
        <v>0.999481015200101+0.0374976260928741i</v>
      </c>
      <c r="AA288" s="160">
        <f t="shared" si="188"/>
        <v>1.0001841688949218</v>
      </c>
      <c r="AB288" s="160">
        <f t="shared" si="189"/>
        <v>3.7499509567881062E-2</v>
      </c>
      <c r="AC288" s="171" t="str">
        <f t="shared" si="190"/>
        <v>0.059639051935449-0.866215377974481i</v>
      </c>
      <c r="AD288" s="190">
        <f t="shared" si="191"/>
        <v>-1.2269438067135117</v>
      </c>
      <c r="AE288" s="169">
        <f t="shared" si="192"/>
        <v>-86.061393034563295</v>
      </c>
      <c r="AF288" s="98" t="str">
        <f t="shared" si="178"/>
        <v>-0.0000816326530612245</v>
      </c>
      <c r="AG288" s="98" t="str">
        <f t="shared" si="179"/>
        <v>0.000699719412721471i</v>
      </c>
      <c r="AH288" s="98">
        <f t="shared" si="193"/>
        <v>6.9971941272147105E-4</v>
      </c>
      <c r="AI288" s="98">
        <f t="shared" si="194"/>
        <v>1.5707963267948966</v>
      </c>
      <c r="AJ288" s="98" t="str">
        <f t="shared" si="180"/>
        <v>1+0.0775103358862134i</v>
      </c>
      <c r="AK288" s="98">
        <f t="shared" si="195"/>
        <v>1.0029994278010299</v>
      </c>
      <c r="AL288" s="98">
        <f t="shared" si="196"/>
        <v>7.7355669485771342E-2</v>
      </c>
      <c r="AM288" s="98" t="str">
        <f t="shared" si="181"/>
        <v>1+7.82854392450756i</v>
      </c>
      <c r="AN288" s="98">
        <f t="shared" si="197"/>
        <v>7.8921543305959396</v>
      </c>
      <c r="AO288" s="98">
        <f t="shared" si="198"/>
        <v>1.4437466897382496</v>
      </c>
      <c r="AP288" s="168" t="str">
        <f t="shared" si="199"/>
        <v>-0.898872795598457+0.186336771921633i</v>
      </c>
      <c r="AQ288" s="98">
        <f t="shared" si="200"/>
        <v>-0.74330255318054494</v>
      </c>
      <c r="AR288" s="169">
        <f t="shared" si="201"/>
        <v>168.28843862504161</v>
      </c>
      <c r="AS288" s="168" t="str">
        <f t="shared" si="202"/>
        <v>0.107799855980583+0.789730386808414i</v>
      </c>
      <c r="AT288" s="190">
        <f t="shared" si="203"/>
        <v>-1.9702463598940587</v>
      </c>
      <c r="AU288" s="169">
        <f t="shared" si="204"/>
        <v>82.22704559047834</v>
      </c>
      <c r="AV288" s="225"/>
      <c r="AX288">
        <f t="shared" si="205"/>
        <v>0</v>
      </c>
      <c r="AY288">
        <f t="shared" si="206"/>
        <v>0</v>
      </c>
    </row>
    <row r="289" spans="14:51" x14ac:dyDescent="0.2">
      <c r="N289" s="170">
        <v>71</v>
      </c>
      <c r="O289" s="199">
        <f t="shared" si="207"/>
        <v>5128.6138399136489</v>
      </c>
      <c r="P289" s="189" t="str">
        <f t="shared" si="173"/>
        <v>6.8875</v>
      </c>
      <c r="Q289" s="160" t="str">
        <f t="shared" si="174"/>
        <v>1+8.05600778128582i</v>
      </c>
      <c r="R289" s="160">
        <f t="shared" si="182"/>
        <v>8.1178360030329308</v>
      </c>
      <c r="S289" s="160">
        <f t="shared" si="183"/>
        <v>1.4472970912376022</v>
      </c>
      <c r="T289" s="160" t="str">
        <f t="shared" si="175"/>
        <v>1+0.0128896124500573i</v>
      </c>
      <c r="U289" s="160">
        <f t="shared" si="184"/>
        <v>1.0000830676044428</v>
      </c>
      <c r="V289" s="160">
        <f t="shared" si="185"/>
        <v>1.2888898685408403E-2</v>
      </c>
      <c r="W289" s="98" t="str">
        <f t="shared" si="176"/>
        <v>1-0.0334737165427389i</v>
      </c>
      <c r="X289" s="160">
        <f t="shared" si="186"/>
        <v>1.0005600880003078</v>
      </c>
      <c r="Y289" s="160">
        <f t="shared" si="187"/>
        <v>-3.346122262305571E-2</v>
      </c>
      <c r="Z289" s="98" t="str">
        <f t="shared" si="177"/>
        <v>0.999456556200022+0.0383710580080019i</v>
      </c>
      <c r="AA289" s="160">
        <f t="shared" si="188"/>
        <v>1.0001928543155369</v>
      </c>
      <c r="AB289" s="160">
        <f t="shared" si="189"/>
        <v>3.8373076064836031E-2</v>
      </c>
      <c r="AC289" s="171" t="str">
        <f t="shared" si="190"/>
        <v>0.05475669386178-0.84705442514483i</v>
      </c>
      <c r="AD289" s="190">
        <f t="shared" si="191"/>
        <v>-1.4236631944085425</v>
      </c>
      <c r="AE289" s="169">
        <f t="shared" si="192"/>
        <v>-86.301337671327786</v>
      </c>
      <c r="AF289" s="98" t="str">
        <f t="shared" si="178"/>
        <v>-0.0000816326530612245</v>
      </c>
      <c r="AG289" s="98" t="str">
        <f t="shared" si="179"/>
        <v>0.000716017971600685i</v>
      </c>
      <c r="AH289" s="98">
        <f t="shared" si="193"/>
        <v>7.16017971600685E-4</v>
      </c>
      <c r="AI289" s="98">
        <f t="shared" si="194"/>
        <v>1.5707963267948966</v>
      </c>
      <c r="AJ289" s="98" t="str">
        <f t="shared" si="180"/>
        <v>1+0.0793157835416894i</v>
      </c>
      <c r="AK289" s="98">
        <f t="shared" si="195"/>
        <v>1.0031405651845768</v>
      </c>
      <c r="AL289" s="98">
        <f t="shared" si="196"/>
        <v>7.9150083517382286E-2</v>
      </c>
      <c r="AM289" s="98" t="str">
        <f t="shared" si="181"/>
        <v>1+8.01089413771063i</v>
      </c>
      <c r="AN289" s="98">
        <f t="shared" si="197"/>
        <v>8.0730678732193599</v>
      </c>
      <c r="AO289" s="98">
        <f t="shared" si="198"/>
        <v>1.4466087099423459</v>
      </c>
      <c r="AP289" s="168" t="str">
        <f t="shared" si="199"/>
        <v>-0.898619878640898+0.185283963429958i</v>
      </c>
      <c r="AQ289" s="98">
        <f t="shared" si="200"/>
        <v>-0.74766401481324696</v>
      </c>
      <c r="AR289" s="169">
        <f t="shared" si="201"/>
        <v>168.34960795290709</v>
      </c>
      <c r="AS289" s="168" t="str">
        <f t="shared" si="202"/>
        <v>0.107740147538869+0.771325481988914i</v>
      </c>
      <c r="AT289" s="190">
        <f t="shared" si="203"/>
        <v>-2.1713272092217908</v>
      </c>
      <c r="AU289" s="169">
        <f t="shared" si="204"/>
        <v>82.048270281579335</v>
      </c>
      <c r="AV289" s="225"/>
      <c r="AX289">
        <f t="shared" si="205"/>
        <v>0</v>
      </c>
      <c r="AY289">
        <f t="shared" si="206"/>
        <v>0</v>
      </c>
    </row>
    <row r="290" spans="14:51" x14ac:dyDescent="0.2">
      <c r="N290" s="170">
        <v>72</v>
      </c>
      <c r="O290" s="199">
        <f t="shared" si="207"/>
        <v>5248.0746024977261</v>
      </c>
      <c r="P290" s="189" t="str">
        <f t="shared" si="173"/>
        <v>6.8875</v>
      </c>
      <c r="Q290" s="160" t="str">
        <f t="shared" si="174"/>
        <v>1+8.24365630834903i</v>
      </c>
      <c r="R290" s="160">
        <f t="shared" si="182"/>
        <v>8.3040875073774814</v>
      </c>
      <c r="S290" s="160">
        <f t="shared" si="183"/>
        <v>1.4500807341964259</v>
      </c>
      <c r="T290" s="160" t="str">
        <f t="shared" si="175"/>
        <v>1+0.0131898500933584i</v>
      </c>
      <c r="U290" s="160">
        <f t="shared" si="184"/>
        <v>1.0000869822897833</v>
      </c>
      <c r="V290" s="160">
        <f t="shared" si="185"/>
        <v>1.3189085284350302E-2</v>
      </c>
      <c r="W290" s="98" t="str">
        <f t="shared" si="176"/>
        <v>1-0.0342534195637771i</v>
      </c>
      <c r="X290" s="160">
        <f t="shared" si="186"/>
        <v>1.000586476398623</v>
      </c>
      <c r="Y290" s="160">
        <f t="shared" si="187"/>
        <v>-3.4240032511400988E-2</v>
      </c>
      <c r="Z290" s="98" t="str">
        <f t="shared" si="177"/>
        <v>0.999430944482781+0.0392648347659867i</v>
      </c>
      <c r="AA290" s="160">
        <f t="shared" si="188"/>
        <v>1.000201949627646</v>
      </c>
      <c r="AB290" s="160">
        <f t="shared" si="189"/>
        <v>3.92669970148413E-2</v>
      </c>
      <c r="AC290" s="171" t="str">
        <f t="shared" si="190"/>
        <v>0.0500876154192542-0.828288807512015i</v>
      </c>
      <c r="AD290" s="190">
        <f t="shared" si="191"/>
        <v>-1.6205119774169641</v>
      </c>
      <c r="AE290" s="169">
        <f t="shared" si="192"/>
        <v>-86.539469656652784</v>
      </c>
      <c r="AF290" s="98" t="str">
        <f t="shared" si="178"/>
        <v>-0.0000816326530612245</v>
      </c>
      <c r="AG290" s="98" t="str">
        <f t="shared" si="179"/>
        <v>0.000732696172686061i</v>
      </c>
      <c r="AH290" s="98">
        <f t="shared" si="193"/>
        <v>7.32696172686061E-4</v>
      </c>
      <c r="AI290" s="98">
        <f t="shared" si="194"/>
        <v>1.5707963267948966</v>
      </c>
      <c r="AJ290" s="98" t="str">
        <f t="shared" si="180"/>
        <v>1+0.0811632854754681i</v>
      </c>
      <c r="AK290" s="98">
        <f t="shared" si="195"/>
        <v>1.0032883328879951</v>
      </c>
      <c r="AL290" s="98">
        <f t="shared" si="196"/>
        <v>8.0985766114940405E-2</v>
      </c>
      <c r="AM290" s="98" t="str">
        <f t="shared" si="181"/>
        <v>1+8.19749183302227i</v>
      </c>
      <c r="AN290" s="98">
        <f t="shared" si="197"/>
        <v>8.2582608551962551</v>
      </c>
      <c r="AO290" s="98">
        <f t="shared" si="198"/>
        <v>1.4494075600584648</v>
      </c>
      <c r="AP290" s="168" t="str">
        <f t="shared" si="199"/>
        <v>-0.898355194576106+0.184327515998236i</v>
      </c>
      <c r="AQ290" s="98">
        <f t="shared" si="200"/>
        <v>-0.75194353379151713</v>
      </c>
      <c r="AR290" s="169">
        <f t="shared" si="201"/>
        <v>168.40479338668473</v>
      </c>
      <c r="AS290" s="168" t="str">
        <f t="shared" si="202"/>
        <v>0.107679948922013+0.753330078570173i</v>
      </c>
      <c r="AT290" s="190">
        <f t="shared" si="203"/>
        <v>-2.3724555112084826</v>
      </c>
      <c r="AU290" s="169">
        <f t="shared" si="204"/>
        <v>81.865323730031974</v>
      </c>
      <c r="AV290" s="225"/>
      <c r="AX290">
        <f t="shared" si="205"/>
        <v>0</v>
      </c>
      <c r="AY290">
        <f t="shared" si="206"/>
        <v>0</v>
      </c>
    </row>
    <row r="291" spans="14:51" x14ac:dyDescent="0.2">
      <c r="N291" s="170">
        <v>73</v>
      </c>
      <c r="O291" s="199">
        <f t="shared" si="207"/>
        <v>5370.3179637025269</v>
      </c>
      <c r="P291" s="189" t="str">
        <f t="shared" si="173"/>
        <v>6.8875</v>
      </c>
      <c r="Q291" s="160" t="str">
        <f t="shared" si="174"/>
        <v>1+8.43567573110457i</v>
      </c>
      <c r="R291" s="160">
        <f t="shared" si="182"/>
        <v>8.4947410225589941</v>
      </c>
      <c r="S291" s="160">
        <f t="shared" si="183"/>
        <v>1.4528028314407893</v>
      </c>
      <c r="T291" s="160" t="str">
        <f t="shared" si="175"/>
        <v>1+0.0134970811697673i</v>
      </c>
      <c r="U291" s="160">
        <f t="shared" si="184"/>
        <v>1.0000910814521362</v>
      </c>
      <c r="V291" s="160">
        <f t="shared" si="185"/>
        <v>1.349626166618121E-2</v>
      </c>
      <c r="W291" s="98" t="str">
        <f t="shared" si="176"/>
        <v>1-0.0350512842012655i</v>
      </c>
      <c r="X291" s="160">
        <f t="shared" si="186"/>
        <v>1.0006141076979467</v>
      </c>
      <c r="Y291" s="160">
        <f t="shared" si="187"/>
        <v>-3.5036940191636959E-2</v>
      </c>
      <c r="Z291" s="98" t="str">
        <f t="shared" si="177"/>
        <v>0.999404125722494+0.0401794302590959i</v>
      </c>
      <c r="AA291" s="160">
        <f t="shared" si="188"/>
        <v>1.0002114742028749</v>
      </c>
      <c r="AB291" s="160">
        <f t="shared" si="189"/>
        <v>4.018174699564795E-2</v>
      </c>
      <c r="AC291" s="171" t="str">
        <f t="shared" si="190"/>
        <v>0.0456227822051345-0.809912062094917i</v>
      </c>
      <c r="AD291" s="190">
        <f t="shared" si="191"/>
        <v>-1.8174837514550679</v>
      </c>
      <c r="AE291" s="169">
        <f t="shared" si="192"/>
        <v>-86.775905189882963</v>
      </c>
      <c r="AF291" s="98" t="str">
        <f t="shared" si="178"/>
        <v>-0.0000816326530612245</v>
      </c>
      <c r="AG291" s="98" t="str">
        <f t="shared" si="179"/>
        <v>0.000749762858980575i</v>
      </c>
      <c r="AH291" s="98">
        <f t="shared" si="193"/>
        <v>7.4976285898057499E-4</v>
      </c>
      <c r="AI291" s="98">
        <f t="shared" si="194"/>
        <v>1.5707963267948966</v>
      </c>
      <c r="AJ291" s="98" t="str">
        <f t="shared" si="180"/>
        <v>1+0.0830538212575286i</v>
      </c>
      <c r="AK291" s="98">
        <f t="shared" si="195"/>
        <v>1.0034430413458841</v>
      </c>
      <c r="AL291" s="98">
        <f t="shared" si="196"/>
        <v>8.2863641068014457E-2</v>
      </c>
      <c r="AM291" s="98" t="str">
        <f t="shared" si="181"/>
        <v>1+8.38843594701039i</v>
      </c>
      <c r="AN291" s="98">
        <f t="shared" si="197"/>
        <v>8.4478315346067401</v>
      </c>
      <c r="AO291" s="98">
        <f t="shared" si="198"/>
        <v>1.4521445485803659</v>
      </c>
      <c r="AP291" s="168" t="str">
        <f t="shared" si="199"/>
        <v>-0.898078203402678+0.183466789903942i</v>
      </c>
      <c r="AQ291" s="98">
        <f t="shared" si="200"/>
        <v>-0.75614985189386386</v>
      </c>
      <c r="AR291" s="169">
        <f t="shared" si="201"/>
        <v>168.45401696830089</v>
      </c>
      <c r="AS291" s="168" t="str">
        <f t="shared" si="202"/>
        <v>0.107619139860018+0.735734635038024i</v>
      </c>
      <c r="AT291" s="190">
        <f t="shared" si="203"/>
        <v>-2.5736336033489278</v>
      </c>
      <c r="AU291" s="169">
        <f t="shared" si="204"/>
        <v>81.678111778417914</v>
      </c>
      <c r="AV291" s="225"/>
      <c r="AX291">
        <f t="shared" si="205"/>
        <v>0</v>
      </c>
      <c r="AY291">
        <f t="shared" si="206"/>
        <v>0</v>
      </c>
    </row>
    <row r="292" spans="14:51" x14ac:dyDescent="0.2">
      <c r="N292" s="170">
        <v>74</v>
      </c>
      <c r="O292" s="199">
        <f t="shared" si="207"/>
        <v>5495.4087385762541</v>
      </c>
      <c r="P292" s="189" t="str">
        <f t="shared" si="173"/>
        <v>6.8875</v>
      </c>
      <c r="Q292" s="160" t="str">
        <f t="shared" si="174"/>
        <v>1+8.63216786079215i</v>
      </c>
      <c r="R292" s="160">
        <f t="shared" si="182"/>
        <v>8.68989769657232</v>
      </c>
      <c r="S292" s="160">
        <f t="shared" si="183"/>
        <v>1.4554646648141032</v>
      </c>
      <c r="T292" s="160" t="str">
        <f t="shared" si="175"/>
        <v>1+0.0138114685772674i</v>
      </c>
      <c r="U292" s="160">
        <f t="shared" si="184"/>
        <v>1.0000953737840512</v>
      </c>
      <c r="V292" s="160">
        <f t="shared" si="185"/>
        <v>1.3810590467876891E-2</v>
      </c>
      <c r="W292" s="98" t="str">
        <f t="shared" si="176"/>
        <v>1-0.0358677334935962i</v>
      </c>
      <c r="X292" s="160">
        <f t="shared" si="186"/>
        <v>1.0006430404025042</v>
      </c>
      <c r="Y292" s="160">
        <f t="shared" si="187"/>
        <v>-3.5852364143765872E-2</v>
      </c>
      <c r="Z292" s="98" t="str">
        <f t="shared" si="177"/>
        <v>0.999376043032975+0.0411153294179661i</v>
      </c>
      <c r="AA292" s="160">
        <f t="shared" si="188"/>
        <v>1.0002214483310155</v>
      </c>
      <c r="AB292" s="160">
        <f t="shared" si="189"/>
        <v>4.1117811672178421E-2</v>
      </c>
      <c r="AC292" s="171" t="str">
        <f t="shared" si="190"/>
        <v>0.0413535186804739-0.791917710328739i</v>
      </c>
      <c r="AD292" s="190">
        <f t="shared" si="191"/>
        <v>-2.0145723493686352</v>
      </c>
      <c r="AE292" s="169">
        <f t="shared" si="192"/>
        <v>-87.010760200511712</v>
      </c>
      <c r="AF292" s="98" t="str">
        <f t="shared" si="178"/>
        <v>-0.0000816326530612245</v>
      </c>
      <c r="AG292" s="98" t="str">
        <f t="shared" si="179"/>
        <v>0.000767227079467207i</v>
      </c>
      <c r="AH292" s="98">
        <f t="shared" si="193"/>
        <v>7.67227079467207E-4</v>
      </c>
      <c r="AI292" s="98">
        <f t="shared" si="194"/>
        <v>1.5707963267948966</v>
      </c>
      <c r="AJ292" s="98" t="str">
        <f t="shared" si="180"/>
        <v>1+0.0849883932749675i</v>
      </c>
      <c r="AK292" s="98">
        <f t="shared" si="195"/>
        <v>1.0036050154276137</v>
      </c>
      <c r="AL292" s="98">
        <f t="shared" si="196"/>
        <v>8.4784651043939938E-2</v>
      </c>
      <c r="AM292" s="98" t="str">
        <f t="shared" si="181"/>
        <v>1+8.58382772077172i</v>
      </c>
      <c r="AN292" s="98">
        <f t="shared" si="197"/>
        <v>8.641880486322929</v>
      </c>
      <c r="AO292" s="98">
        <f t="shared" si="198"/>
        <v>1.4548209625829367</v>
      </c>
      <c r="AP292" s="168" t="str">
        <f t="shared" si="199"/>
        <v>-0.897788341053274+0.182701186908461i</v>
      </c>
      <c r="AQ292" s="98">
        <f t="shared" si="200"/>
        <v>-0.76029157516903312</v>
      </c>
      <c r="AR292" s="169">
        <f t="shared" si="201"/>
        <v>168.4972984308549</v>
      </c>
      <c r="AS292" s="168" t="str">
        <f t="shared" si="202"/>
        <v>0.107557598678033+0.71852982435251i</v>
      </c>
      <c r="AT292" s="190">
        <f t="shared" si="203"/>
        <v>-2.7748639245376645</v>
      </c>
      <c r="AU292" s="169">
        <f t="shared" si="204"/>
        <v>81.486538230343214</v>
      </c>
      <c r="AV292" s="225"/>
      <c r="AX292">
        <f t="shared" si="205"/>
        <v>0</v>
      </c>
      <c r="AY292">
        <f t="shared" si="206"/>
        <v>0</v>
      </c>
    </row>
    <row r="293" spans="14:51" x14ac:dyDescent="0.2">
      <c r="N293" s="170">
        <v>75</v>
      </c>
      <c r="O293" s="199">
        <f t="shared" si="207"/>
        <v>5623.4132519034993</v>
      </c>
      <c r="P293" s="189" t="str">
        <f t="shared" si="173"/>
        <v>6.8875</v>
      </c>
      <c r="Q293" s="160" t="str">
        <f t="shared" si="174"/>
        <v>1+8.83323688013975i</v>
      </c>
      <c r="R293" s="160">
        <f t="shared" si="182"/>
        <v>8.8896610610675726</v>
      </c>
      <c r="S293" s="160">
        <f t="shared" si="183"/>
        <v>1.4580674946940078</v>
      </c>
      <c r="T293" s="160" t="str">
        <f t="shared" si="175"/>
        <v>1+0.0141331790082236i</v>
      </c>
      <c r="U293" s="160">
        <f t="shared" si="184"/>
        <v>1.0000998683875919</v>
      </c>
      <c r="V293" s="160">
        <f t="shared" si="185"/>
        <v>1.4132238102134048E-2</v>
      </c>
      <c r="W293" s="98" t="str">
        <f t="shared" si="176"/>
        <v>1-0.0367032003329906i</v>
      </c>
      <c r="X293" s="160">
        <f t="shared" si="186"/>
        <v>1.0006733357668145</v>
      </c>
      <c r="Y293" s="160">
        <f t="shared" si="187"/>
        <v>-3.66867323763738E-2</v>
      </c>
      <c r="Z293" s="98" t="str">
        <f t="shared" si="177"/>
        <v>0.999346636847073+0.0420730284687195i</v>
      </c>
      <c r="AA293" s="160">
        <f t="shared" si="188"/>
        <v>1.0002318932637997</v>
      </c>
      <c r="AB293" s="160">
        <f t="shared" si="189"/>
        <v>4.2075688057105876E-2</v>
      </c>
      <c r="AC293" s="171" t="str">
        <f t="shared" si="190"/>
        <v>0.0372714960438296-0.77429926827599i</v>
      </c>
      <c r="AD293" s="190">
        <f t="shared" si="191"/>
        <v>-2.2117718301245559</v>
      </c>
      <c r="AE293" s="169">
        <f t="shared" si="192"/>
        <v>-87.24415036792729</v>
      </c>
      <c r="AF293" s="98" t="str">
        <f t="shared" si="178"/>
        <v>-0.0000816326530612245</v>
      </c>
      <c r="AG293" s="98" t="str">
        <f t="shared" si="179"/>
        <v>0.000785098093906822i</v>
      </c>
      <c r="AH293" s="98">
        <f t="shared" si="193"/>
        <v>7.8509809390682201E-4</v>
      </c>
      <c r="AI293" s="98">
        <f t="shared" si="194"/>
        <v>1.5707963267948966</v>
      </c>
      <c r="AJ293" s="98" t="str">
        <f t="shared" si="180"/>
        <v>1+0.086968027263475i</v>
      </c>
      <c r="AK293" s="98">
        <f t="shared" si="195"/>
        <v>1.0037745950989696</v>
      </c>
      <c r="AL293" s="98">
        <f t="shared" si="196"/>
        <v>8.6749757843591804E-2</v>
      </c>
      <c r="AM293" s="98" t="str">
        <f t="shared" si="181"/>
        <v>1+8.78377075361097i</v>
      </c>
      <c r="AN293" s="98">
        <f t="shared" si="197"/>
        <v>8.8405106556121194</v>
      </c>
      <c r="AO293" s="98">
        <f t="shared" si="198"/>
        <v>1.4574380676803544</v>
      </c>
      <c r="AP293" s="168" t="str">
        <f t="shared" si="199"/>
        <v>-0.897485018390718+0.182030149302785i</v>
      </c>
      <c r="AQ293" s="98">
        <f t="shared" si="200"/>
        <v>-0.76437718962212864</v>
      </c>
      <c r="AR293" s="169">
        <f t="shared" si="201"/>
        <v>168.53465518156659</v>
      </c>
      <c r="AS293" s="168" t="str">
        <f t="shared" si="202"/>
        <v>0.10749520209697+0.701706529018193i</v>
      </c>
      <c r="AT293" s="190">
        <f t="shared" si="203"/>
        <v>-2.9761490197466838</v>
      </c>
      <c r="AU293" s="169">
        <f t="shared" si="204"/>
        <v>81.290504813639316</v>
      </c>
      <c r="AV293" s="225"/>
      <c r="AX293">
        <f t="shared" si="205"/>
        <v>0</v>
      </c>
      <c r="AY293">
        <f t="shared" si="206"/>
        <v>0</v>
      </c>
    </row>
    <row r="294" spans="14:51" x14ac:dyDescent="0.2">
      <c r="N294" s="170">
        <v>76</v>
      </c>
      <c r="O294" s="199">
        <f t="shared" si="207"/>
        <v>5754.399373371567</v>
      </c>
      <c r="P294" s="189" t="str">
        <f t="shared" si="173"/>
        <v>6.8875</v>
      </c>
      <c r="Q294" s="160" t="str">
        <f t="shared" si="174"/>
        <v>1+9.0389893986029i</v>
      </c>
      <c r="R294" s="160">
        <f t="shared" si="182"/>
        <v>9.0941370865000515</v>
      </c>
      <c r="S294" s="160">
        <f t="shared" si="183"/>
        <v>1.4606125599914777</v>
      </c>
      <c r="T294" s="160" t="str">
        <f t="shared" si="175"/>
        <v>1+0.0144623830377646i</v>
      </c>
      <c r="U294" s="160">
        <f t="shared" si="184"/>
        <v>1.0001045747936217</v>
      </c>
      <c r="V294" s="160">
        <f t="shared" si="185"/>
        <v>1.4461374844418824E-2</v>
      </c>
      <c r="W294" s="98" t="str">
        <f t="shared" si="176"/>
        <v>1-0.0375581276950259i</v>
      </c>
      <c r="X294" s="160">
        <f t="shared" si="186"/>
        <v>1.0007050579246395</v>
      </c>
      <c r="Y294" s="160">
        <f t="shared" si="187"/>
        <v>-3.7540482632989237E-2</v>
      </c>
      <c r="Z294" s="98" t="str">
        <f t="shared" si="177"/>
        <v>0.999315844790325+0.0430530351960692i</v>
      </c>
      <c r="AA294" s="160">
        <f t="shared" si="188"/>
        <v>1.0002428312607869</v>
      </c>
      <c r="AB294" s="160">
        <f t="shared" si="189"/>
        <v>4.305588477766685E-2</v>
      </c>
      <c r="AC294" s="171" t="str">
        <f t="shared" si="190"/>
        <v>0.0333687203218372-0.757050256044246i</v>
      </c>
      <c r="AD294" s="190">
        <f t="shared" si="191"/>
        <v>-2.4090764681113837</v>
      </c>
      <c r="AE294" s="169">
        <f t="shared" si="192"/>
        <v>-87.476191143484897</v>
      </c>
      <c r="AF294" s="98" t="str">
        <f t="shared" si="178"/>
        <v>-0.0000816326530612245</v>
      </c>
      <c r="AG294" s="98" t="str">
        <f t="shared" si="179"/>
        <v>0.000803385377747827i</v>
      </c>
      <c r="AH294" s="98">
        <f t="shared" si="193"/>
        <v>8.0338537774782704E-4</v>
      </c>
      <c r="AI294" s="98">
        <f t="shared" si="194"/>
        <v>1.5707963267948966</v>
      </c>
      <c r="AJ294" s="98" t="str">
        <f t="shared" si="180"/>
        <v>1+0.0889937728511953i</v>
      </c>
      <c r="AK294" s="98">
        <f t="shared" si="195"/>
        <v>1.0039521361132164</v>
      </c>
      <c r="AL294" s="98">
        <f t="shared" si="196"/>
        <v>8.8759942650547971E-2</v>
      </c>
      <c r="AM294" s="98" t="str">
        <f t="shared" si="181"/>
        <v>1+8.98837105797073i</v>
      </c>
      <c r="AN294" s="98">
        <f t="shared" si="197"/>
        <v>9.0438274129798533</v>
      </c>
      <c r="AO294" s="98">
        <f t="shared" si="198"/>
        <v>1.4599971080174863</v>
      </c>
      <c r="AP294" s="168" t="str">
        <f t="shared" si="199"/>
        <v>-0.897167620168914+0.181453158932202i</v>
      </c>
      <c r="AQ294" s="98">
        <f t="shared" si="200"/>
        <v>-0.76841507677842025</v>
      </c>
      <c r="AR294" s="169">
        <f t="shared" si="201"/>
        <v>168.56610228700816</v>
      </c>
      <c r="AS294" s="168" t="str">
        <f t="shared" si="202"/>
        <v>0.107431825030436+0.685255836275406i</v>
      </c>
      <c r="AT294" s="190">
        <f t="shared" si="203"/>
        <v>-3.1774915448898011</v>
      </c>
      <c r="AU294" s="169">
        <f t="shared" si="204"/>
        <v>81.089911143523295</v>
      </c>
      <c r="AV294" s="225"/>
      <c r="AX294">
        <f t="shared" si="205"/>
        <v>0</v>
      </c>
      <c r="AY294">
        <f t="shared" si="206"/>
        <v>0</v>
      </c>
    </row>
    <row r="295" spans="14:51" x14ac:dyDescent="0.2">
      <c r="N295" s="170">
        <v>77</v>
      </c>
      <c r="O295" s="199">
        <f t="shared" si="207"/>
        <v>5888.4365535558973</v>
      </c>
      <c r="P295" s="189" t="str">
        <f t="shared" si="173"/>
        <v>6.8875</v>
      </c>
      <c r="Q295" s="160" t="str">
        <f t="shared" si="174"/>
        <v>1+9.2495345088904i</v>
      </c>
      <c r="R295" s="160">
        <f t="shared" si="182"/>
        <v>9.303434238556985</v>
      </c>
      <c r="S295" s="160">
        <f t="shared" si="183"/>
        <v>1.4631010781799507</v>
      </c>
      <c r="T295" s="160" t="str">
        <f t="shared" si="175"/>
        <v>1+0.0147992552142246i</v>
      </c>
      <c r="U295" s="160">
        <f t="shared" si="184"/>
        <v>1.0001095029819964</v>
      </c>
      <c r="V295" s="160">
        <f t="shared" si="185"/>
        <v>1.4798174921979421E-2</v>
      </c>
      <c r="W295" s="98" t="str">
        <f t="shared" si="176"/>
        <v>1-0.0384329688735058i</v>
      </c>
      <c r="X295" s="160">
        <f t="shared" si="186"/>
        <v>1.0007382740239488</v>
      </c>
      <c r="Y295" s="160">
        <f t="shared" si="187"/>
        <v>-3.8414062602140316E-2</v>
      </c>
      <c r="Z295" s="98" t="str">
        <f t="shared" si="177"/>
        <v>0.999283601548652+0.0440558692125544i</v>
      </c>
      <c r="AA295" s="160">
        <f t="shared" si="188"/>
        <v>1.0002542856374668</v>
      </c>
      <c r="AB295" s="160">
        <f t="shared" si="189"/>
        <v>4.4058922348865201E-2</v>
      </c>
      <c r="AC295" s="171" t="str">
        <f t="shared" si="190"/>
        <v>0.0296375206928637-0.740164206456161i</v>
      </c>
      <c r="AD295" s="190">
        <f t="shared" si="191"/>
        <v>-2.6064807427398948</v>
      </c>
      <c r="AE295" s="169">
        <f t="shared" si="192"/>
        <v>-87.706997774764289</v>
      </c>
      <c r="AF295" s="98" t="str">
        <f t="shared" si="178"/>
        <v>-0.0000816326530612245</v>
      </c>
      <c r="AG295" s="98" t="str">
        <f t="shared" si="179"/>
        <v>0.000822098627150179i</v>
      </c>
      <c r="AH295" s="98">
        <f t="shared" si="193"/>
        <v>8.2209862715017896E-4</v>
      </c>
      <c r="AI295" s="98">
        <f t="shared" si="194"/>
        <v>1.5707963267948966</v>
      </c>
      <c r="AJ295" s="98" t="str">
        <f t="shared" si="180"/>
        <v>1+0.0910667041152536i</v>
      </c>
      <c r="AK295" s="98">
        <f t="shared" si="195"/>
        <v>1.0041380107327953</v>
      </c>
      <c r="AL295" s="98">
        <f t="shared" si="196"/>
        <v>9.081620627265409E-2</v>
      </c>
      <c r="AM295" s="98" t="str">
        <f t="shared" si="181"/>
        <v>1+9.19773711564062i</v>
      </c>
      <c r="AN295" s="98">
        <f t="shared" si="197"/>
        <v>9.2519386102823358</v>
      </c>
      <c r="AO295" s="98">
        <f t="shared" si="198"/>
        <v>1.4624993062919216</v>
      </c>
      <c r="AP295" s="168" t="str">
        <f t="shared" si="199"/>
        <v>-0.896835503958008+0.1809697361968i</v>
      </c>
      <c r="AQ295" s="98">
        <f t="shared" si="200"/>
        <v>-0.77241352913913119</v>
      </c>
      <c r="AR295" s="169">
        <f t="shared" si="201"/>
        <v>168.59165246052521</v>
      </c>
      <c r="AS295" s="168" t="str">
        <f t="shared" si="202"/>
        <v>0.107367340378035+0.669169033410105i</v>
      </c>
      <c r="AT295" s="190">
        <f t="shared" si="203"/>
        <v>-3.3788942718790276</v>
      </c>
      <c r="AU295" s="169">
        <f t="shared" si="204"/>
        <v>80.884654685760935</v>
      </c>
      <c r="AV295" s="225"/>
      <c r="AX295">
        <f t="shared" si="205"/>
        <v>0</v>
      </c>
      <c r="AY295">
        <f t="shared" si="206"/>
        <v>0</v>
      </c>
    </row>
    <row r="296" spans="14:51" x14ac:dyDescent="0.2">
      <c r="N296" s="170">
        <v>78</v>
      </c>
      <c r="O296" s="199">
        <f t="shared" si="207"/>
        <v>6025.595860743585</v>
      </c>
      <c r="P296" s="189" t="str">
        <f t="shared" si="173"/>
        <v>6.8875</v>
      </c>
      <c r="Q296" s="160" t="str">
        <f t="shared" si="174"/>
        <v>1+9.46498384480655i</v>
      </c>
      <c r="R296" s="160">
        <f t="shared" si="182"/>
        <v>9.5176635358920407</v>
      </c>
      <c r="S296" s="160">
        <f t="shared" si="183"/>
        <v>1.4655342453520761</v>
      </c>
      <c r="T296" s="160" t="str">
        <f t="shared" si="175"/>
        <v>1+0.0151439741516905i</v>
      </c>
      <c r="U296" s="160">
        <f t="shared" si="184"/>
        <v>1.0001146634027056</v>
      </c>
      <c r="V296" s="160">
        <f t="shared" si="185"/>
        <v>1.51428166048621E-2</v>
      </c>
      <c r="W296" s="98" t="str">
        <f t="shared" si="176"/>
        <v>1-0.0393281877208028i</v>
      </c>
      <c r="X296" s="160">
        <f t="shared" si="186"/>
        <v>1.0007730543681734</v>
      </c>
      <c r="Y296" s="160">
        <f t="shared" si="187"/>
        <v>-3.9307930131121757E-2</v>
      </c>
      <c r="Z296" s="98" t="str">
        <f t="shared" si="177"/>
        <v>0.999249838729814+0.0450820622340443i</v>
      </c>
      <c r="AA296" s="160">
        <f t="shared" si="188"/>
        <v>1.0002662808156801</v>
      </c>
      <c r="AB296" s="160">
        <f t="shared" si="189"/>
        <v>4.5085333453224789E-2</v>
      </c>
      <c r="AC296" s="171" t="str">
        <f t="shared" si="190"/>
        <v>0.0260705380572966-0.723634673015275i</v>
      </c>
      <c r="AD296" s="190">
        <f t="shared" si="191"/>
        <v>-2.8039793283348042</v>
      </c>
      <c r="AE296" s="169">
        <f t="shared" si="192"/>
        <v>-87.936685331882984</v>
      </c>
      <c r="AF296" s="98" t="str">
        <f t="shared" si="178"/>
        <v>-0.0000816326530612245</v>
      </c>
      <c r="AG296" s="98" t="str">
        <f t="shared" si="179"/>
        <v>0.000841247764126407i</v>
      </c>
      <c r="AH296" s="98">
        <f t="shared" si="193"/>
        <v>8.4124776412640705E-4</v>
      </c>
      <c r="AI296" s="98">
        <f t="shared" si="194"/>
        <v>1.5707963267948966</v>
      </c>
      <c r="AJ296" s="98" t="str">
        <f t="shared" si="180"/>
        <v>1+0.0931879201512439i</v>
      </c>
      <c r="AK296" s="98">
        <f t="shared" si="195"/>
        <v>1.004332608482924</v>
      </c>
      <c r="AL296" s="98">
        <f t="shared" si="196"/>
        <v>9.291956937493108E-2</v>
      </c>
      <c r="AM296" s="98" t="str">
        <f t="shared" si="181"/>
        <v>1+9.41197993527564i</v>
      </c>
      <c r="AN296" s="98">
        <f t="shared" si="197"/>
        <v>9.464954638139119</v>
      </c>
      <c r="AO296" s="98">
        <f t="shared" si="198"/>
        <v>1.4649458638041988</v>
      </c>
      <c r="AP296" s="168" t="str">
        <f t="shared" si="199"/>
        <v>-0.89648799903329+0.180579439024404i</v>
      </c>
      <c r="AQ296" s="98">
        <f t="shared" si="200"/>
        <v>-0.77638076554422342</v>
      </c>
      <c r="AR296" s="169">
        <f t="shared" si="201"/>
        <v>168.61131605177064</v>
      </c>
      <c r="AS296" s="168" t="str">
        <f t="shared" si="202"/>
        <v>0.107301618814999+0.653437603180024i</v>
      </c>
      <c r="AT296" s="190">
        <f t="shared" si="203"/>
        <v>-3.5803600938790279</v>
      </c>
      <c r="AU296" s="169">
        <f t="shared" si="204"/>
        <v>80.674630719887688</v>
      </c>
      <c r="AV296" s="225"/>
      <c r="AX296">
        <f t="shared" si="205"/>
        <v>0</v>
      </c>
      <c r="AY296">
        <f t="shared" si="206"/>
        <v>0</v>
      </c>
    </row>
    <row r="297" spans="14:51" x14ac:dyDescent="0.2">
      <c r="N297" s="170">
        <v>79</v>
      </c>
      <c r="O297" s="199">
        <f t="shared" si="207"/>
        <v>6165.9500186148289</v>
      </c>
      <c r="P297" s="189" t="str">
        <f t="shared" si="173"/>
        <v>6.8875</v>
      </c>
      <c r="Q297" s="160" t="str">
        <f t="shared" si="174"/>
        <v>1+9.6854516404411i</v>
      </c>
      <c r="R297" s="160">
        <f t="shared" si="182"/>
        <v>9.7369386091996688</v>
      </c>
      <c r="S297" s="160">
        <f t="shared" si="183"/>
        <v>1.4679132363018184</v>
      </c>
      <c r="T297" s="160" t="str">
        <f t="shared" si="175"/>
        <v>1+0.0154967226247058i</v>
      </c>
      <c r="U297" s="160">
        <f t="shared" si="184"/>
        <v>1.0001200669980115</v>
      </c>
      <c r="V297" s="160">
        <f t="shared" si="185"/>
        <v>1.549548229897452E-2</v>
      </c>
      <c r="W297" s="98" t="str">
        <f t="shared" si="176"/>
        <v>1-0.0402442588937996i</v>
      </c>
      <c r="X297" s="160">
        <f t="shared" si="186"/>
        <v>1.0008094725640395</v>
      </c>
      <c r="Y297" s="160">
        <f t="shared" si="187"/>
        <v>-4.0222553443474557E-2</v>
      </c>
      <c r="Z297" s="98" t="str">
        <f t="shared" si="177"/>
        <v>0.999214484718346+0.0461321583616625i</v>
      </c>
      <c r="AA297" s="160">
        <f t="shared" si="188"/>
        <v>1.0002788423764921</v>
      </c>
      <c r="AB297" s="160">
        <f t="shared" si="189"/>
        <v>4.6135663227261287E-2</v>
      </c>
      <c r="AC297" s="171" t="str">
        <f t="shared" si="190"/>
        <v>0.0226607138656186-0.7074552372092i</v>
      </c>
      <c r="AD297" s="190">
        <f t="shared" si="191"/>
        <v>-3.0015670843096904</v>
      </c>
      <c r="AE297" s="169">
        <f t="shared" si="192"/>
        <v>-88.165368735742675</v>
      </c>
      <c r="AF297" s="98" t="str">
        <f t="shared" si="178"/>
        <v>-0.0000816326530612245</v>
      </c>
      <c r="AG297" s="98" t="str">
        <f t="shared" si="179"/>
        <v>0.000860842941802405i</v>
      </c>
      <c r="AH297" s="98">
        <f t="shared" si="193"/>
        <v>8.6084294180240495E-4</v>
      </c>
      <c r="AI297" s="98">
        <f t="shared" si="194"/>
        <v>1.5707963267948966</v>
      </c>
      <c r="AJ297" s="98" t="str">
        <f t="shared" si="180"/>
        <v>1+0.0953585456559865i</v>
      </c>
      <c r="AK297" s="98">
        <f t="shared" si="195"/>
        <v>1.0045363369384031</v>
      </c>
      <c r="AL297" s="98">
        <f t="shared" si="196"/>
        <v>9.5071072702696074E-2</v>
      </c>
      <c r="AM297" s="98" t="str">
        <f t="shared" si="181"/>
        <v>1+9.63121311125463i</v>
      </c>
      <c r="AN297" s="98">
        <f t="shared" si="197"/>
        <v>9.6829884846778107</v>
      </c>
      <c r="AO297" s="98">
        <f t="shared" si="198"/>
        <v>1.4673379605339278</v>
      </c>
      <c r="AP297" s="168" t="str">
        <f t="shared" si="199"/>
        <v>-0.89612440522747+0.180281861812454i</v>
      </c>
      <c r="AQ297" s="98">
        <f t="shared" si="200"/>
        <v>-0.78032494645699191</v>
      </c>
      <c r="AR297" s="169">
        <f t="shared" si="201"/>
        <v>168.62510103828197</v>
      </c>
      <c r="AS297" s="168" t="str">
        <f t="shared" si="202"/>
        <v>0.107234528578189+0.638053219354846i</v>
      </c>
      <c r="AT297" s="190">
        <f t="shared" si="203"/>
        <v>-3.7818920307666808</v>
      </c>
      <c r="AU297" s="169">
        <f t="shared" si="204"/>
        <v>80.459732302539265</v>
      </c>
      <c r="AV297" s="225"/>
      <c r="AX297">
        <f t="shared" si="205"/>
        <v>0</v>
      </c>
      <c r="AY297">
        <f t="shared" si="206"/>
        <v>0</v>
      </c>
    </row>
    <row r="298" spans="14:51" x14ac:dyDescent="0.2">
      <c r="N298" s="170">
        <v>80</v>
      </c>
      <c r="O298" s="199">
        <f t="shared" si="207"/>
        <v>6309.5734448019384</v>
      </c>
      <c r="P298" s="189" t="str">
        <f t="shared" si="173"/>
        <v>6.8875</v>
      </c>
      <c r="Q298" s="160" t="str">
        <f t="shared" si="174"/>
        <v>1+9.9110547907375i</v>
      </c>
      <c r="R298" s="160">
        <f t="shared" si="182"/>
        <v>9.9613757616606744</v>
      </c>
      <c r="S298" s="160">
        <f t="shared" si="183"/>
        <v>1.4702392046297799</v>
      </c>
      <c r="T298" s="160" t="str">
        <f t="shared" si="175"/>
        <v>1+0.01585768766518i</v>
      </c>
      <c r="U298" s="160">
        <f t="shared" si="184"/>
        <v>1.000125725225627</v>
      </c>
      <c r="V298" s="160">
        <f t="shared" si="185"/>
        <v>1.5856358641237356E-2</v>
      </c>
      <c r="W298" s="98" t="str">
        <f t="shared" si="176"/>
        <v>1-0.0411816681055575i</v>
      </c>
      <c r="X298" s="160">
        <f t="shared" si="186"/>
        <v>1.0008476056762869</v>
      </c>
      <c r="Y298" s="160">
        <f t="shared" si="187"/>
        <v>-4.1158411360173071E-2</v>
      </c>
      <c r="Z298" s="98" t="str">
        <f t="shared" si="177"/>
        <v>0.99917746452365+0.0472067143702751i</v>
      </c>
      <c r="AA298" s="160">
        <f t="shared" si="188"/>
        <v>1.0002919971156154</v>
      </c>
      <c r="AB298" s="160">
        <f t="shared" si="189"/>
        <v>4.7210469554838014E-2</v>
      </c>
      <c r="AC298" s="171" t="str">
        <f t="shared" si="190"/>
        <v>0.019401279213271-0.691619515190139i</v>
      </c>
      <c r="AD298" s="190">
        <f t="shared" si="191"/>
        <v>-3.1992390456143758</v>
      </c>
      <c r="AE298" s="169">
        <f t="shared" si="192"/>
        <v>-88.393162788093008</v>
      </c>
      <c r="AF298" s="98" t="str">
        <f t="shared" si="178"/>
        <v>-0.0000816326530612245</v>
      </c>
      <c r="AG298" s="98" t="str">
        <f t="shared" si="179"/>
        <v>0.00088089454980075i</v>
      </c>
      <c r="AH298" s="98">
        <f t="shared" si="193"/>
        <v>8.8089454980074997E-4</v>
      </c>
      <c r="AI298" s="98">
        <f t="shared" si="194"/>
        <v>1.5707963267948966</v>
      </c>
      <c r="AJ298" s="98" t="str">
        <f t="shared" si="180"/>
        <v>1+0.0975797315238552i</v>
      </c>
      <c r="AK298" s="98">
        <f t="shared" si="195"/>
        <v>1.0047496225449739</v>
      </c>
      <c r="AL298" s="98">
        <f t="shared" si="196"/>
        <v>9.7271777293668538E-2</v>
      </c>
      <c r="AM298" s="98" t="str">
        <f t="shared" si="181"/>
        <v>1+9.85555288390938i</v>
      </c>
      <c r="AN298" s="98">
        <f t="shared" si="197"/>
        <v>9.9061557956421478</v>
      </c>
      <c r="AO298" s="98">
        <f t="shared" si="198"/>
        <v>1.4696767552396377</v>
      </c>
      <c r="AP298" s="168" t="str">
        <f t="shared" si="199"/>
        <v>-0.895743991745919+0.180076634335097i</v>
      </c>
      <c r="AQ298" s="98">
        <f t="shared" si="200"/>
        <v>-0.78425418918706902</v>
      </c>
      <c r="AR298" s="169">
        <f t="shared" si="201"/>
        <v>168.63301301904889</v>
      </c>
      <c r="AS298" s="168" t="str">
        <f t="shared" si="202"/>
        <v>0.107165935248439+0.623007742368314i</v>
      </c>
      <c r="AT298" s="190">
        <f t="shared" si="203"/>
        <v>-3.9834932348014402</v>
      </c>
      <c r="AU298" s="169">
        <f t="shared" si="204"/>
        <v>80.239850230955895</v>
      </c>
      <c r="AV298" s="225"/>
      <c r="AX298">
        <f t="shared" si="205"/>
        <v>0</v>
      </c>
      <c r="AY298">
        <f t="shared" si="206"/>
        <v>0</v>
      </c>
    </row>
    <row r="299" spans="14:51" x14ac:dyDescent="0.2">
      <c r="N299" s="170">
        <v>81</v>
      </c>
      <c r="O299" s="199">
        <f t="shared" si="207"/>
        <v>6456.5422903465615</v>
      </c>
      <c r="P299" s="189" t="str">
        <f t="shared" si="173"/>
        <v>6.8875</v>
      </c>
      <c r="Q299" s="160" t="str">
        <f t="shared" si="174"/>
        <v>1+10.1419129134723i</v>
      </c>
      <c r="R299" s="160">
        <f t="shared" si="182"/>
        <v>10.191094030792582</v>
      </c>
      <c r="S299" s="160">
        <f t="shared" si="183"/>
        <v>1.4725132828697434</v>
      </c>
      <c r="T299" s="160" t="str">
        <f t="shared" si="175"/>
        <v>1+0.0162270606615557i</v>
      </c>
      <c r="U299" s="160">
        <f t="shared" si="184"/>
        <v>1.0001316500829847</v>
      </c>
      <c r="V299" s="160">
        <f t="shared" si="185"/>
        <v>1.622563659686807E-2</v>
      </c>
      <c r="W299" s="98" t="str">
        <f t="shared" si="176"/>
        <v>1-0.0421409123828489i</v>
      </c>
      <c r="X299" s="160">
        <f t="shared" si="186"/>
        <v>1.0008875343895831</v>
      </c>
      <c r="Y299" s="160">
        <f t="shared" si="187"/>
        <v>-4.2115993524514325E-2</v>
      </c>
      <c r="Z299" s="98" t="str">
        <f t="shared" si="177"/>
        <v>0.999138699620929+0.0483063000037018i</v>
      </c>
      <c r="AA299" s="160">
        <f t="shared" si="188"/>
        <v>1.0003057731015297</v>
      </c>
      <c r="AB299" s="160">
        <f t="shared" si="189"/>
        <v>4.8310323367586963E-2</v>
      </c>
      <c r="AC299" s="171" t="str">
        <f t="shared" si="190"/>
        <v>0.016285744209316-0.676121163870672i</v>
      </c>
      <c r="AD299" s="190">
        <f t="shared" si="191"/>
        <v>-3.3969904134458977</v>
      </c>
      <c r="AE299" s="169">
        <f t="shared" si="192"/>
        <v>-88.620182203306229</v>
      </c>
      <c r="AF299" s="98" t="str">
        <f t="shared" si="178"/>
        <v>-0.0000816326530612245</v>
      </c>
      <c r="AG299" s="98" t="str">
        <f t="shared" si="179"/>
        <v>0.000901413219749417i</v>
      </c>
      <c r="AH299" s="98">
        <f t="shared" si="193"/>
        <v>9.0141321974941701E-4</v>
      </c>
      <c r="AI299" s="98">
        <f t="shared" si="194"/>
        <v>1.5707963267948966</v>
      </c>
      <c r="AJ299" s="98" t="str">
        <f t="shared" si="180"/>
        <v>1+0.0998526554569986i</v>
      </c>
      <c r="AK299" s="98">
        <f t="shared" si="195"/>
        <v>1.0049729114766299</v>
      </c>
      <c r="AL299" s="98">
        <f t="shared" si="196"/>
        <v>9.9522764677762623E-2</v>
      </c>
      <c r="AM299" s="98" t="str">
        <f t="shared" si="181"/>
        <v>1+10.0851182011569i</v>
      </c>
      <c r="AN299" s="98">
        <f t="shared" si="197"/>
        <v>10.13457493589673</v>
      </c>
      <c r="AO299" s="98">
        <f t="shared" si="198"/>
        <v>1.4719633855803238</v>
      </c>
      <c r="AP299" s="168" t="str">
        <f t="shared" si="199"/>
        <v>-0.895345995944865+0.179963420611613i</v>
      </c>
      <c r="AQ299" s="98">
        <f t="shared" si="200"/>
        <v>-0.78817658306598526</v>
      </c>
      <c r="AR299" s="169">
        <f t="shared" si="201"/>
        <v>168.63505521003094</v>
      </c>
      <c r="AS299" s="168" t="str">
        <f t="shared" si="202"/>
        <v>0.107095701529278+0.608293215080302i</v>
      </c>
      <c r="AT299" s="190">
        <f t="shared" si="203"/>
        <v>-4.1851669965118869</v>
      </c>
      <c r="AU299" s="169">
        <f t="shared" si="204"/>
        <v>80.014873006724685</v>
      </c>
      <c r="AV299" s="225"/>
      <c r="AX299">
        <f t="shared" si="205"/>
        <v>0</v>
      </c>
      <c r="AY299">
        <f t="shared" si="206"/>
        <v>0</v>
      </c>
    </row>
    <row r="300" spans="14:51" x14ac:dyDescent="0.2">
      <c r="N300" s="170">
        <v>82</v>
      </c>
      <c r="O300" s="199">
        <f t="shared" si="207"/>
        <v>6606.9344800759654</v>
      </c>
      <c r="P300" s="189" t="str">
        <f t="shared" si="173"/>
        <v>6.8875</v>
      </c>
      <c r="Q300" s="160" t="str">
        <f t="shared" si="174"/>
        <v>1+10.3781484126779i</v>
      </c>
      <c r="R300" s="160">
        <f t="shared" si="182"/>
        <v>10.426215251737748</v>
      </c>
      <c r="S300" s="160">
        <f t="shared" si="183"/>
        <v>1.4747365826345518</v>
      </c>
      <c r="T300" s="160" t="str">
        <f t="shared" si="175"/>
        <v>1+0.0166050374602846i</v>
      </c>
      <c r="U300" s="160">
        <f t="shared" si="184"/>
        <v>1.0001378541326478</v>
      </c>
      <c r="V300" s="160">
        <f t="shared" si="185"/>
        <v>1.6603511558839056E-2</v>
      </c>
      <c r="W300" s="98" t="str">
        <f t="shared" si="176"/>
        <v>1-0.0431225003296864i</v>
      </c>
      <c r="X300" s="160">
        <f t="shared" si="186"/>
        <v>1.0009293431779707</v>
      </c>
      <c r="Y300" s="160">
        <f t="shared" si="187"/>
        <v>-4.3095800630689324E-2</v>
      </c>
      <c r="Z300" s="98" t="str">
        <f t="shared" si="177"/>
        <v>0.999098107784628+0.0494314982767997i</v>
      </c>
      <c r="AA300" s="160">
        <f t="shared" si="188"/>
        <v>1.0003201997364211</v>
      </c>
      <c r="AB300" s="160">
        <f t="shared" si="189"/>
        <v>4.9435808952568348E-2</v>
      </c>
      <c r="AC300" s="171" t="str">
        <f t="shared" si="190"/>
        <v>0.0133078876241659-0.66095388647107i</v>
      </c>
      <c r="AD300" s="190">
        <f t="shared" si="191"/>
        <v>-3.594816546212706</v>
      </c>
      <c r="AE300" s="169">
        <f t="shared" si="192"/>
        <v>-88.846541641760567</v>
      </c>
      <c r="AF300" s="98" t="str">
        <f t="shared" si="178"/>
        <v>-0.0000816326530612245</v>
      </c>
      <c r="AG300" s="98" t="str">
        <f t="shared" si="179"/>
        <v>0.00092240983091881i</v>
      </c>
      <c r="AH300" s="98">
        <f t="shared" si="193"/>
        <v>9.2240983091881001E-4</v>
      </c>
      <c r="AI300" s="98">
        <f t="shared" si="194"/>
        <v>1.5707963267948966</v>
      </c>
      <c r="AJ300" s="98" t="str">
        <f t="shared" si="180"/>
        <v>1+0.102178522589771i</v>
      </c>
      <c r="AK300" s="98">
        <f t="shared" si="195"/>
        <v>1.0052066705303087</v>
      </c>
      <c r="AL300" s="98">
        <f t="shared" si="196"/>
        <v>0.10182513706315742</v>
      </c>
      <c r="AM300" s="98" t="str">
        <f t="shared" si="181"/>
        <v>1+10.3200307815669i</v>
      </c>
      <c r="AN300" s="98">
        <f t="shared" si="197"/>
        <v>10.368367052361151</v>
      </c>
      <c r="AO300" s="98">
        <f t="shared" si="198"/>
        <v>1.4741989682567747</v>
      </c>
      <c r="AP300" s="168" t="str">
        <f t="shared" si="199"/>
        <v>-0.894929622072221+0.179941917732097i</v>
      </c>
      <c r="AQ300" s="98">
        <f t="shared" si="200"/>
        <v>-0.79210020459363784</v>
      </c>
      <c r="AR300" s="169">
        <f t="shared" si="201"/>
        <v>168.63122844159358</v>
      </c>
      <c r="AS300" s="168" t="str">
        <f t="shared" si="202"/>
        <v>0.107023687022013+0.593901858646776i</v>
      </c>
      <c r="AT300" s="190">
        <f t="shared" si="203"/>
        <v>-4.3869167508063418</v>
      </c>
      <c r="AU300" s="169">
        <f t="shared" si="204"/>
        <v>79.784686799832983</v>
      </c>
      <c r="AV300" s="225"/>
      <c r="AX300">
        <f t="shared" si="205"/>
        <v>0</v>
      </c>
      <c r="AY300">
        <f t="shared" si="206"/>
        <v>0</v>
      </c>
    </row>
    <row r="301" spans="14:51" x14ac:dyDescent="0.2">
      <c r="N301" s="170">
        <v>83</v>
      </c>
      <c r="O301" s="199">
        <f t="shared" si="207"/>
        <v>6760.8297539198229</v>
      </c>
      <c r="P301" s="189" t="str">
        <f t="shared" si="173"/>
        <v>6.8875</v>
      </c>
      <c r="Q301" s="160" t="str">
        <f t="shared" si="174"/>
        <v>1+10.6198865435429i</v>
      </c>
      <c r="R301" s="160">
        <f t="shared" si="182"/>
        <v>10.666864122024034</v>
      </c>
      <c r="S301" s="160">
        <f t="shared" si="183"/>
        <v>1.4769101947795682</v>
      </c>
      <c r="T301" s="160" t="str">
        <f t="shared" si="175"/>
        <v>1+0.0169918184696686i</v>
      </c>
      <c r="U301" s="160">
        <f t="shared" si="184"/>
        <v>1.0001443505289154</v>
      </c>
      <c r="V301" s="160">
        <f t="shared" si="185"/>
        <v>1.6990183449556766E-2</v>
      </c>
      <c r="W301" s="98" t="str">
        <f t="shared" si="176"/>
        <v>1-0.0441269523969926i</v>
      </c>
      <c r="X301" s="160">
        <f t="shared" si="186"/>
        <v>1.0009731204821868</v>
      </c>
      <c r="Y301" s="160">
        <f t="shared" si="187"/>
        <v>-4.4098344656017592E-2</v>
      </c>
      <c r="Z301" s="98" t="str">
        <f t="shared" si="177"/>
        <v>0.999055602914019+0.0505829057845873i</v>
      </c>
      <c r="AA301" s="160">
        <f t="shared" si="188"/>
        <v>1.0003353078200861</v>
      </c>
      <c r="AB301" s="160">
        <f t="shared" si="189"/>
        <v>5.0587524267361995E-2</v>
      </c>
      <c r="AC301" s="171" t="str">
        <f t="shared" si="190"/>
        <v>0.0104617468200403-0.646111437552592i</v>
      </c>
      <c r="AD301" s="190">
        <f t="shared" si="191"/>
        <v>-3.7927129507420676</v>
      </c>
      <c r="AE301" s="169">
        <f t="shared" si="192"/>
        <v>-89.072355744739539</v>
      </c>
      <c r="AF301" s="98" t="str">
        <f t="shared" si="178"/>
        <v>-0.0000816326530612245</v>
      </c>
      <c r="AG301" s="98" t="str">
        <f t="shared" si="179"/>
        <v>0.000943895515990093i</v>
      </c>
      <c r="AH301" s="98">
        <f t="shared" si="193"/>
        <v>9.4389551599009303E-4</v>
      </c>
      <c r="AI301" s="98">
        <f t="shared" si="194"/>
        <v>1.5707963267948966</v>
      </c>
      <c r="AJ301" s="98" t="str">
        <f t="shared" si="180"/>
        <v>1+0.104558566127713i</v>
      </c>
      <c r="AK301" s="98">
        <f t="shared" si="195"/>
        <v>1.0054513880594542</v>
      </c>
      <c r="AL301" s="98">
        <f t="shared" si="196"/>
        <v>0.1041800175071558</v>
      </c>
      <c r="AM301" s="98" t="str">
        <f t="shared" si="181"/>
        <v>1+10.5604151788991i</v>
      </c>
      <c r="AN301" s="98">
        <f t="shared" si="197"/>
        <v>10.60765613840883</v>
      </c>
      <c r="AO301" s="98">
        <f t="shared" si="198"/>
        <v>1.476384599170907</v>
      </c>
      <c r="AP301" s="168" t="str">
        <f t="shared" si="199"/>
        <v>-0.894494039971314+0.180011854636121i</v>
      </c>
      <c r="AQ301" s="98">
        <f t="shared" si="200"/>
        <v>-0.79603313257007635</v>
      </c>
      <c r="AR301" s="169">
        <f t="shared" si="201"/>
        <v>168.62153115784761</v>
      </c>
      <c r="AS301" s="168" t="str">
        <f t="shared" si="202"/>
        <v>0.106949747997237+0.5798260684959i</v>
      </c>
      <c r="AT301" s="190">
        <f t="shared" si="203"/>
        <v>-4.5887460833121514</v>
      </c>
      <c r="AU301" s="169">
        <f t="shared" si="204"/>
        <v>79.549175413108102</v>
      </c>
      <c r="AV301" s="225"/>
      <c r="AX301">
        <f t="shared" si="205"/>
        <v>0</v>
      </c>
      <c r="AY301">
        <f t="shared" si="206"/>
        <v>0</v>
      </c>
    </row>
    <row r="302" spans="14:51" x14ac:dyDescent="0.2">
      <c r="N302" s="170">
        <v>84</v>
      </c>
      <c r="O302" s="199">
        <f t="shared" si="207"/>
        <v>6918.3097091893687</v>
      </c>
      <c r="P302" s="189" t="str">
        <f t="shared" si="173"/>
        <v>6.8875</v>
      </c>
      <c r="Q302" s="160" t="str">
        <f t="shared" si="174"/>
        <v>1+10.8672554788241i</v>
      </c>
      <c r="R302" s="160">
        <f t="shared" si="182"/>
        <v>10.913168267832786</v>
      </c>
      <c r="S302" s="160">
        <f t="shared" si="183"/>
        <v>1.4790351895820621</v>
      </c>
      <c r="T302" s="160" t="str">
        <f t="shared" si="175"/>
        <v>1+0.0173876087661186i</v>
      </c>
      <c r="U302" s="160">
        <f t="shared" si="184"/>
        <v>1.0001511530456801</v>
      </c>
      <c r="V302" s="160">
        <f t="shared" si="185"/>
        <v>1.7385856824804119E-2</v>
      </c>
      <c r="W302" s="98" t="str">
        <f t="shared" si="176"/>
        <v>1-0.045154801158549i</v>
      </c>
      <c r="X302" s="160">
        <f t="shared" si="186"/>
        <v>1.001018958895219</v>
      </c>
      <c r="Y302" s="160">
        <f t="shared" si="187"/>
        <v>-4.5124149096808806E-2</v>
      </c>
      <c r="Z302" s="98" t="str">
        <f t="shared" si="177"/>
        <v>0.999011094850573+0.0517611330185658i</v>
      </c>
      <c r="AA302" s="160">
        <f t="shared" si="188"/>
        <v>1.0003511296169492</v>
      </c>
      <c r="AB302" s="160">
        <f t="shared" si="189"/>
        <v>5.1766081262774107E-2</v>
      </c>
      <c r="AC302" s="171" t="str">
        <f t="shared" si="190"/>
        <v>0.00774160796640713-0.631587627569533i</v>
      </c>
      <c r="AD302" s="190">
        <f t="shared" si="191"/>
        <v>-3.9906752737202282</v>
      </c>
      <c r="AE302" s="169">
        <f t="shared" si="192"/>
        <v>-89.297739170758163</v>
      </c>
      <c r="AF302" s="98" t="str">
        <f t="shared" si="178"/>
        <v>-0.0000816326530612245</v>
      </c>
      <c r="AG302" s="98" t="str">
        <f t="shared" si="179"/>
        <v>0.000965881666957889i</v>
      </c>
      <c r="AH302" s="98">
        <f t="shared" si="193"/>
        <v>9.6588166695788901E-4</v>
      </c>
      <c r="AI302" s="98">
        <f t="shared" si="194"/>
        <v>1.5707963267948966</v>
      </c>
      <c r="AJ302" s="98" t="str">
        <f t="shared" si="180"/>
        <v>1+0.106994048001413i</v>
      </c>
      <c r="AK302" s="98">
        <f t="shared" si="195"/>
        <v>1.0057075749479709</v>
      </c>
      <c r="AL302" s="98">
        <f t="shared" si="196"/>
        <v>0.10658855007022269</v>
      </c>
      <c r="AM302" s="98" t="str">
        <f t="shared" si="181"/>
        <v>1+10.8063988481427i</v>
      </c>
      <c r="AN302" s="98">
        <f t="shared" si="197"/>
        <v>10.852569099763423</v>
      </c>
      <c r="AO302" s="98">
        <f t="shared" si="198"/>
        <v>1.4785213536014066</v>
      </c>
      <c r="AP302" s="168" t="str">
        <f t="shared" si="199"/>
        <v>-0.894038383747576+0.180172990839874i</v>
      </c>
      <c r="AQ302" s="98">
        <f t="shared" si="200"/>
        <v>-0.79998346323037794</v>
      </c>
      <c r="AR302" s="169">
        <f t="shared" si="201"/>
        <v>168.60595941788759</v>
      </c>
      <c r="AS302" s="168" t="str">
        <f t="shared" si="202"/>
        <v>0.106873737162769+0.566058410408449i</v>
      </c>
      <c r="AT302" s="190">
        <f t="shared" si="203"/>
        <v>-4.7906587369506051</v>
      </c>
      <c r="AU302" s="169">
        <f t="shared" si="204"/>
        <v>79.308220247129441</v>
      </c>
      <c r="AV302" s="225"/>
      <c r="AX302">
        <f t="shared" si="205"/>
        <v>0</v>
      </c>
      <c r="AY302">
        <f t="shared" si="206"/>
        <v>0</v>
      </c>
    </row>
    <row r="303" spans="14:51" x14ac:dyDescent="0.2">
      <c r="N303" s="170">
        <v>85</v>
      </c>
      <c r="O303" s="199">
        <f t="shared" si="207"/>
        <v>7079.4578438413828</v>
      </c>
      <c r="P303" s="189" t="str">
        <f t="shared" si="173"/>
        <v>6.8875</v>
      </c>
      <c r="Q303" s="160" t="str">
        <f t="shared" si="174"/>
        <v>1+11.1203863768054i</v>
      </c>
      <c r="R303" s="160">
        <f t="shared" si="182"/>
        <v>11.165258311809858</v>
      </c>
      <c r="S303" s="160">
        <f t="shared" si="183"/>
        <v>1.4811126169349775</v>
      </c>
      <c r="T303" s="160" t="str">
        <f t="shared" si="175"/>
        <v>1+0.0177926182028886i</v>
      </c>
      <c r="U303" s="160">
        <f t="shared" si="184"/>
        <v>1.000158276105594</v>
      </c>
      <c r="V303" s="160">
        <f t="shared" si="185"/>
        <v>1.7790740979992812E-2</v>
      </c>
      <c r="W303" s="98" t="str">
        <f t="shared" si="176"/>
        <v>1-0.046206591593374i</v>
      </c>
      <c r="X303" s="160">
        <f t="shared" si="186"/>
        <v>1.0010669553564722</v>
      </c>
      <c r="Y303" s="160">
        <f t="shared" si="187"/>
        <v>-4.6173749207814932E-2</v>
      </c>
      <c r="Z303" s="98" t="str">
        <f t="shared" si="177"/>
        <v>0.998964489186721+0.0529668046904103i</v>
      </c>
      <c r="AA303" s="160">
        <f t="shared" si="188"/>
        <v>1.000367698926349</v>
      </c>
      <c r="AB303" s="160">
        <f t="shared" si="189"/>
        <v>5.2972106213361542E-2</v>
      </c>
      <c r="AC303" s="171" t="str">
        <f t="shared" si="190"/>
        <v>0.0051419965413868-0.617376326971099i</v>
      </c>
      <c r="AD303" s="190">
        <f t="shared" si="191"/>
        <v>-4.1886992933551612</v>
      </c>
      <c r="AE303" s="169">
        <f t="shared" si="192"/>
        <v>-89.522806633234467</v>
      </c>
      <c r="AF303" s="98" t="str">
        <f t="shared" si="178"/>
        <v>-0.0000816326530612245</v>
      </c>
      <c r="AG303" s="98" t="str">
        <f t="shared" si="179"/>
        <v>0.000988379941170461i</v>
      </c>
      <c r="AH303" s="98">
        <f t="shared" si="193"/>
        <v>9.8837994117046096E-4</v>
      </c>
      <c r="AI303" s="98">
        <f t="shared" si="194"/>
        <v>1.5707963267948966</v>
      </c>
      <c r="AJ303" s="98" t="str">
        <f t="shared" si="180"/>
        <v>1+0.109486259535596i</v>
      </c>
      <c r="AK303" s="98">
        <f t="shared" si="195"/>
        <v>1.0059757656261386</v>
      </c>
      <c r="AL303" s="98">
        <f t="shared" si="196"/>
        <v>0.10905189995149142</v>
      </c>
      <c r="AM303" s="98" t="str">
        <f t="shared" si="181"/>
        <v>1+11.0581122130952i</v>
      </c>
      <c r="AN303" s="98">
        <f t="shared" si="197"/>
        <v>11.103235821930705</v>
      </c>
      <c r="AO303" s="98">
        <f t="shared" si="198"/>
        <v>1.4806102863941311</v>
      </c>
      <c r="AP303" s="168" t="str">
        <f t="shared" si="199"/>
        <v>-0.893561750398694+0.180425115107103i</v>
      </c>
      <c r="AQ303" s="98">
        <f t="shared" si="200"/>
        <v>-0.80395932539794801</v>
      </c>
      <c r="AR303" s="169">
        <f t="shared" si="201"/>
        <v>168.58450689893641</v>
      </c>
      <c r="AS303" s="168" t="str">
        <f t="shared" si="202"/>
        <v>0.106795503428095+0.552591616700872i</v>
      </c>
      <c r="AT303" s="190">
        <f t="shared" si="203"/>
        <v>-4.9926586187531043</v>
      </c>
      <c r="AU303" s="169">
        <f t="shared" si="204"/>
        <v>79.061700265701987</v>
      </c>
      <c r="AV303" s="225"/>
      <c r="AX303">
        <f t="shared" si="205"/>
        <v>0</v>
      </c>
      <c r="AY303">
        <f t="shared" si="206"/>
        <v>0</v>
      </c>
    </row>
    <row r="304" spans="14:51" x14ac:dyDescent="0.2">
      <c r="N304" s="170">
        <v>86</v>
      </c>
      <c r="O304" s="199">
        <f t="shared" si="207"/>
        <v>7244.3596007499036</v>
      </c>
      <c r="P304" s="189" t="str">
        <f t="shared" si="173"/>
        <v>6.8875</v>
      </c>
      <c r="Q304" s="160" t="str">
        <f t="shared" si="174"/>
        <v>1+11.3794134508393i</v>
      </c>
      <c r="R304" s="160">
        <f t="shared" si="182"/>
        <v>11.423267942455976</v>
      </c>
      <c r="S304" s="160">
        <f t="shared" si="183"/>
        <v>1.4831435065536376</v>
      </c>
      <c r="T304" s="160" t="str">
        <f t="shared" si="175"/>
        <v>1+0.0182070615213429i</v>
      </c>
      <c r="U304" s="160">
        <f t="shared" si="184"/>
        <v>1.0001657348106072</v>
      </c>
      <c r="V304" s="160">
        <f t="shared" si="185"/>
        <v>1.8205050058771478E-2</v>
      </c>
      <c r="W304" s="98" t="str">
        <f t="shared" si="176"/>
        <v>1-0.0472828813746785i</v>
      </c>
      <c r="X304" s="160">
        <f t="shared" si="186"/>
        <v>1.0011172113549403</v>
      </c>
      <c r="Y304" s="160">
        <f t="shared" si="187"/>
        <v>-4.7247692245221837E-2</v>
      </c>
      <c r="Z304" s="98" t="str">
        <f t="shared" si="177"/>
        <v>0.9989156870656+0.0542005600632004i</v>
      </c>
      <c r="AA304" s="160">
        <f t="shared" si="188"/>
        <v>1.0003850511562558</v>
      </c>
      <c r="AB304" s="160">
        <f t="shared" si="189"/>
        <v>5.4206240055973763E-2</v>
      </c>
      <c r="AC304" s="171" t="str">
        <f t="shared" si="190"/>
        <v>0.00265766811898314-0.603471469882668i</v>
      </c>
      <c r="AD304" s="190">
        <f t="shared" si="191"/>
        <v>-4.3867809112502512</v>
      </c>
      <c r="AE304" s="169">
        <f t="shared" si="192"/>
        <v>-89.747672939429478</v>
      </c>
      <c r="AF304" s="98" t="str">
        <f t="shared" si="178"/>
        <v>-0.0000816326530612245</v>
      </c>
      <c r="AG304" s="98" t="str">
        <f t="shared" si="179"/>
        <v>0.0010114022675106i</v>
      </c>
      <c r="AH304" s="98">
        <f t="shared" si="193"/>
        <v>1.0114022675106E-3</v>
      </c>
      <c r="AI304" s="98">
        <f t="shared" si="194"/>
        <v>1.5707963267948966</v>
      </c>
      <c r="AJ304" s="98" t="str">
        <f t="shared" si="180"/>
        <v>1+0.112036522133808i</v>
      </c>
      <c r="AK304" s="98">
        <f t="shared" si="195"/>
        <v>1.0062565191301069</v>
      </c>
      <c r="AL304" s="98">
        <f t="shared" si="196"/>
        <v>0.11157125360392622</v>
      </c>
      <c r="AM304" s="98" t="str">
        <f t="shared" si="181"/>
        <v>1+11.3156887355146i</v>
      </c>
      <c r="AN304" s="98">
        <f t="shared" si="197"/>
        <v>11.359789239200348</v>
      </c>
      <c r="AO304" s="98">
        <f t="shared" si="198"/>
        <v>1.482652432165787</v>
      </c>
      <c r="AP304" s="168" t="str">
        <f t="shared" si="199"/>
        <v>-0.893063198408759+0.180768044058926i</v>
      </c>
      <c r="AQ304" s="98">
        <f t="shared" si="200"/>
        <v>-0.80796889567298158</v>
      </c>
      <c r="AR304" s="169">
        <f t="shared" si="201"/>
        <v>168.55716490141737</v>
      </c>
      <c r="AS304" s="168" t="str">
        <f t="shared" si="202"/>
        <v>0.106714891665407+0.539418582509477i</v>
      </c>
      <c r="AT304" s="190">
        <f t="shared" si="203"/>
        <v>-5.1947498069232312</v>
      </c>
      <c r="AU304" s="169">
        <f t="shared" si="204"/>
        <v>78.809491961987888</v>
      </c>
      <c r="AV304" s="225"/>
      <c r="AX304">
        <f t="shared" si="205"/>
        <v>0</v>
      </c>
      <c r="AY304">
        <f t="shared" si="206"/>
        <v>0</v>
      </c>
    </row>
    <row r="305" spans="14:51" x14ac:dyDescent="0.2">
      <c r="N305" s="170">
        <v>87</v>
      </c>
      <c r="O305" s="199">
        <f t="shared" si="207"/>
        <v>7413.1024130091773</v>
      </c>
      <c r="P305" s="189" t="str">
        <f t="shared" si="173"/>
        <v>6.8875</v>
      </c>
      <c r="Q305" s="160" t="str">
        <f t="shared" si="174"/>
        <v>1+11.6444740405092i</v>
      </c>
      <c r="R305" s="160">
        <f t="shared" si="182"/>
        <v>11.687333985135046</v>
      </c>
      <c r="S305" s="160">
        <f t="shared" si="183"/>
        <v>1.4851288681940467</v>
      </c>
      <c r="T305" s="160" t="str">
        <f t="shared" si="175"/>
        <v>1+0.0186311584648147i</v>
      </c>
      <c r="U305" s="160">
        <f t="shared" si="184"/>
        <v>1.0001735449739415</v>
      </c>
      <c r="V305" s="160">
        <f t="shared" si="185"/>
        <v>1.8629003164035405E-2</v>
      </c>
      <c r="W305" s="98" t="str">
        <f t="shared" si="176"/>
        <v>1-0.0483842411655507i</v>
      </c>
      <c r="X305" s="160">
        <f t="shared" si="186"/>
        <v>1.0011698331417933</v>
      </c>
      <c r="Y305" s="160">
        <f t="shared" si="187"/>
        <v>-4.8346537713118483E-2</v>
      </c>
      <c r="Z305" s="98" t="str">
        <f t="shared" si="177"/>
        <v>0.998864584971369+0.055463053290365i</v>
      </c>
      <c r="AA305" s="160">
        <f t="shared" si="188"/>
        <v>1.0004032234006022</v>
      </c>
      <c r="AB305" s="160">
        <f t="shared" si="189"/>
        <v>5.5469138736519721E-2</v>
      </c>
      <c r="AC305" s="171" t="str">
        <f t="shared" si="190"/>
        <v>0.000283599440994899-0.589867057394205i</v>
      </c>
      <c r="AD305" s="190">
        <f t="shared" si="191"/>
        <v>-4.5849161444804984</v>
      </c>
      <c r="AE305" s="169">
        <f t="shared" si="192"/>
        <v>-89.972453030584475</v>
      </c>
      <c r="AF305" s="98" t="str">
        <f t="shared" si="178"/>
        <v>-0.0000816326530612245</v>
      </c>
      <c r="AG305" s="98" t="str">
        <f t="shared" si="179"/>
        <v>0.00103496085272046i</v>
      </c>
      <c r="AH305" s="98">
        <f t="shared" si="193"/>
        <v>1.0349608527204599E-3</v>
      </c>
      <c r="AI305" s="98">
        <f t="shared" si="194"/>
        <v>1.5707963267948966</v>
      </c>
      <c r="AJ305" s="98" t="str">
        <f t="shared" si="180"/>
        <v>1+0.114646187979033i</v>
      </c>
      <c r="AK305" s="98">
        <f t="shared" si="195"/>
        <v>1.0065504202066202</v>
      </c>
      <c r="AL305" s="98">
        <f t="shared" si="196"/>
        <v>0.11414781882716916</v>
      </c>
      <c r="AM305" s="98" t="str">
        <f t="shared" si="181"/>
        <v>1+11.5792649858824i</v>
      </c>
      <c r="AN305" s="98">
        <f t="shared" si="197"/>
        <v>11.622365405255598</v>
      </c>
      <c r="AO305" s="98">
        <f t="shared" si="198"/>
        <v>1.4846488055195191</v>
      </c>
      <c r="AP305" s="168" t="str">
        <f t="shared" si="199"/>
        <v>-0.892541746307192+0.181201620717358i</v>
      </c>
      <c r="AQ305" s="98">
        <f t="shared" si="200"/>
        <v>-0.81202041367250388</v>
      </c>
      <c r="AR305" s="169">
        <f t="shared" si="201"/>
        <v>168.52392235598671</v>
      </c>
      <c r="AS305" s="168" t="str">
        <f t="shared" si="202"/>
        <v>0.106631742467291+0.526532362174051i</v>
      </c>
      <c r="AT305" s="190">
        <f t="shared" si="203"/>
        <v>-5.3969365581530067</v>
      </c>
      <c r="AU305" s="169">
        <f t="shared" si="204"/>
        <v>78.551469325402294</v>
      </c>
      <c r="AV305" s="225"/>
      <c r="AX305">
        <f t="shared" si="205"/>
        <v>0</v>
      </c>
      <c r="AY305">
        <f t="shared" si="206"/>
        <v>0</v>
      </c>
    </row>
    <row r="306" spans="14:51" x14ac:dyDescent="0.2">
      <c r="N306" s="170">
        <v>88</v>
      </c>
      <c r="O306" s="199">
        <f t="shared" si="207"/>
        <v>7585.7757502918394</v>
      </c>
      <c r="P306" s="189" t="str">
        <f t="shared" si="173"/>
        <v>6.8875</v>
      </c>
      <c r="Q306" s="160" t="str">
        <f t="shared" si="174"/>
        <v>1+11.9157086844482i</v>
      </c>
      <c r="R306" s="160">
        <f t="shared" si="182"/>
        <v>11.957596474736647</v>
      </c>
      <c r="S306" s="160">
        <f t="shared" si="183"/>
        <v>1.4870696918815161</v>
      </c>
      <c r="T306" s="160" t="str">
        <f t="shared" si="175"/>
        <v>1+0.0190651338951172i</v>
      </c>
      <c r="U306" s="160">
        <f t="shared" si="184"/>
        <v>1.000181723153567</v>
      </c>
      <c r="V306" s="160">
        <f t="shared" si="185"/>
        <v>1.9062824471385315E-2</v>
      </c>
      <c r="W306" s="98" t="str">
        <f t="shared" si="176"/>
        <v>1-0.04951125492153i</v>
      </c>
      <c r="X306" s="160">
        <f t="shared" si="186"/>
        <v>1.0012249319528079</v>
      </c>
      <c r="Y306" s="160">
        <f t="shared" si="187"/>
        <v>-4.9470857613375455E-2</v>
      </c>
      <c r="Z306" s="98" t="str">
        <f t="shared" si="177"/>
        <v>0.998811074509634+0.0567549537625245i</v>
      </c>
      <c r="AA306" s="160">
        <f t="shared" si="188"/>
        <v>1.000422254520398</v>
      </c>
      <c r="AB306" s="160">
        <f t="shared" si="189"/>
        <v>5.6761473565178848E-2</v>
      </c>
      <c r="AC306" s="171" t="str">
        <f t="shared" si="190"/>
        <v>-0.00198502022839504-0.576557160482434i</v>
      </c>
      <c r="AD306" s="190">
        <f t="shared" si="191"/>
        <v>-4.7831011178579752</v>
      </c>
      <c r="AE306" s="169">
        <f t="shared" si="192"/>
        <v>-90.197262023188699</v>
      </c>
      <c r="AF306" s="98" t="str">
        <f t="shared" si="178"/>
        <v>-0.0000816326530612245</v>
      </c>
      <c r="AG306" s="98" t="str">
        <f t="shared" si="179"/>
        <v>0.00105906818787376i</v>
      </c>
      <c r="AH306" s="98">
        <f t="shared" si="193"/>
        <v>1.05906818787376E-3</v>
      </c>
      <c r="AI306" s="98">
        <f t="shared" si="194"/>
        <v>1.5707963267948966</v>
      </c>
      <c r="AJ306" s="98" t="str">
        <f t="shared" si="180"/>
        <v>1+0.117316640750647i</v>
      </c>
      <c r="AK306" s="98">
        <f t="shared" si="195"/>
        <v>1.0068580804646783</v>
      </c>
      <c r="AL306" s="98">
        <f t="shared" si="196"/>
        <v>0.11678282483603136</v>
      </c>
      <c r="AM306" s="98" t="str">
        <f t="shared" si="181"/>
        <v>1+11.8489807158153i</v>
      </c>
      <c r="AN306" s="98">
        <f t="shared" si="197"/>
        <v>11.891103565429193</v>
      </c>
      <c r="AO306" s="98">
        <f t="shared" si="198"/>
        <v>1.4866004012711318</v>
      </c>
      <c r="AP306" s="168" t="str">
        <f t="shared" si="199"/>
        <v>-0.891996371193551+0.181725712977222i</v>
      </c>
      <c r="AQ306" s="98">
        <f t="shared" si="200"/>
        <v>-0.81612219733721858</v>
      </c>
      <c r="AR306" s="169">
        <f t="shared" si="201"/>
        <v>168.48476583257033</v>
      </c>
      <c r="AS306" s="168" t="str">
        <f t="shared" si="202"/>
        <v>0.106545891901267+0.51392616571971i</v>
      </c>
      <c r="AT306" s="190">
        <f t="shared" si="203"/>
        <v>-5.5992233151951885</v>
      </c>
      <c r="AU306" s="169">
        <f t="shared" si="204"/>
        <v>78.287503809381661</v>
      </c>
      <c r="AV306" s="225"/>
      <c r="AX306">
        <f t="shared" si="205"/>
        <v>0</v>
      </c>
      <c r="AY306">
        <f t="shared" si="206"/>
        <v>0</v>
      </c>
    </row>
    <row r="307" spans="14:51" x14ac:dyDescent="0.2">
      <c r="N307" s="170">
        <v>89</v>
      </c>
      <c r="O307" s="199">
        <f t="shared" si="207"/>
        <v>7762.4711662869322</v>
      </c>
      <c r="P307" s="189" t="str">
        <f t="shared" si="173"/>
        <v>6.8875</v>
      </c>
      <c r="Q307" s="160" t="str">
        <f t="shared" si="174"/>
        <v>1+12.1932611948548i</v>
      </c>
      <c r="R307" s="160">
        <f t="shared" si="182"/>
        <v>12.234198730033443</v>
      </c>
      <c r="S307" s="160">
        <f t="shared" si="183"/>
        <v>1.4889669481484531</v>
      </c>
      <c r="T307" s="160" t="str">
        <f t="shared" si="175"/>
        <v>1+0.0195092179117677i</v>
      </c>
      <c r="U307" s="160">
        <f t="shared" si="184"/>
        <v>1.0001902866872527</v>
      </c>
      <c r="V307" s="160">
        <f t="shared" si="185"/>
        <v>1.9506743345081276E-2</v>
      </c>
      <c r="W307" s="98" t="str">
        <f t="shared" si="176"/>
        <v>1-0.0506645202002277i</v>
      </c>
      <c r="X307" s="160">
        <f t="shared" si="186"/>
        <v>1.0012826242410877</v>
      </c>
      <c r="Y307" s="160">
        <f t="shared" si="187"/>
        <v>-5.0621236698846474E-2</v>
      </c>
      <c r="Z307" s="98" t="str">
        <f t="shared" si="177"/>
        <v>0.998755042177532+0.0580769464624096i</v>
      </c>
      <c r="AA307" s="160">
        <f t="shared" si="188"/>
        <v>1.0004421852288323</v>
      </c>
      <c r="AB307" s="160">
        <f t="shared" si="189"/>
        <v>5.8083931580272002E-2</v>
      </c>
      <c r="AC307" s="171" t="str">
        <f t="shared" si="190"/>
        <v>-0.00415279746814127-0.563535922591595i</v>
      </c>
      <c r="AD307" s="190">
        <f t="shared" si="191"/>
        <v>-4.9813320563778625</v>
      </c>
      <c r="AE307" s="169">
        <f t="shared" si="192"/>
        <v>-90.422215251315649</v>
      </c>
      <c r="AF307" s="98" t="str">
        <f t="shared" si="178"/>
        <v>-0.0000816326530612245</v>
      </c>
      <c r="AG307" s="98" t="str">
        <f t="shared" si="179"/>
        <v>0.0010837370549987i</v>
      </c>
      <c r="AH307" s="98">
        <f t="shared" si="193"/>
        <v>1.0837370549987E-3</v>
      </c>
      <c r="AI307" s="98">
        <f t="shared" si="194"/>
        <v>1.5707963267948966</v>
      </c>
      <c r="AJ307" s="98" t="str">
        <f t="shared" si="180"/>
        <v>1+0.120049296358056i</v>
      </c>
      <c r="AK307" s="98">
        <f t="shared" si="195"/>
        <v>1.0071801395758677</v>
      </c>
      <c r="AL307" s="98">
        <f t="shared" si="196"/>
        <v>0.11947752230239091</v>
      </c>
      <c r="AM307" s="98" t="str">
        <f t="shared" si="181"/>
        <v>1+12.1249789321636i</v>
      </c>
      <c r="AN307" s="98">
        <f t="shared" si="197"/>
        <v>12.166146230643916</v>
      </c>
      <c r="AO307" s="98">
        <f t="shared" si="198"/>
        <v>1.48850819468475</v>
      </c>
      <c r="AP307" s="168" t="str">
        <f t="shared" si="199"/>
        <v>-0.891426007229576+0.182340212000785i</v>
      </c>
      <c r="AQ307" s="98">
        <f t="shared" si="200"/>
        <v>-0.82028265832054692</v>
      </c>
      <c r="AR307" s="169">
        <f t="shared" si="201"/>
        <v>168.43967955146644</v>
      </c>
      <c r="AS307" s="168" t="str">
        <f t="shared" si="202"/>
        <v>0.106457171261268+0.501593355435524i</v>
      </c>
      <c r="AT307" s="190">
        <f t="shared" si="203"/>
        <v>-5.8016147146984061</v>
      </c>
      <c r="AU307" s="169">
        <f t="shared" si="204"/>
        <v>78.017464300150735</v>
      </c>
      <c r="AV307" s="225"/>
      <c r="AX307">
        <f t="shared" si="205"/>
        <v>0</v>
      </c>
      <c r="AY307">
        <f t="shared" si="206"/>
        <v>0</v>
      </c>
    </row>
    <row r="308" spans="14:51" x14ac:dyDescent="0.2">
      <c r="N308" s="170">
        <v>90</v>
      </c>
      <c r="O308" s="199">
        <f t="shared" si="207"/>
        <v>7943.2823472428154</v>
      </c>
      <c r="P308" s="189" t="str">
        <f t="shared" si="173"/>
        <v>6.8875</v>
      </c>
      <c r="Q308" s="160" t="str">
        <f t="shared" si="174"/>
        <v>1+12.4772787337437i</v>
      </c>
      <c r="R308" s="160">
        <f t="shared" si="182"/>
        <v>12.517287429772189</v>
      </c>
      <c r="S308" s="160">
        <f t="shared" si="183"/>
        <v>1.4908215882802129</v>
      </c>
      <c r="T308" s="160" t="str">
        <f t="shared" si="175"/>
        <v>1+0.01996364597399i</v>
      </c>
      <c r="U308" s="160">
        <f t="shared" si="184"/>
        <v>1.000199253729263</v>
      </c>
      <c r="V308" s="160">
        <f t="shared" si="185"/>
        <v>1.9960994456541422E-2</v>
      </c>
      <c r="W308" s="98" t="str">
        <f t="shared" si="176"/>
        <v>1-0.0518446484781596i</v>
      </c>
      <c r="X308" s="160">
        <f t="shared" si="186"/>
        <v>1.0013430319205421</v>
      </c>
      <c r="Y308" s="160">
        <f t="shared" si="187"/>
        <v>-5.1798272729797132E-2</v>
      </c>
      <c r="Z308" s="98" t="str">
        <f t="shared" si="177"/>
        <v>0.998696369122975+0.0594297323280482i</v>
      </c>
      <c r="AA308" s="160">
        <f t="shared" si="188"/>
        <v>1.0004630581805591</v>
      </c>
      <c r="AB308" s="160">
        <f t="shared" si="189"/>
        <v>5.9437215921024349E-2</v>
      </c>
      <c r="AC308" s="171" t="str">
        <f t="shared" si="190"/>
        <v>-0.00622414278941104-0.550797561896466i</v>
      </c>
      <c r="AD308" s="190">
        <f t="shared" si="191"/>
        <v>-5.179605277832958</v>
      </c>
      <c r="AE308" s="169">
        <f t="shared" si="192"/>
        <v>-90.647428309969854</v>
      </c>
      <c r="AF308" s="98" t="str">
        <f t="shared" si="178"/>
        <v>-0.0000816326530612245</v>
      </c>
      <c r="AG308" s="98" t="str">
        <f t="shared" si="179"/>
        <v>0.00110898053385515i</v>
      </c>
      <c r="AH308" s="98">
        <f t="shared" si="193"/>
        <v>1.1089805338551501E-3</v>
      </c>
      <c r="AI308" s="98">
        <f t="shared" si="194"/>
        <v>1.5707963267948966</v>
      </c>
      <c r="AJ308" s="98" t="str">
        <f t="shared" si="180"/>
        <v>1+0.122845603691434i</v>
      </c>
      <c r="AK308" s="98">
        <f t="shared" si="195"/>
        <v>1.0075172665251513</v>
      </c>
      <c r="AL308" s="98">
        <f t="shared" si="196"/>
        <v>0.12223318336818051</v>
      </c>
      <c r="AM308" s="98" t="str">
        <f t="shared" si="181"/>
        <v>1+12.4074059728348i</v>
      </c>
      <c r="AN308" s="98">
        <f t="shared" si="197"/>
        <v>12.447639253076732</v>
      </c>
      <c r="AO308" s="98">
        <f t="shared" si="198"/>
        <v>1.4903731417167971</v>
      </c>
      <c r="AP308" s="168" t="str">
        <f t="shared" si="199"/>
        <v>-0.890829544099959+0.183045030529329i</v>
      </c>
      <c r="AQ308" s="98">
        <f t="shared" si="200"/>
        <v>-0.82451031747605774</v>
      </c>
      <c r="AR308" s="169">
        <f t="shared" si="201"/>
        <v>168.3886453965799</v>
      </c>
      <c r="AS308" s="168" t="str">
        <f t="shared" si="202"/>
        <v>0.106365406816323+0.489527442548691i</v>
      </c>
      <c r="AT308" s="190">
        <f t="shared" si="203"/>
        <v>-6.0041155953090151</v>
      </c>
      <c r="AU308" s="169">
        <f t="shared" si="204"/>
        <v>77.741217086610021</v>
      </c>
      <c r="AV308" s="225"/>
      <c r="AX308">
        <f t="shared" si="205"/>
        <v>0</v>
      </c>
      <c r="AY308">
        <f t="shared" si="206"/>
        <v>0</v>
      </c>
    </row>
    <row r="309" spans="14:51" x14ac:dyDescent="0.2">
      <c r="N309" s="170">
        <v>91</v>
      </c>
      <c r="O309" s="199">
        <f t="shared" si="207"/>
        <v>8128.3051616410066</v>
      </c>
      <c r="P309" s="189" t="str">
        <f t="shared" si="173"/>
        <v>6.8875</v>
      </c>
      <c r="Q309" s="160" t="str">
        <f t="shared" si="174"/>
        <v>1+12.7679118909737i</v>
      </c>
      <c r="R309" s="160">
        <f t="shared" si="182"/>
        <v>12.807012690540585</v>
      </c>
      <c r="S309" s="160">
        <f t="shared" si="183"/>
        <v>1.492634544568006</v>
      </c>
      <c r="T309" s="160" t="str">
        <f t="shared" si="175"/>
        <v>1+0.0204286590255579i</v>
      </c>
      <c r="U309" s="160">
        <f t="shared" si="184"/>
        <v>1.0002086432887802</v>
      </c>
      <c r="V309" s="160">
        <f t="shared" si="185"/>
        <v>2.0425817905431708E-2</v>
      </c>
      <c r="W309" s="98" t="str">
        <f t="shared" si="176"/>
        <v>1-0.05305226547496i</v>
      </c>
      <c r="X309" s="160">
        <f t="shared" si="186"/>
        <v>1.0014062826206083</v>
      </c>
      <c r="Y309" s="160">
        <f t="shared" si="187"/>
        <v>-5.3002576733451372E-2</v>
      </c>
      <c r="Z309" s="98" t="str">
        <f t="shared" si="177"/>
        <v>0.998634930892546+0.0608140286244129i</v>
      </c>
      <c r="AA309" s="160">
        <f t="shared" si="188"/>
        <v>1.0004849180653805</v>
      </c>
      <c r="AB309" s="160">
        <f t="shared" si="189"/>
        <v>6.0822046209455256E-2</v>
      </c>
      <c r="AC309" s="171" t="str">
        <f t="shared" si="190"/>
        <v>-0.00820327845224973-0.538336373269773i</v>
      </c>
      <c r="AD309" s="190">
        <f t="shared" si="191"/>
        <v>-5.3779171855877985</v>
      </c>
      <c r="AE309" s="169">
        <f t="shared" si="192"/>
        <v>-90.873017099391049</v>
      </c>
      <c r="AF309" s="98" t="str">
        <f t="shared" si="178"/>
        <v>-0.0000816326530612245</v>
      </c>
      <c r="AG309" s="98" t="str">
        <f t="shared" si="179"/>
        <v>0.00113481200886974i</v>
      </c>
      <c r="AH309" s="98">
        <f t="shared" si="193"/>
        <v>1.13481200886974E-3</v>
      </c>
      <c r="AI309" s="98">
        <f t="shared" si="194"/>
        <v>1.5707963267948966</v>
      </c>
      <c r="AJ309" s="98" t="str">
        <f t="shared" si="180"/>
        <v>1+0.125707045389943i</v>
      </c>
      <c r="AK309" s="98">
        <f t="shared" si="195"/>
        <v>1.0078701609139291</v>
      </c>
      <c r="AL309" s="98">
        <f t="shared" si="196"/>
        <v>0.12505110162696043</v>
      </c>
      <c r="AM309" s="98" t="str">
        <f t="shared" si="181"/>
        <v>1+12.6964115843843i</v>
      </c>
      <c r="AN309" s="98">
        <f t="shared" si="197"/>
        <v>12.73573190358873</v>
      </c>
      <c r="AO309" s="98">
        <f t="shared" si="198"/>
        <v>1.4921961792672715</v>
      </c>
      <c r="AP309" s="168" t="str">
        <f t="shared" si="199"/>
        <v>-0.890205825443894+0.183840101105552i</v>
      </c>
      <c r="AQ309" s="98">
        <f t="shared" si="200"/>
        <v>-0.8288138204570511</v>
      </c>
      <c r="AR309" s="169">
        <f t="shared" si="201"/>
        <v>168.33164293087506</v>
      </c>
      <c r="AS309" s="168" t="str">
        <f t="shared" si="202"/>
        <v>0.106270419556642+0.477722083993032i</v>
      </c>
      <c r="AT309" s="190">
        <f t="shared" si="203"/>
        <v>-6.2067310060448522</v>
      </c>
      <c r="AU309" s="169">
        <f t="shared" si="204"/>
        <v>77.458625831484056</v>
      </c>
      <c r="AV309" s="225"/>
      <c r="AX309">
        <f t="shared" si="205"/>
        <v>0</v>
      </c>
      <c r="AY309">
        <f t="shared" si="206"/>
        <v>0</v>
      </c>
    </row>
    <row r="310" spans="14:51" x14ac:dyDescent="0.2">
      <c r="N310" s="170">
        <v>92</v>
      </c>
      <c r="O310" s="199">
        <f t="shared" si="207"/>
        <v>8317.6377110267094</v>
      </c>
      <c r="P310" s="189" t="str">
        <f t="shared" si="173"/>
        <v>6.8875</v>
      </c>
      <c r="Q310" s="160" t="str">
        <f t="shared" si="174"/>
        <v>1+13.0653147640915i</v>
      </c>
      <c r="R310" s="160">
        <f t="shared" si="182"/>
        <v>13.103528146449234</v>
      </c>
      <c r="S310" s="160">
        <f t="shared" si="183"/>
        <v>1.494406730567899</v>
      </c>
      <c r="T310" s="160" t="str">
        <f t="shared" si="175"/>
        <v>1+0.0209045036225464i</v>
      </c>
      <c r="U310" s="160">
        <f t="shared" si="184"/>
        <v>1.0002184752701306</v>
      </c>
      <c r="V310" s="160">
        <f t="shared" si="185"/>
        <v>2.0901459343395414E-2</v>
      </c>
      <c r="W310" s="98" t="str">
        <f t="shared" si="176"/>
        <v>1-0.0542880114851446i</v>
      </c>
      <c r="X310" s="160">
        <f t="shared" si="186"/>
        <v>1.0014725099527253</v>
      </c>
      <c r="Y310" s="160">
        <f t="shared" si="187"/>
        <v>-5.4234773266525323E-2</v>
      </c>
      <c r="Z310" s="98" t="str">
        <f t="shared" si="177"/>
        <v>0.998570597167523+0.0622305693237228i</v>
      </c>
      <c r="AA310" s="160">
        <f t="shared" si="188"/>
        <v>1.0005078117065644</v>
      </c>
      <c r="AB310" s="160">
        <f t="shared" si="189"/>
        <v>6.2239158941633406E-2</v>
      </c>
      <c r="AC310" s="171" t="str">
        <f t="shared" si="190"/>
        <v>-0.0100942460143426-0.526146729975135i</v>
      </c>
      <c r="AD310" s="190">
        <f t="shared" si="191"/>
        <v>-5.5762642614991194</v>
      </c>
      <c r="AE310" s="169">
        <f t="shared" si="192"/>
        <v>-91.099097870264075</v>
      </c>
      <c r="AF310" s="98" t="str">
        <f t="shared" si="178"/>
        <v>-0.0000816326530612245</v>
      </c>
      <c r="AG310" s="98" t="str">
        <f t="shared" si="179"/>
        <v>0.00116124517623245i</v>
      </c>
      <c r="AH310" s="98">
        <f t="shared" si="193"/>
        <v>1.1612451762324501E-3</v>
      </c>
      <c r="AI310" s="98">
        <f t="shared" si="194"/>
        <v>1.5707963267948966</v>
      </c>
      <c r="AJ310" s="98" t="str">
        <f t="shared" si="180"/>
        <v>1+0.128635138627847i</v>
      </c>
      <c r="AK310" s="98">
        <f t="shared" si="195"/>
        <v>1.0082395543172296</v>
      </c>
      <c r="AL310" s="98">
        <f t="shared" si="196"/>
        <v>0.12793259207144211</v>
      </c>
      <c r="AM310" s="98" t="str">
        <f t="shared" si="181"/>
        <v>1+12.9921490014126i</v>
      </c>
      <c r="AN310" s="98">
        <f t="shared" si="197"/>
        <v>13.030576950960629</v>
      </c>
      <c r="AO310" s="98">
        <f t="shared" si="198"/>
        <v>1.493978225437347</v>
      </c>
      <c r="AP310" s="168" t="str">
        <f t="shared" si="199"/>
        <v>-0.889553647259698+0.184725374200496i</v>
      </c>
      <c r="AQ310" s="98">
        <f t="shared" si="200"/>
        <v>-0.83320195344251113</v>
      </c>
      <c r="AR310" s="169">
        <f t="shared" si="201"/>
        <v>168.26864941414183</v>
      </c>
      <c r="AS310" s="168" t="str">
        <f t="shared" si="202"/>
        <v>0.106172024937419+0.466171079270873i</v>
      </c>
      <c r="AT310" s="190">
        <f t="shared" si="203"/>
        <v>-6.4094662149416406</v>
      </c>
      <c r="AU310" s="169">
        <f t="shared" si="204"/>
        <v>77.169551543877759</v>
      </c>
      <c r="AV310" s="225"/>
      <c r="AX310">
        <f t="shared" si="205"/>
        <v>0</v>
      </c>
      <c r="AY310">
        <f t="shared" si="206"/>
        <v>0</v>
      </c>
    </row>
    <row r="311" spans="14:51" x14ac:dyDescent="0.2">
      <c r="N311" s="170">
        <v>93</v>
      </c>
      <c r="O311" s="199">
        <f t="shared" si="207"/>
        <v>8511.3803820237772</v>
      </c>
      <c r="P311" s="189" t="str">
        <f t="shared" si="173"/>
        <v>6.8875</v>
      </c>
      <c r="Q311" s="160" t="str">
        <f t="shared" si="174"/>
        <v>1+13.3696450400371i</v>
      </c>
      <c r="R311" s="160">
        <f t="shared" si="182"/>
        <v>13.406991030674579</v>
      </c>
      <c r="S311" s="160">
        <f t="shared" si="183"/>
        <v>1.4961390413650546</v>
      </c>
      <c r="T311" s="160" t="str">
        <f t="shared" si="175"/>
        <v>1+0.0213914320640594i</v>
      </c>
      <c r="U311" s="160">
        <f t="shared" si="184"/>
        <v>1.0002287705149013</v>
      </c>
      <c r="V311" s="160">
        <f t="shared" si="185"/>
        <v>2.1388170100472167E-2</v>
      </c>
      <c r="W311" s="98" t="str">
        <f t="shared" si="176"/>
        <v>1-0.0555525417176057i</v>
      </c>
      <c r="X311" s="160">
        <f t="shared" si="186"/>
        <v>1.0015418537890897</v>
      </c>
      <c r="Y311" s="160">
        <f t="shared" si="187"/>
        <v>-5.5495500680613007E-2</v>
      </c>
      <c r="Z311" s="98" t="str">
        <f t="shared" si="177"/>
        <v>0.998503231487448+0.0636801054946073i</v>
      </c>
      <c r="AA311" s="160">
        <f t="shared" si="188"/>
        <v>1.0005317881640146</v>
      </c>
      <c r="AB311" s="160">
        <f t="shared" si="189"/>
        <v>6.3689307888554925E-2</v>
      </c>
      <c r="AC311" s="171" t="str">
        <f t="shared" si="190"/>
        <v>-0.0119009136168366-0.514223085105063i</v>
      </c>
      <c r="AD311" s="190">
        <f t="shared" si="191"/>
        <v>-5.7746430589755882</v>
      </c>
      <c r="AE311" s="169">
        <f t="shared" si="192"/>
        <v>-91.325787269789529</v>
      </c>
      <c r="AF311" s="98" t="str">
        <f t="shared" si="178"/>
        <v>-0.0000816326530612245</v>
      </c>
      <c r="AG311" s="98" t="str">
        <f t="shared" si="179"/>
        <v>0.0011882940511585i</v>
      </c>
      <c r="AH311" s="98">
        <f t="shared" si="193"/>
        <v>1.1882940511585001E-3</v>
      </c>
      <c r="AI311" s="98">
        <f t="shared" si="194"/>
        <v>1.5707963267948966</v>
      </c>
      <c r="AJ311" s="98" t="str">
        <f t="shared" si="180"/>
        <v>1+0.13163143591894i</v>
      </c>
      <c r="AK311" s="98">
        <f t="shared" si="195"/>
        <v>1.0086262116969209</v>
      </c>
      <c r="AL311" s="98">
        <f t="shared" si="196"/>
        <v>0.13087899100416922</v>
      </c>
      <c r="AM311" s="98" t="str">
        <f t="shared" si="181"/>
        <v>1+13.2947750278129i</v>
      </c>
      <c r="AN311" s="98">
        <f t="shared" si="197"/>
        <v>13.332330742978044</v>
      </c>
      <c r="AO311" s="98">
        <f t="shared" si="198"/>
        <v>1.4957201797924127</v>
      </c>
      <c r="AP311" s="168" t="str">
        <f t="shared" si="199"/>
        <v>-0.888871756285265+0.185700816238471i</v>
      </c>
      <c r="AQ311" s="98">
        <f t="shared" si="200"/>
        <v>-0.83768365900222919</v>
      </c>
      <c r="AR311" s="169">
        <f t="shared" si="201"/>
        <v>168.19963982318433</v>
      </c>
      <c r="AS311" s="168" t="str">
        <f t="shared" si="202"/>
        <v>0.106070032620672+0.454868367407135i</v>
      </c>
      <c r="AT311" s="190">
        <f t="shared" si="203"/>
        <v>-6.61232671797781</v>
      </c>
      <c r="AU311" s="169">
        <f t="shared" si="204"/>
        <v>76.873852553394798</v>
      </c>
      <c r="AV311" s="225"/>
      <c r="AX311">
        <f t="shared" si="205"/>
        <v>0</v>
      </c>
      <c r="AY311">
        <f t="shared" si="206"/>
        <v>0</v>
      </c>
    </row>
    <row r="312" spans="14:51" x14ac:dyDescent="0.2">
      <c r="N312" s="170">
        <v>94</v>
      </c>
      <c r="O312" s="199">
        <f t="shared" si="207"/>
        <v>8709.6358995608189</v>
      </c>
      <c r="P312" s="189" t="str">
        <f t="shared" si="173"/>
        <v>6.8875</v>
      </c>
      <c r="Q312" s="160" t="str">
        <f t="shared" si="174"/>
        <v>1+13.6810640787511i</v>
      </c>
      <c r="R312" s="160">
        <f t="shared" si="182"/>
        <v>13.7175622589035</v>
      </c>
      <c r="S312" s="160">
        <f t="shared" si="183"/>
        <v>1.4978323538423781</v>
      </c>
      <c r="T312" s="160" t="str">
        <f t="shared" si="175"/>
        <v>1+0.0218897025260018i</v>
      </c>
      <c r="U312" s="160">
        <f t="shared" si="184"/>
        <v>1.0002395508460344</v>
      </c>
      <c r="V312" s="160">
        <f t="shared" si="185"/>
        <v>2.1886207314253885E-2</v>
      </c>
      <c r="W312" s="98" t="str">
        <f t="shared" si="176"/>
        <v>1-0.0568465266430101i</v>
      </c>
      <c r="X312" s="160">
        <f t="shared" si="186"/>
        <v>1.0016144605542465</v>
      </c>
      <c r="Y312" s="160">
        <f t="shared" si="187"/>
        <v>-5.6785411390254177E-2</v>
      </c>
      <c r="Z312" s="98" t="str">
        <f t="shared" si="177"/>
        <v>0.998432690960684+0.0651634057003307i</v>
      </c>
      <c r="AA312" s="160">
        <f t="shared" si="188"/>
        <v>1.000556898842569</v>
      </c>
      <c r="AB312" s="160">
        <f t="shared" si="189"/>
        <v>6.5173264506892564E-2</v>
      </c>
      <c r="AC312" s="171" t="str">
        <f t="shared" si="190"/>
        <v>-0.0136269830124974-0.502559972782831i</v>
      </c>
      <c r="AD312" s="190">
        <f t="shared" si="191"/>
        <v>-5.9730501961627205</v>
      </c>
      <c r="AE312" s="169">
        <f t="shared" si="192"/>
        <v>-91.553202388569289</v>
      </c>
      <c r="AF312" s="98" t="str">
        <f t="shared" si="178"/>
        <v>-0.0000816326530612245</v>
      </c>
      <c r="AG312" s="98" t="str">
        <f t="shared" si="179"/>
        <v>0.0012159729753194i</v>
      </c>
      <c r="AH312" s="98">
        <f t="shared" si="193"/>
        <v>1.2159729753194E-3</v>
      </c>
      <c r="AI312" s="98">
        <f t="shared" si="194"/>
        <v>1.5707963267948966</v>
      </c>
      <c r="AJ312" s="98" t="str">
        <f t="shared" si="180"/>
        <v>1+0.134697525939704i</v>
      </c>
      <c r="AK312" s="98">
        <f t="shared" si="195"/>
        <v>1.0090309328728615</v>
      </c>
      <c r="AL312" s="98">
        <f t="shared" si="196"/>
        <v>0.13389165590838573</v>
      </c>
      <c r="AM312" s="98" t="str">
        <f t="shared" si="181"/>
        <v>1+13.6044501199101i</v>
      </c>
      <c r="AN312" s="98">
        <f t="shared" si="197"/>
        <v>13.641153289407825</v>
      </c>
      <c r="AO312" s="98">
        <f t="shared" si="198"/>
        <v>1.4974229236297134</v>
      </c>
      <c r="AP312" s="168" t="str">
        <f t="shared" si="199"/>
        <v>-0.888158848357388+0.186766407513172i</v>
      </c>
      <c r="AQ312" s="98">
        <f t="shared" si="200"/>
        <v>-0.84226805211484945</v>
      </c>
      <c r="AR312" s="169">
        <f t="shared" si="201"/>
        <v>168.12458687455484</v>
      </c>
      <c r="AS312" s="168" t="str">
        <f t="shared" si="202"/>
        <v>0.105964246215532+0.443808023994832i</v>
      </c>
      <c r="AT312" s="190">
        <f t="shared" si="203"/>
        <v>-6.8153182482775767</v>
      </c>
      <c r="AU312" s="169">
        <f t="shared" si="204"/>
        <v>76.57138448598559</v>
      </c>
      <c r="AV312" s="225"/>
      <c r="AX312">
        <f t="shared" si="205"/>
        <v>0</v>
      </c>
      <c r="AY312">
        <f t="shared" si="206"/>
        <v>0</v>
      </c>
    </row>
    <row r="313" spans="14:51" x14ac:dyDescent="0.2">
      <c r="N313" s="170">
        <v>95</v>
      </c>
      <c r="O313" s="199">
        <f t="shared" si="207"/>
        <v>8912.5093813374679</v>
      </c>
      <c r="P313" s="189" t="str">
        <f t="shared" si="173"/>
        <v>6.8875</v>
      </c>
      <c r="Q313" s="160" t="str">
        <f t="shared" si="174"/>
        <v>1+13.99973699873i</v>
      </c>
      <c r="R313" s="160">
        <f t="shared" si="182"/>
        <v>14.035406514725882</v>
      </c>
      <c r="S313" s="160">
        <f t="shared" si="183"/>
        <v>1.4994875269528261</v>
      </c>
      <c r="T313" s="160" t="str">
        <f t="shared" si="175"/>
        <v>1+0.0223995791979679i</v>
      </c>
      <c r="U313" s="160">
        <f t="shared" si="184"/>
        <v>1.0002508391139924</v>
      </c>
      <c r="V313" s="160">
        <f t="shared" si="185"/>
        <v>2.2395834061827602E-2</v>
      </c>
      <c r="W313" s="98" t="str">
        <f t="shared" si="176"/>
        <v>1-0.0581706523492934i</v>
      </c>
      <c r="X313" s="160">
        <f t="shared" si="186"/>
        <v>1.0016904835300884</v>
      </c>
      <c r="Y313" s="160">
        <f t="shared" si="187"/>
        <v>-5.8105172143513968E-2</v>
      </c>
      <c r="Z313" s="98" t="str">
        <f t="shared" si="177"/>
        <v>0.998358825961313+0.0666812564062962i</v>
      </c>
      <c r="AA313" s="160">
        <f t="shared" si="188"/>
        <v>1.0005831976056632</v>
      </c>
      <c r="AB313" s="160">
        <f t="shared" si="189"/>
        <v>6.6691818359891852E-2</v>
      </c>
      <c r="AC313" s="171" t="str">
        <f t="shared" si="190"/>
        <v>-0.0152759963418058-0.491152009145509i</v>
      </c>
      <c r="AD313" s="190">
        <f t="shared" si="191"/>
        <v>-6.1714823492454416</v>
      </c>
      <c r="AE313" s="169">
        <f t="shared" si="192"/>
        <v>-91.781460808267511</v>
      </c>
      <c r="AF313" s="98" t="str">
        <f t="shared" si="178"/>
        <v>-0.0000816326530612245</v>
      </c>
      <c r="AG313" s="98" t="str">
        <f t="shared" si="179"/>
        <v>0.00124429662444712i</v>
      </c>
      <c r="AH313" s="98">
        <f t="shared" si="193"/>
        <v>1.2442966244471201E-3</v>
      </c>
      <c r="AI313" s="98">
        <f t="shared" si="194"/>
        <v>1.5707963267948966</v>
      </c>
      <c r="AJ313" s="98" t="str">
        <f t="shared" si="180"/>
        <v>1+0.137835034371654i</v>
      </c>
      <c r="AK313" s="98">
        <f t="shared" si="195"/>
        <v>1.0094545540539381</v>
      </c>
      <c r="AL313" s="98">
        <f t="shared" si="196"/>
        <v>0.13697196527598327</v>
      </c>
      <c r="AM313" s="98" t="str">
        <f t="shared" si="181"/>
        <v>1+13.9213384715371i</v>
      </c>
      <c r="AN313" s="98">
        <f t="shared" si="197"/>
        <v>13.957208346911605</v>
      </c>
      <c r="AO313" s="98">
        <f t="shared" si="198"/>
        <v>1.499087320249834</v>
      </c>
      <c r="AP313" s="168" t="str">
        <f t="shared" si="199"/>
        <v>-0.887413566753608+0.187922139988034i</v>
      </c>
      <c r="AQ313" s="98">
        <f t="shared" si="200"/>
        <v>-0.84696443634996199</v>
      </c>
      <c r="AR313" s="169">
        <f t="shared" si="201"/>
        <v>168.0434610499656</v>
      </c>
      <c r="AS313" s="168" t="str">
        <f t="shared" si="202"/>
        <v>0.105854463017443+0.432984258331015i</v>
      </c>
      <c r="AT313" s="190">
        <f t="shared" si="203"/>
        <v>-7.01844678559541</v>
      </c>
      <c r="AU313" s="169">
        <f t="shared" si="204"/>
        <v>76.262000241698118</v>
      </c>
      <c r="AV313" s="225"/>
      <c r="AX313">
        <f t="shared" si="205"/>
        <v>0</v>
      </c>
      <c r="AY313">
        <f t="shared" si="206"/>
        <v>0</v>
      </c>
    </row>
    <row r="314" spans="14:51" x14ac:dyDescent="0.2">
      <c r="N314" s="170">
        <v>96</v>
      </c>
      <c r="O314" s="199">
        <f t="shared" si="207"/>
        <v>9120.1083935591087</v>
      </c>
      <c r="P314" s="189" t="str">
        <f t="shared" si="173"/>
        <v>6.8875</v>
      </c>
      <c r="Q314" s="160" t="str">
        <f t="shared" si="174"/>
        <v>1+14.3258327645739i</v>
      </c>
      <c r="R314" s="160">
        <f t="shared" si="182"/>
        <v>14.360692337019794</v>
      </c>
      <c r="S314" s="160">
        <f t="shared" si="183"/>
        <v>1.5011054019946739</v>
      </c>
      <c r="T314" s="160" t="str">
        <f t="shared" si="175"/>
        <v>1+0.0229213324233183i</v>
      </c>
      <c r="U314" s="160">
        <f t="shared" si="184"/>
        <v>1.0002626592450907</v>
      </c>
      <c r="V314" s="160">
        <f t="shared" si="185"/>
        <v>2.2917319494554046E-2</v>
      </c>
      <c r="W314" s="98" t="str">
        <f t="shared" si="176"/>
        <v>1-0.0595256209054319i</v>
      </c>
      <c r="X314" s="160">
        <f t="shared" si="186"/>
        <v>1.0017700831748655</v>
      </c>
      <c r="Y314" s="160">
        <f t="shared" si="187"/>
        <v>-5.9455464294867054E-2</v>
      </c>
      <c r="Z314" s="98" t="str">
        <f t="shared" si="177"/>
        <v>0.998281479811771+0.068234462397039i</v>
      </c>
      <c r="AA314" s="160">
        <f t="shared" si="188"/>
        <v>1.0006107408946758</v>
      </c>
      <c r="AB314" s="160">
        <f t="shared" si="189"/>
        <v>6.8245777548679679E-2</v>
      </c>
      <c r="AC314" s="171" t="str">
        <f t="shared" si="190"/>
        <v>-0.0168513426628083-0.479993893124699i</v>
      </c>
      <c r="AD314" s="190">
        <f t="shared" si="191"/>
        <v>-6.3699362458560591</v>
      </c>
      <c r="AE314" s="169">
        <f t="shared" si="192"/>
        <v>-92.010680650007458</v>
      </c>
      <c r="AF314" s="98" t="str">
        <f t="shared" si="178"/>
        <v>-0.0000816326530612245</v>
      </c>
      <c r="AG314" s="98" t="str">
        <f t="shared" si="179"/>
        <v>0.00127328001611533i</v>
      </c>
      <c r="AH314" s="98">
        <f t="shared" si="193"/>
        <v>1.2732800161153301E-3</v>
      </c>
      <c r="AI314" s="98">
        <f t="shared" si="194"/>
        <v>1.5707963267948966</v>
      </c>
      <c r="AJ314" s="98" t="str">
        <f t="shared" si="180"/>
        <v>1+0.14104562476329i</v>
      </c>
      <c r="AK314" s="98">
        <f t="shared" si="195"/>
        <v>1.0098979494309646</v>
      </c>
      <c r="AL314" s="98">
        <f t="shared" si="196"/>
        <v>0.14012131838919775</v>
      </c>
      <c r="AM314" s="98" t="str">
        <f t="shared" si="181"/>
        <v>1+14.2456081010923i</v>
      </c>
      <c r="AN314" s="98">
        <f t="shared" si="197"/>
        <v>14.280663505940701</v>
      </c>
      <c r="AO314" s="98">
        <f t="shared" si="198"/>
        <v>1.5007142152313064</v>
      </c>
      <c r="AP314" s="168" t="str">
        <f t="shared" si="199"/>
        <v>-0.886634500520874+0.189168014973591i</v>
      </c>
      <c r="AQ314" s="98">
        <f t="shared" si="200"/>
        <v>-0.85178232022367839</v>
      </c>
      <c r="AR314" s="169">
        <f t="shared" si="201"/>
        <v>167.9562306245314</v>
      </c>
      <c r="AS314" s="168" t="str">
        <f t="shared" si="202"/>
        <v>0.10574047374679+0.422391410642524i</v>
      </c>
      <c r="AT314" s="190">
        <f t="shared" si="203"/>
        <v>-7.2217185660797423</v>
      </c>
      <c r="AU314" s="169">
        <f t="shared" si="204"/>
        <v>75.945549974523985</v>
      </c>
      <c r="AV314" s="225"/>
      <c r="AX314">
        <f t="shared" si="205"/>
        <v>0</v>
      </c>
      <c r="AY314">
        <f t="shared" si="206"/>
        <v>0</v>
      </c>
    </row>
    <row r="315" spans="14:51" x14ac:dyDescent="0.2">
      <c r="N315" s="170">
        <v>97</v>
      </c>
      <c r="O315" s="199">
        <f t="shared" si="207"/>
        <v>9332.5430079699217</v>
      </c>
      <c r="P315" s="189" t="str">
        <f t="shared" si="173"/>
        <v>6.8875</v>
      </c>
      <c r="Q315" s="160" t="str">
        <f t="shared" si="174"/>
        <v>1+14.6595242765745i</v>
      </c>
      <c r="R315" s="160">
        <f t="shared" si="182"/>
        <v>14.693592209377432</v>
      </c>
      <c r="S315" s="160">
        <f t="shared" si="183"/>
        <v>1.5026868028891081</v>
      </c>
      <c r="T315" s="160" t="str">
        <f t="shared" si="175"/>
        <v>1+0.0234552388425193i</v>
      </c>
      <c r="U315" s="160">
        <f t="shared" si="184"/>
        <v>1.0002750362920989</v>
      </c>
      <c r="V315" s="160">
        <f t="shared" si="185"/>
        <v>2.3450938975730636E-2</v>
      </c>
      <c r="W315" s="98" t="str">
        <f t="shared" si="176"/>
        <v>1-0.0609121507336892i</v>
      </c>
      <c r="X315" s="160">
        <f t="shared" si="186"/>
        <v>1.0018534274568329</v>
      </c>
      <c r="Y315" s="160">
        <f t="shared" si="187"/>
        <v>-6.0836984080168306E-2</v>
      </c>
      <c r="Z315" s="98" t="str">
        <f t="shared" si="177"/>
        <v>0.998200488450504+0.0698238472029347i</v>
      </c>
      <c r="AA315" s="160">
        <f t="shared" si="188"/>
        <v>1.00063958785421</v>
      </c>
      <c r="AB315" s="160">
        <f t="shared" si="189"/>
        <v>6.9835969154276034E-2</v>
      </c>
      <c r="AC315" s="171" t="str">
        <f t="shared" si="190"/>
        <v>-0.0183562642407416-0.469080407040291i</v>
      </c>
      <c r="AD315" s="190">
        <f t="shared" si="191"/>
        <v>-6.5684086585790542</v>
      </c>
      <c r="AE315" s="169">
        <f t="shared" si="192"/>
        <v>-92.240980623468758</v>
      </c>
      <c r="AF315" s="98" t="str">
        <f t="shared" si="178"/>
        <v>-0.0000816326530612245</v>
      </c>
      <c r="AG315" s="98" t="str">
        <f t="shared" si="179"/>
        <v>0.00130293851770195i</v>
      </c>
      <c r="AH315" s="98">
        <f t="shared" si="193"/>
        <v>1.3029385177019499E-3</v>
      </c>
      <c r="AI315" s="98">
        <f t="shared" si="194"/>
        <v>1.5707963267948966</v>
      </c>
      <c r="AJ315" s="98" t="str">
        <f t="shared" si="180"/>
        <v>1+0.144330999412136i</v>
      </c>
      <c r="AK315" s="98">
        <f t="shared" si="195"/>
        <v>1.0103620328334324</v>
      </c>
      <c r="AL315" s="98">
        <f t="shared" si="196"/>
        <v>0.14334113505259516</v>
      </c>
      <c r="AM315" s="98" t="str">
        <f t="shared" si="181"/>
        <v>1+14.5774309406257i</v>
      </c>
      <c r="AN315" s="98">
        <f t="shared" si="197"/>
        <v>14.611690279660033</v>
      </c>
      <c r="AO315" s="98">
        <f t="shared" si="198"/>
        <v>1.5023044367076912</v>
      </c>
      <c r="AP315" s="168" t="str">
        <f t="shared" si="199"/>
        <v>-0.885820182795461+0.19050404067444i</v>
      </c>
      <c r="AQ315" s="98">
        <f t="shared" si="200"/>
        <v>-0.85673143373951977</v>
      </c>
      <c r="AR315" s="169">
        <f t="shared" si="201"/>
        <v>167.86286169800076</v>
      </c>
      <c r="AS315" s="168" t="str">
        <f t="shared" si="202"/>
        <v>0.105622062287562+0.412023949400651i</v>
      </c>
      <c r="AT315" s="190">
        <f t="shared" si="203"/>
        <v>-7.4251400923185695</v>
      </c>
      <c r="AU315" s="169">
        <f t="shared" si="204"/>
        <v>75.621881074531998</v>
      </c>
      <c r="AV315" s="225"/>
      <c r="AX315">
        <f t="shared" si="205"/>
        <v>0</v>
      </c>
      <c r="AY315">
        <f t="shared" si="206"/>
        <v>0</v>
      </c>
    </row>
    <row r="316" spans="14:51" x14ac:dyDescent="0.2">
      <c r="N316" s="170">
        <v>98</v>
      </c>
      <c r="O316" s="199">
        <f t="shared" si="207"/>
        <v>9549.9258602143691</v>
      </c>
      <c r="P316" s="189" t="str">
        <f t="shared" si="173"/>
        <v>6.8875</v>
      </c>
      <c r="Q316" s="160" t="str">
        <f t="shared" si="174"/>
        <v>1+15.0009884623883i</v>
      </c>
      <c r="R316" s="160">
        <f t="shared" si="182"/>
        <v>15.034282651616833</v>
      </c>
      <c r="S316" s="160">
        <f t="shared" si="183"/>
        <v>1.504232536459531</v>
      </c>
      <c r="T316" s="160" t="str">
        <f t="shared" si="175"/>
        <v>1+0.0240015815398213i</v>
      </c>
      <c r="U316" s="160">
        <f t="shared" si="184"/>
        <v>1.000287996487218</v>
      </c>
      <c r="V316" s="160">
        <f t="shared" si="185"/>
        <v>2.3996974221188697E-2</v>
      </c>
      <c r="W316" s="98" t="str">
        <f t="shared" si="176"/>
        <v>1-0.0623309769905332i</v>
      </c>
      <c r="X316" s="160">
        <f t="shared" si="186"/>
        <v>1.0019406922031835</v>
      </c>
      <c r="Y316" s="160">
        <f t="shared" si="187"/>
        <v>-6.2250442893462148E-2</v>
      </c>
      <c r="Z316" s="98" t="str">
        <f t="shared" si="177"/>
        <v>0.998115680083975+0.0714502535368452i</v>
      </c>
      <c r="AA316" s="160">
        <f t="shared" si="188"/>
        <v>1.0006698004636569</v>
      </c>
      <c r="AB316" s="160">
        <f t="shared" si="189"/>
        <v>7.1463239690595537E-2</v>
      </c>
      <c r="AC316" s="171" t="str">
        <f t="shared" si="190"/>
        <v>-0.0197938626035786-0.45840641702181i</v>
      </c>
      <c r="AD316" s="190">
        <f t="shared" si="191"/>
        <v>-6.7668963985407267</v>
      </c>
      <c r="AE316" s="169">
        <f t="shared" si="192"/>
        <v>-92.472480076649944</v>
      </c>
      <c r="AF316" s="98" t="str">
        <f t="shared" si="178"/>
        <v>-0.0000816326530612245</v>
      </c>
      <c r="AG316" s="98" t="str">
        <f t="shared" si="179"/>
        <v>0.00133328785453707i</v>
      </c>
      <c r="AH316" s="98">
        <f t="shared" si="193"/>
        <v>1.3332878545370701E-3</v>
      </c>
      <c r="AI316" s="98">
        <f t="shared" si="194"/>
        <v>1.5707963267948966</v>
      </c>
      <c r="AJ316" s="98" t="str">
        <f t="shared" si="180"/>
        <v>1+0.147692900267316i</v>
      </c>
      <c r="AK316" s="98">
        <f t="shared" si="195"/>
        <v>1.0108477594521201</v>
      </c>
      <c r="AL316" s="98">
        <f t="shared" si="196"/>
        <v>0.14663285527166009</v>
      </c>
      <c r="AM316" s="98" t="str">
        <f t="shared" si="181"/>
        <v>1+14.916982926999i</v>
      </c>
      <c r="AN316" s="98">
        <f t="shared" si="197"/>
        <v>14.950464194946578</v>
      </c>
      <c r="AO316" s="98">
        <f t="shared" si="198"/>
        <v>1.5038587956465173</v>
      </c>
      <c r="AP316" s="168" t="str">
        <f t="shared" si="199"/>
        <v>-0.884969089119723+0.191930229598242i</v>
      </c>
      <c r="AQ316" s="98">
        <f t="shared" si="200"/>
        <v>-0.86182174512030929</v>
      </c>
      <c r="AR316" s="169">
        <f t="shared" si="201"/>
        <v>167.76331822915355</v>
      </c>
      <c r="AS316" s="168" t="str">
        <f t="shared" si="202"/>
        <v>0.105499005426753+0.401876468724286i</v>
      </c>
      <c r="AT316" s="190">
        <f t="shared" si="203"/>
        <v>-7.6287181436610449</v>
      </c>
      <c r="AU316" s="169">
        <f t="shared" si="204"/>
        <v>75.290838152503653</v>
      </c>
      <c r="AV316" s="225"/>
      <c r="AX316">
        <f t="shared" si="205"/>
        <v>0</v>
      </c>
      <c r="AY316">
        <f t="shared" si="206"/>
        <v>0</v>
      </c>
    </row>
    <row r="317" spans="14:51" x14ac:dyDescent="0.2">
      <c r="N317" s="170">
        <v>99</v>
      </c>
      <c r="O317" s="199">
        <f t="shared" si="207"/>
        <v>9772.3722095581161</v>
      </c>
      <c r="P317" s="189" t="str">
        <f t="shared" si="173"/>
        <v>6.8875</v>
      </c>
      <c r="Q317" s="160" t="str">
        <f t="shared" si="174"/>
        <v>1+15.3504063708464i</v>
      </c>
      <c r="R317" s="160">
        <f t="shared" si="182"/>
        <v>15.382944313431086</v>
      </c>
      <c r="S317" s="160">
        <f t="shared" si="183"/>
        <v>1.5057433927120472</v>
      </c>
      <c r="T317" s="160" t="str">
        <f t="shared" si="175"/>
        <v>1+0.0245606501933543i</v>
      </c>
      <c r="U317" s="160">
        <f t="shared" si="184"/>
        <v>1.0003015672975426</v>
      </c>
      <c r="V317" s="160">
        <f t="shared" si="185"/>
        <v>2.4555713442874019E-2</v>
      </c>
      <c r="W317" s="98" t="str">
        <f t="shared" si="176"/>
        <v>1-0.0637828519564256i</v>
      </c>
      <c r="X317" s="160">
        <f t="shared" si="186"/>
        <v>1.0020320614649489</v>
      </c>
      <c r="Y317" s="160">
        <f t="shared" si="187"/>
        <v>-6.3696567565359463E-2</v>
      </c>
      <c r="Z317" s="98" t="str">
        <f t="shared" si="177"/>
        <v>0.99802687482227+0.0731145437409369i</v>
      </c>
      <c r="AA317" s="160">
        <f t="shared" si="188"/>
        <v>1.0007014436753614</v>
      </c>
      <c r="AB317" s="160">
        <f t="shared" si="189"/>
        <v>7.3128455568744116E-2</v>
      </c>
      <c r="AC317" s="171" t="str">
        <f t="shared" si="190"/>
        <v>-0.0211671043697622-0.447966873270818i</v>
      </c>
      <c r="AD317" s="190">
        <f t="shared" si="191"/>
        <v>-6.9653963090753814</v>
      </c>
      <c r="AE317" s="169">
        <f t="shared" si="192"/>
        <v>-92.705299046264628</v>
      </c>
      <c r="AF317" s="98" t="str">
        <f t="shared" si="178"/>
        <v>-0.0000816326530612245</v>
      </c>
      <c r="AG317" s="98" t="str">
        <f t="shared" si="179"/>
        <v>0.00136434411824083i</v>
      </c>
      <c r="AH317" s="98">
        <f t="shared" si="193"/>
        <v>1.3643441182408301E-3</v>
      </c>
      <c r="AI317" s="98">
        <f t="shared" si="194"/>
        <v>1.5707963267948966</v>
      </c>
      <c r="AJ317" s="98" t="str">
        <f t="shared" si="180"/>
        <v>1+0.151133109853165i</v>
      </c>
      <c r="AK317" s="98">
        <f t="shared" si="195"/>
        <v>1.0113561276295748</v>
      </c>
      <c r="AL317" s="98">
        <f t="shared" si="196"/>
        <v>0.14999793887414925</v>
      </c>
      <c r="AM317" s="98" t="str">
        <f t="shared" si="181"/>
        <v>1+15.2644440951697i</v>
      </c>
      <c r="AN317" s="98">
        <f t="shared" si="197"/>
        <v>15.297164885512649</v>
      </c>
      <c r="AO317" s="98">
        <f t="shared" si="198"/>
        <v>1.5053780861295269</v>
      </c>
      <c r="AP317" s="168" t="str">
        <f t="shared" si="199"/>
        <v>-0.884079635761429+0.193446595818977i</v>
      </c>
      <c r="AQ317" s="98">
        <f t="shared" si="200"/>
        <v>-0.86706347774009518</v>
      </c>
      <c r="AR317" s="169">
        <f t="shared" si="201"/>
        <v>167.65756207355318</v>
      </c>
      <c r="AS317" s="168" t="str">
        <f t="shared" si="202"/>
        <v>0.105371072595254+0.391943685870776i</v>
      </c>
      <c r="AT317" s="190">
        <f t="shared" si="203"/>
        <v>-7.8324597868154688</v>
      </c>
      <c r="AU317" s="169">
        <f t="shared" si="204"/>
        <v>74.952263027288623</v>
      </c>
      <c r="AV317" s="225"/>
      <c r="AX317">
        <f t="shared" si="205"/>
        <v>0</v>
      </c>
      <c r="AY317">
        <f t="shared" si="206"/>
        <v>0</v>
      </c>
    </row>
    <row r="318" spans="14:51" x14ac:dyDescent="0.2">
      <c r="N318" s="170">
        <v>100</v>
      </c>
      <c r="O318" s="199">
        <f t="shared" si="207"/>
        <v>10000</v>
      </c>
      <c r="P318" s="189" t="str">
        <f t="shared" si="173"/>
        <v>6.8875</v>
      </c>
      <c r="Q318" s="160" t="str">
        <f t="shared" si="174"/>
        <v>1+15.707963267949i</v>
      </c>
      <c r="R318" s="160">
        <f t="shared" si="182"/>
        <v>15.73976207022314</v>
      </c>
      <c r="S318" s="160">
        <f t="shared" si="183"/>
        <v>1.5072201451166136</v>
      </c>
      <c r="T318" s="160" t="str">
        <f t="shared" si="175"/>
        <v>1+0.0251327412287184i</v>
      </c>
      <c r="U318" s="160">
        <f t="shared" si="184"/>
        <v>1.0003157774831255</v>
      </c>
      <c r="V318" s="160">
        <f t="shared" si="185"/>
        <v>2.5127451495457819E-2</v>
      </c>
      <c r="W318" s="98" t="str">
        <f t="shared" si="176"/>
        <v>1-0.065268545434691i</v>
      </c>
      <c r="X318" s="160">
        <f t="shared" si="186"/>
        <v>1.002127727898575</v>
      </c>
      <c r="Y318" s="160">
        <f t="shared" si="187"/>
        <v>-6.5176100642683449E-2</v>
      </c>
      <c r="Z318" s="98" t="str">
        <f t="shared" si="177"/>
        <v>0.997933884297521+0.0748176002439053i</v>
      </c>
      <c r="AA318" s="160">
        <f t="shared" si="188"/>
        <v>1.0007345855597249</v>
      </c>
      <c r="AB318" s="160">
        <f t="shared" si="189"/>
        <v>7.4832503572920428E-2</v>
      </c>
      <c r="AC318" s="171" t="str">
        <f t="shared" si="190"/>
        <v>-0.022478826854446-0.437756810177126i</v>
      </c>
      <c r="AD318" s="190">
        <f t="shared" si="191"/>
        <v>-7.1639052594572732</v>
      </c>
      <c r="AE318" s="169">
        <f t="shared" si="192"/>
        <v>-92.939558308739649</v>
      </c>
      <c r="AF318" s="98" t="str">
        <f t="shared" si="178"/>
        <v>-0.0000816326530612245</v>
      </c>
      <c r="AG318" s="98" t="str">
        <f t="shared" si="179"/>
        <v>0.0013961237752553i</v>
      </c>
      <c r="AH318" s="98">
        <f t="shared" si="193"/>
        <v>1.3961237752553E-3</v>
      </c>
      <c r="AI318" s="98">
        <f t="shared" si="194"/>
        <v>1.5707963267948966</v>
      </c>
      <c r="AJ318" s="98" t="str">
        <f t="shared" si="180"/>
        <v>1+0.154653452214341i</v>
      </c>
      <c r="AK318" s="98">
        <f t="shared" si="195"/>
        <v>1.0118881807204854</v>
      </c>
      <c r="AL318" s="98">
        <f t="shared" si="196"/>
        <v>0.15343786507013413</v>
      </c>
      <c r="AM318" s="98" t="str">
        <f t="shared" si="181"/>
        <v>1+15.6199986736485i</v>
      </c>
      <c r="AN318" s="98">
        <f t="shared" si="197"/>
        <v>15.651976187203354</v>
      </c>
      <c r="AO318" s="98">
        <f t="shared" si="198"/>
        <v>1.5068630856337117</v>
      </c>
      <c r="AP318" s="168" t="str">
        <f t="shared" si="199"/>
        <v>-0.88315017804258+0.195053152086616i</v>
      </c>
      <c r="AQ318" s="98">
        <f t="shared" si="200"/>
        <v>-0.872467127259139</v>
      </c>
      <c r="AR318" s="169">
        <f t="shared" si="201"/>
        <v>167.54555302485556</v>
      </c>
      <c r="AS318" s="168" t="str">
        <f t="shared" si="202"/>
        <v>0.105238025611123+0.382220438814112i</v>
      </c>
      <c r="AT318" s="190">
        <f t="shared" si="203"/>
        <v>-8.0363723867164101</v>
      </c>
      <c r="AU318" s="169">
        <f t="shared" si="204"/>
        <v>74.605994716115944</v>
      </c>
      <c r="AV318" s="225"/>
      <c r="AX318">
        <f t="shared" si="205"/>
        <v>0</v>
      </c>
      <c r="AY318">
        <f t="shared" si="206"/>
        <v>0</v>
      </c>
    </row>
    <row r="319" spans="14:51" x14ac:dyDescent="0.2">
      <c r="N319" s="170">
        <v>1</v>
      </c>
      <c r="O319" s="199">
        <f>10^(4+(N319/100))</f>
        <v>10232.929922807549</v>
      </c>
      <c r="P319" s="189" t="str">
        <f t="shared" si="173"/>
        <v>6.8875</v>
      </c>
      <c r="Q319" s="160" t="str">
        <f t="shared" si="174"/>
        <v>1+16.0738487350957i</v>
      </c>
      <c r="R319" s="160">
        <f t="shared" si="182"/>
        <v>16.104925121177612</v>
      </c>
      <c r="S319" s="160">
        <f t="shared" si="183"/>
        <v>1.5086635508883965</v>
      </c>
      <c r="T319" s="160" t="str">
        <f t="shared" si="175"/>
        <v>1+0.0257181579761531i</v>
      </c>
      <c r="U319" s="160">
        <f t="shared" si="184"/>
        <v>1.0003306571577653</v>
      </c>
      <c r="V319" s="160">
        <f t="shared" si="185"/>
        <v>2.5712490026028951E-2</v>
      </c>
      <c r="W319" s="98" t="str">
        <f t="shared" si="176"/>
        <v>1-0.0667888451596773i</v>
      </c>
      <c r="X319" s="160">
        <f t="shared" si="186"/>
        <v>1.0022278931649045</v>
      </c>
      <c r="Y319" s="160">
        <f t="shared" si="187"/>
        <v>-6.6689800669056679E-2</v>
      </c>
      <c r="Z319" s="98" t="str">
        <f t="shared" si="177"/>
        <v>0.997836511264358+0.0765603260288511i</v>
      </c>
      <c r="AA319" s="160">
        <f t="shared" si="188"/>
        <v>1.0007692974576454</v>
      </c>
      <c r="AB319" s="160">
        <f t="shared" si="189"/>
        <v>7.6576291348244924E-2</v>
      </c>
      <c r="AC319" s="171" t="str">
        <f t="shared" si="190"/>
        <v>-0.0237317434606092-0.427771346300712i</v>
      </c>
      <c r="AD319" s="190">
        <f t="shared" si="191"/>
        <v>-7.3624201386885275</v>
      </c>
      <c r="AE319" s="169">
        <f t="shared" si="192"/>
        <v>-93.175379431785998</v>
      </c>
      <c r="AF319" s="98" t="str">
        <f t="shared" si="178"/>
        <v>-0.0000816326530612245</v>
      </c>
      <c r="AG319" s="98" t="str">
        <f t="shared" si="179"/>
        <v>0.0014286436755753i</v>
      </c>
      <c r="AH319" s="98">
        <f t="shared" si="193"/>
        <v>1.4286436755753E-3</v>
      </c>
      <c r="AI319" s="98">
        <f t="shared" si="194"/>
        <v>1.5707963267948966</v>
      </c>
      <c r="AJ319" s="98" t="str">
        <f t="shared" si="180"/>
        <v>1+0.158255793882962i</v>
      </c>
      <c r="AK319" s="98">
        <f t="shared" si="195"/>
        <v>1.0124450090239601</v>
      </c>
      <c r="AL319" s="98">
        <f t="shared" si="196"/>
        <v>0.15695413194650859</v>
      </c>
      <c r="AM319" s="98" t="str">
        <f t="shared" si="181"/>
        <v>1+15.9838351821791i</v>
      </c>
      <c r="AN319" s="98">
        <f t="shared" si="197"/>
        <v>16.015086235517636</v>
      </c>
      <c r="AO319" s="98">
        <f t="shared" si="198"/>
        <v>1.5083145553126558</v>
      </c>
      <c r="AP319" s="168" t="str">
        <f t="shared" si="199"/>
        <v>-0.882179008684955+0.196749906775167i</v>
      </c>
      <c r="AQ319" s="98">
        <f t="shared" si="200"/>
        <v>-0.87804347896755008</v>
      </c>
      <c r="AR319" s="169">
        <f t="shared" si="201"/>
        <v>167.42724885989233</v>
      </c>
      <c r="AS319" s="168" t="str">
        <f t="shared" si="202"/>
        <v>0.105099618426199+0.372701683909904i</v>
      </c>
      <c r="AT319" s="190">
        <f t="shared" si="203"/>
        <v>-8.2404636176560704</v>
      </c>
      <c r="AU319" s="169">
        <f t="shared" si="204"/>
        <v>74.251869428106303</v>
      </c>
      <c r="AV319" s="225"/>
      <c r="AX319">
        <f t="shared" si="205"/>
        <v>0</v>
      </c>
      <c r="AY319">
        <f t="shared" si="206"/>
        <v>0</v>
      </c>
    </row>
    <row r="320" spans="14:51" x14ac:dyDescent="0.2">
      <c r="N320" s="170">
        <v>2</v>
      </c>
      <c r="O320" s="199">
        <f t="shared" ref="O320:O383" si="208">10^(4+(N320/100))</f>
        <v>10471.285480509003</v>
      </c>
      <c r="P320" s="189" t="str">
        <f t="shared" si="173"/>
        <v>6.8875</v>
      </c>
      <c r="Q320" s="160" t="str">
        <f t="shared" si="174"/>
        <v>1+16.4482567696043i</v>
      </c>
      <c r="R320" s="160">
        <f t="shared" si="182"/>
        <v>16.478627089622293</v>
      </c>
      <c r="S320" s="160">
        <f t="shared" si="183"/>
        <v>1.5100743512689052</v>
      </c>
      <c r="T320" s="160" t="str">
        <f t="shared" si="175"/>
        <v>1+0.0263172108313668i</v>
      </c>
      <c r="U320" s="160">
        <f t="shared" si="184"/>
        <v>1.000346237852646</v>
      </c>
      <c r="V320" s="160">
        <f t="shared" si="185"/>
        <v>2.6311137626913155E-2</v>
      </c>
      <c r="W320" s="98" t="str">
        <f t="shared" si="176"/>
        <v>1-0.0683445572144222i</v>
      </c>
      <c r="X320" s="160">
        <f t="shared" si="186"/>
        <v>1.0023327683463388</v>
      </c>
      <c r="Y320" s="160">
        <f t="shared" si="187"/>
        <v>-6.8238442466068125E-2</v>
      </c>
      <c r="Z320" s="98" t="str">
        <f t="shared" si="177"/>
        <v>0.997734549181522+0.0783436451120532i</v>
      </c>
      <c r="AA320" s="160">
        <f t="shared" si="188"/>
        <v>1.000805654140652</v>
      </c>
      <c r="AB320" s="160">
        <f t="shared" si="189"/>
        <v>7.8360747900847558E-2</v>
      </c>
      <c r="AC320" s="171" t="str">
        <f t="shared" si="190"/>
        <v>-0.0249284488614117-0.41800568423046i</v>
      </c>
      <c r="AD320" s="190">
        <f t="shared" si="191"/>
        <v>-7.5609378493336763</v>
      </c>
      <c r="AE320" s="169">
        <f t="shared" si="192"/>
        <v>-93.412884826513206</v>
      </c>
      <c r="AF320" s="98" t="str">
        <f t="shared" si="178"/>
        <v>-0.0000816326530612245</v>
      </c>
      <c r="AG320" s="98" t="str">
        <f t="shared" si="179"/>
        <v>0.00146192106168243i</v>
      </c>
      <c r="AH320" s="98">
        <f t="shared" si="193"/>
        <v>1.4619210616824299E-3</v>
      </c>
      <c r="AI320" s="98">
        <f t="shared" si="194"/>
        <v>1.5707963267948966</v>
      </c>
      <c r="AJ320" s="98" t="str">
        <f t="shared" si="180"/>
        <v>1+0.161942044868262i</v>
      </c>
      <c r="AK320" s="98">
        <f t="shared" si="195"/>
        <v>1.0130277517897099</v>
      </c>
      <c r="AL320" s="98">
        <f t="shared" si="196"/>
        <v>0.1605482558914946</v>
      </c>
      <c r="AM320" s="98" t="str">
        <f t="shared" si="181"/>
        <v>1+16.3561465316945i</v>
      </c>
      <c r="AN320" s="98">
        <f t="shared" si="197"/>
        <v>16.386687565406927</v>
      </c>
      <c r="AO320" s="98">
        <f t="shared" si="198"/>
        <v>1.5097332402777652</v>
      </c>
      <c r="AP320" s="168" t="str">
        <f t="shared" si="199"/>
        <v>-0.881164356180874+0.198536860661081i</v>
      </c>
      <c r="AQ320" s="98">
        <f t="shared" si="200"/>
        <v>-0.88380362533693924</v>
      </c>
      <c r="AR320" s="169">
        <f t="shared" si="201"/>
        <v>167.30260538775715</v>
      </c>
      <c r="AS320" s="168" t="str">
        <f t="shared" si="202"/>
        <v>0.104955596877156+0.363382493646784i</v>
      </c>
      <c r="AT320" s="190">
        <f t="shared" si="203"/>
        <v>-8.444741474670618</v>
      </c>
      <c r="AU320" s="169">
        <f t="shared" si="204"/>
        <v>73.889720561244005</v>
      </c>
      <c r="AV320" s="225"/>
      <c r="AX320">
        <f t="shared" si="205"/>
        <v>0</v>
      </c>
      <c r="AY320">
        <f t="shared" si="206"/>
        <v>0</v>
      </c>
    </row>
    <row r="321" spans="14:51" x14ac:dyDescent="0.2">
      <c r="N321" s="170">
        <v>3</v>
      </c>
      <c r="O321" s="199">
        <f t="shared" si="208"/>
        <v>10715.193052376071</v>
      </c>
      <c r="P321" s="189" t="str">
        <f t="shared" si="173"/>
        <v>6.8875</v>
      </c>
      <c r="Q321" s="160" t="str">
        <f t="shared" si="174"/>
        <v>1+16.8313858875705i</v>
      </c>
      <c r="R321" s="160">
        <f t="shared" si="182"/>
        <v>16.861066125732009</v>
      </c>
      <c r="S321" s="160">
        <f t="shared" si="183"/>
        <v>1.5114532718065141</v>
      </c>
      <c r="T321" s="160" t="str">
        <f t="shared" si="175"/>
        <v>1+0.0269302174201128i</v>
      </c>
      <c r="U321" s="160">
        <f t="shared" si="184"/>
        <v>1.0003625525829596</v>
      </c>
      <c r="V321" s="160">
        <f t="shared" si="185"/>
        <v>2.6923709991667977E-2</v>
      </c>
      <c r="W321" s="98" t="str">
        <f t="shared" si="176"/>
        <v>1-0.0699365064580493i</v>
      </c>
      <c r="X321" s="160">
        <f t="shared" si="186"/>
        <v>1.0024425743829704</v>
      </c>
      <c r="Y321" s="160">
        <f t="shared" si="187"/>
        <v>-6.9822817414629063E-2</v>
      </c>
      <c r="Z321" s="98" t="str">
        <f t="shared" si="177"/>
        <v>0.997627781773767+0.0801685030328944i</v>
      </c>
      <c r="AA321" s="160">
        <f t="shared" si="188"/>
        <v>1.0008437339791774</v>
      </c>
      <c r="AB321" s="160">
        <f t="shared" si="189"/>
        <v>8.0186824110558177E-2</v>
      </c>
      <c r="AC321" s="171" t="str">
        <f t="shared" si="190"/>
        <v>-0.0260714239801444-0.408455110330117i</v>
      </c>
      <c r="AD321" s="190">
        <f t="shared" si="191"/>
        <v>-7.7594553013914833</v>
      </c>
      <c r="AE321" s="169">
        <f t="shared" si="192"/>
        <v>-93.652197800059795</v>
      </c>
      <c r="AF321" s="98" t="str">
        <f t="shared" si="178"/>
        <v>-0.0000816326530612245</v>
      </c>
      <c r="AG321" s="98" t="str">
        <f t="shared" si="179"/>
        <v>0.00149597357768727i</v>
      </c>
      <c r="AH321" s="98">
        <f t="shared" si="193"/>
        <v>1.49597357768727E-3</v>
      </c>
      <c r="AI321" s="98">
        <f t="shared" si="194"/>
        <v>1.5707963267948966</v>
      </c>
      <c r="AJ321" s="98" t="str">
        <f t="shared" si="180"/>
        <v>1+0.165714159669308i</v>
      </c>
      <c r="AK321" s="98">
        <f t="shared" si="195"/>
        <v>1.0136375993001172</v>
      </c>
      <c r="AL321" s="98">
        <f t="shared" si="196"/>
        <v>0.16422177094451648</v>
      </c>
      <c r="AM321" s="98" t="str">
        <f t="shared" si="181"/>
        <v>1+16.7371301266001i</v>
      </c>
      <c r="AN321" s="98">
        <f t="shared" si="197"/>
        <v>16.766977213402082</v>
      </c>
      <c r="AO321" s="98">
        <f t="shared" si="198"/>
        <v>1.5111198698789692</v>
      </c>
      <c r="AP321" s="168" t="str">
        <f t="shared" si="199"/>
        <v>-0.880104383198131+0.200414003523905i</v>
      </c>
      <c r="AQ321" s="98">
        <f t="shared" si="200"/>
        <v>-0.88975898378151008</v>
      </c>
      <c r="AR321" s="169">
        <f t="shared" si="201"/>
        <v>167.1715765031382</v>
      </c>
      <c r="AS321" s="168" t="str">
        <f t="shared" si="202"/>
        <v>0.104805698442199+0.354258054483782i</v>
      </c>
      <c r="AT321" s="190">
        <f t="shared" si="203"/>
        <v>-8.6492142851730023</v>
      </c>
      <c r="AU321" s="169">
        <f t="shared" si="204"/>
        <v>73.519378703078388</v>
      </c>
      <c r="AV321" s="225"/>
      <c r="AX321">
        <f t="shared" si="205"/>
        <v>0</v>
      </c>
      <c r="AY321">
        <f t="shared" si="206"/>
        <v>0</v>
      </c>
    </row>
    <row r="322" spans="14:51" x14ac:dyDescent="0.2">
      <c r="N322" s="170">
        <v>4</v>
      </c>
      <c r="O322" s="199">
        <f t="shared" si="208"/>
        <v>10964.781961431856</v>
      </c>
      <c r="P322" s="189" t="str">
        <f t="shared" si="173"/>
        <v>6.8875</v>
      </c>
      <c r="Q322" s="160" t="str">
        <f t="shared" si="174"/>
        <v>1+17.2234392291241i</v>
      </c>
      <c r="R322" s="160">
        <f t="shared" si="182"/>
        <v>17.25244501163041</v>
      </c>
      <c r="S322" s="160">
        <f t="shared" si="183"/>
        <v>1.5128010226360173</v>
      </c>
      <c r="T322" s="160" t="str">
        <f t="shared" si="175"/>
        <v>1+0.0275575027665986i</v>
      </c>
      <c r="U322" s="160">
        <f t="shared" si="184"/>
        <v>1.0003796359176507</v>
      </c>
      <c r="V322" s="160">
        <f t="shared" si="185"/>
        <v>2.7550530074299341E-2</v>
      </c>
      <c r="W322" s="98" t="str">
        <f t="shared" si="176"/>
        <v>1-0.0715655369631195i</v>
      </c>
      <c r="X322" s="160">
        <f t="shared" si="186"/>
        <v>1.0025575425285171</v>
      </c>
      <c r="Y322" s="160">
        <f t="shared" si="187"/>
        <v>-7.1443733736088103E-2</v>
      </c>
      <c r="Z322" s="98" t="str">
        <f t="shared" si="177"/>
        <v>0.997515982573104+0.0820358673551992i</v>
      </c>
      <c r="AA322" s="160">
        <f t="shared" si="188"/>
        <v>1.0008836191193786</v>
      </c>
      <c r="AB322" s="160">
        <f t="shared" si="189"/>
        <v>8.2055493256554965E-2</v>
      </c>
      <c r="AC322" s="171" t="str">
        <f t="shared" si="190"/>
        <v>-0.0271630407740905-0.399114994381228i</v>
      </c>
      <c r="AD322" s="190">
        <f t="shared" si="191"/>
        <v>-7.9579694061940209</v>
      </c>
      <c r="AE322" s="169">
        <f t="shared" si="192"/>
        <v>-93.893442608712164</v>
      </c>
      <c r="AF322" s="98" t="str">
        <f t="shared" si="178"/>
        <v>-0.0000816326530612245</v>
      </c>
      <c r="AG322" s="98" t="str">
        <f t="shared" si="179"/>
        <v>0.00153081927868455i</v>
      </c>
      <c r="AH322" s="98">
        <f t="shared" si="193"/>
        <v>1.5308192786845499E-3</v>
      </c>
      <c r="AI322" s="98">
        <f t="shared" si="194"/>
        <v>1.5707963267948966</v>
      </c>
      <c r="AJ322" s="98" t="str">
        <f t="shared" si="180"/>
        <v>1+0.169574138311297i</v>
      </c>
      <c r="AK322" s="98">
        <f t="shared" si="195"/>
        <v>1.0142757950301382</v>
      </c>
      <c r="AL322" s="98">
        <f t="shared" si="196"/>
        <v>0.16797622806657708</v>
      </c>
      <c r="AM322" s="98" t="str">
        <f t="shared" si="181"/>
        <v>1+17.126987969441i</v>
      </c>
      <c r="AN322" s="98">
        <f t="shared" si="197"/>
        <v>17.156156822125894</v>
      </c>
      <c r="AO322" s="98">
        <f t="shared" si="198"/>
        <v>1.5124751579845446</v>
      </c>
      <c r="AP322" s="168" t="str">
        <f t="shared" si="199"/>
        <v>-0.878997185029347+0.202381310561111i</v>
      </c>
      <c r="AQ322" s="98">
        <f t="shared" si="200"/>
        <v>-0.895921314624331</v>
      </c>
      <c r="AR322" s="169">
        <f t="shared" si="201"/>
        <v>167.03411424415501</v>
      </c>
      <c r="AS322" s="168" t="str">
        <f t="shared" si="202"/>
        <v>0.104649652004726+0.345323664773418i</v>
      </c>
      <c r="AT322" s="190">
        <f t="shared" si="203"/>
        <v>-8.8538907208183435</v>
      </c>
      <c r="AU322" s="169">
        <f t="shared" si="204"/>
        <v>73.140671635442899</v>
      </c>
      <c r="AV322" s="225"/>
      <c r="AX322">
        <f t="shared" si="205"/>
        <v>0</v>
      </c>
      <c r="AY322">
        <f t="shared" si="206"/>
        <v>0</v>
      </c>
    </row>
    <row r="323" spans="14:51" x14ac:dyDescent="0.2">
      <c r="N323" s="170">
        <v>5</v>
      </c>
      <c r="O323" s="199">
        <f t="shared" si="208"/>
        <v>11220.184543019639</v>
      </c>
      <c r="P323" s="189" t="str">
        <f t="shared" si="173"/>
        <v>6.8875</v>
      </c>
      <c r="Q323" s="160" t="str">
        <f t="shared" si="174"/>
        <v>1+17.6246246661361i</v>
      </c>
      <c r="R323" s="160">
        <f t="shared" si="182"/>
        <v>17.652971268944302</v>
      </c>
      <c r="S323" s="160">
        <f t="shared" si="183"/>
        <v>1.5141182987568849</v>
      </c>
      <c r="T323" s="160" t="str">
        <f t="shared" si="175"/>
        <v>1+0.0281993994658178i</v>
      </c>
      <c r="U323" s="160">
        <f t="shared" si="184"/>
        <v>1.0003975240524303</v>
      </c>
      <c r="V323" s="160">
        <f t="shared" si="185"/>
        <v>2.8191928251745744E-2</v>
      </c>
      <c r="W323" s="98" t="str">
        <f t="shared" si="176"/>
        <v>1-0.0732325124631695i</v>
      </c>
      <c r="X323" s="160">
        <f t="shared" si="186"/>
        <v>1.002677914826924</v>
      </c>
      <c r="Y323" s="160">
        <f t="shared" si="187"/>
        <v>-7.3102016772637349E-2</v>
      </c>
      <c r="Z323" s="98" t="str">
        <f t="shared" si="177"/>
        <v>0.997398914438442+0.0839467281802488i</v>
      </c>
      <c r="AA323" s="160">
        <f t="shared" si="188"/>
        <v>1.0009253956690034</v>
      </c>
      <c r="AB323" s="160">
        <f t="shared" si="189"/>
        <v>8.3967751556334444E-2</v>
      </c>
      <c r="AC323" s="171" t="str">
        <f t="shared" si="190"/>
        <v>-0.0282055668285547-0.389980789132109i</v>
      </c>
      <c r="AD323" s="190">
        <f t="shared" si="191"/>
        <v>-8.156477070324117</v>
      </c>
      <c r="AE323" s="169">
        <f t="shared" si="192"/>
        <v>-94.136744511484821</v>
      </c>
      <c r="AF323" s="98" t="str">
        <f t="shared" si="178"/>
        <v>-0.0000816326530612245</v>
      </c>
      <c r="AG323" s="98" t="str">
        <f t="shared" si="179"/>
        <v>0.00156647664032618i</v>
      </c>
      <c r="AH323" s="98">
        <f t="shared" si="193"/>
        <v>1.5664766403261799E-3</v>
      </c>
      <c r="AI323" s="98">
        <f t="shared" si="194"/>
        <v>1.5707963267948966</v>
      </c>
      <c r="AJ323" s="98" t="str">
        <f t="shared" si="180"/>
        <v>1+0.173524027405998i</v>
      </c>
      <c r="AK323" s="98">
        <f t="shared" si="195"/>
        <v>1.0149436378869505</v>
      </c>
      <c r="AL323" s="98">
        <f t="shared" si="196"/>
        <v>0.17181319432610348</v>
      </c>
      <c r="AM323" s="98" t="str">
        <f t="shared" si="181"/>
        <v>1+17.5259267680058i</v>
      </c>
      <c r="AN323" s="98">
        <f t="shared" si="197"/>
        <v>17.554432747243705</v>
      </c>
      <c r="AO323" s="98">
        <f t="shared" si="198"/>
        <v>1.5137998032597171</v>
      </c>
      <c r="AP323" s="168" t="str">
        <f t="shared" si="199"/>
        <v>-0.8778407880968+0.204438738609122i</v>
      </c>
      <c r="AQ323" s="98">
        <f t="shared" si="200"/>
        <v>-0.902302739263666</v>
      </c>
      <c r="AR323" s="169">
        <f t="shared" si="201"/>
        <v>166.89016885496932</v>
      </c>
      <c r="AS323" s="168" t="str">
        <f t="shared" si="202"/>
        <v>0.104487177625454+0.336574732770157i</v>
      </c>
      <c r="AT323" s="190">
        <f t="shared" si="203"/>
        <v>-9.0587798095877918</v>
      </c>
      <c r="AU323" s="169">
        <f t="shared" si="204"/>
        <v>72.75342434348444</v>
      </c>
      <c r="AV323" s="225"/>
      <c r="AX323">
        <f t="shared" si="205"/>
        <v>0</v>
      </c>
      <c r="AY323">
        <f t="shared" si="206"/>
        <v>0</v>
      </c>
    </row>
    <row r="324" spans="14:51" x14ac:dyDescent="0.2">
      <c r="N324" s="170">
        <v>6</v>
      </c>
      <c r="O324" s="199">
        <f t="shared" si="208"/>
        <v>11481.536214968832</v>
      </c>
      <c r="P324" s="189" t="str">
        <f t="shared" si="173"/>
        <v>6.8875</v>
      </c>
      <c r="Q324" s="160" t="str">
        <f t="shared" si="174"/>
        <v>1+18.0351549124356i</v>
      </c>
      <c r="R324" s="160">
        <f t="shared" si="182"/>
        <v>18.062857268869454</v>
      </c>
      <c r="S324" s="160">
        <f t="shared" si="183"/>
        <v>1.5154057803099334</v>
      </c>
      <c r="T324" s="160" t="str">
        <f t="shared" si="175"/>
        <v>1+0.028856247859897i</v>
      </c>
      <c r="U324" s="160">
        <f t="shared" si="184"/>
        <v>1.0004162548862108</v>
      </c>
      <c r="V324" s="160">
        <f t="shared" si="185"/>
        <v>2.8848242489675859E-2</v>
      </c>
      <c r="W324" s="98" t="str">
        <f t="shared" si="176"/>
        <v>1-0.0749383168106743i</v>
      </c>
      <c r="X324" s="160">
        <f t="shared" si="186"/>
        <v>1.002803944610519</v>
      </c>
      <c r="Y324" s="160">
        <f t="shared" si="187"/>
        <v>-7.4798509266501195E-2</v>
      </c>
      <c r="Z324" s="98" t="str">
        <f t="shared" si="177"/>
        <v>0.997276329052569+0.0859020986717459i</v>
      </c>
      <c r="AA324" s="160">
        <f t="shared" si="188"/>
        <v>1.0009691538927552</v>
      </c>
      <c r="AB324" s="160">
        <f t="shared" si="189"/>
        <v>8.5924618718384915E-2</v>
      </c>
      <c r="AC324" s="171" t="str">
        <f t="shared" si="190"/>
        <v>-0.0292011697672416-0.381048029761299i</v>
      </c>
      <c r="AD324" s="190">
        <f t="shared" si="191"/>
        <v>-8.3549751895428823</v>
      </c>
      <c r="AE324" s="169">
        <f t="shared" si="192"/>
        <v>-94.382229824134967</v>
      </c>
      <c r="AF324" s="98" t="str">
        <f t="shared" si="178"/>
        <v>-0.0000816326530612245</v>
      </c>
      <c r="AG324" s="98" t="str">
        <f t="shared" si="179"/>
        <v>0.00160296456861728i</v>
      </c>
      <c r="AH324" s="98">
        <f t="shared" si="193"/>
        <v>1.6029645686172799E-3</v>
      </c>
      <c r="AI324" s="98">
        <f t="shared" si="194"/>
        <v>1.5707963267948966</v>
      </c>
      <c r="AJ324" s="98" t="str">
        <f t="shared" si="180"/>
        <v>1+0.177565921236891i</v>
      </c>
      <c r="AK324" s="98">
        <f t="shared" si="195"/>
        <v>1.0156424845311984</v>
      </c>
      <c r="AL324" s="98">
        <f t="shared" si="196"/>
        <v>0.17573425199500758</v>
      </c>
      <c r="AM324" s="98" t="str">
        <f t="shared" si="181"/>
        <v>1+17.934158044926i</v>
      </c>
      <c r="AN324" s="98">
        <f t="shared" si="197"/>
        <v>17.962016166911329</v>
      </c>
      <c r="AO324" s="98">
        <f t="shared" si="198"/>
        <v>1.515094489443743</v>
      </c>
      <c r="AP324" s="168" t="str">
        <f t="shared" si="199"/>
        <v>-0.87663314852489+0.206586222162682i</v>
      </c>
      <c r="AQ324" s="98">
        <f t="shared" si="200"/>
        <v>-0.90891575853136697</v>
      </c>
      <c r="AR324" s="169">
        <f t="shared" si="201"/>
        <v>166.73968885345235</v>
      </c>
      <c r="AS324" s="168" t="str">
        <f t="shared" si="202"/>
        <v>0.104317986324587+0.328006774723908i</v>
      </c>
      <c r="AT324" s="190">
        <f t="shared" si="203"/>
        <v>-9.2638909480742466</v>
      </c>
      <c r="AU324" s="169">
        <f t="shared" si="204"/>
        <v>72.357459029317369</v>
      </c>
      <c r="AV324" s="225"/>
      <c r="AX324">
        <f t="shared" si="205"/>
        <v>0</v>
      </c>
      <c r="AY324">
        <f t="shared" si="206"/>
        <v>0</v>
      </c>
    </row>
    <row r="325" spans="14:51" x14ac:dyDescent="0.2">
      <c r="N325" s="170">
        <v>7</v>
      </c>
      <c r="O325" s="199">
        <f t="shared" si="208"/>
        <v>11748.975549395318</v>
      </c>
      <c r="P325" s="189" t="str">
        <f t="shared" si="173"/>
        <v>6.8875</v>
      </c>
      <c r="Q325" s="160" t="str">
        <f t="shared" si="174"/>
        <v>1+18.4552476365932i</v>
      </c>
      <c r="R325" s="160">
        <f t="shared" si="182"/>
        <v>18.482320344804624</v>
      </c>
      <c r="S325" s="160">
        <f t="shared" si="183"/>
        <v>1.5166641328521318</v>
      </c>
      <c r="T325" s="160" t="str">
        <f t="shared" si="175"/>
        <v>1+0.0295283962185492i</v>
      </c>
      <c r="U325" s="160">
        <f t="shared" si="184"/>
        <v>1.0004358681011192</v>
      </c>
      <c r="V325" s="160">
        <f t="shared" si="185"/>
        <v>2.9519818511641233E-2</v>
      </c>
      <c r="W325" s="98" t="str">
        <f t="shared" si="176"/>
        <v>1-0.0766838544456782i</v>
      </c>
      <c r="X325" s="160">
        <f t="shared" si="186"/>
        <v>1.002935897020665</v>
      </c>
      <c r="Y325" s="160">
        <f t="shared" si="187"/>
        <v>-7.653407163735676E-2</v>
      </c>
      <c r="Z325" s="98" t="str">
        <f t="shared" si="177"/>
        <v>0.997147966395449+0.0879030155930076i</v>
      </c>
      <c r="AA325" s="160">
        <f t="shared" si="188"/>
        <v>1.001014988417718</v>
      </c>
      <c r="AB325" s="160">
        <f t="shared" si="189"/>
        <v>8.7927138508950842E-2</v>
      </c>
      <c r="AC325" s="171" t="str">
        <f t="shared" si="190"/>
        <v>-0.030151921485082-0.372312333263452i</v>
      </c>
      <c r="AD325" s="190">
        <f t="shared" si="191"/>
        <v>-8.5534606427171465</v>
      </c>
      <c r="AE325" s="169">
        <f t="shared" si="192"/>
        <v>-94.630025973584281</v>
      </c>
      <c r="AF325" s="98" t="str">
        <f t="shared" si="178"/>
        <v>-0.0000816326530612245</v>
      </c>
      <c r="AG325" s="98" t="str">
        <f t="shared" si="179"/>
        <v>0.00164030240994041i</v>
      </c>
      <c r="AH325" s="98">
        <f t="shared" si="193"/>
        <v>1.6403024099404099E-3</v>
      </c>
      <c r="AI325" s="98">
        <f t="shared" si="194"/>
        <v>1.5707963267948966</v>
      </c>
      <c r="AJ325" s="98" t="str">
        <f t="shared" si="180"/>
        <v>1+0.181701962869587i</v>
      </c>
      <c r="AK325" s="98">
        <f t="shared" si="195"/>
        <v>1.0163737517816271</v>
      </c>
      <c r="AL325" s="98">
        <f t="shared" si="196"/>
        <v>0.17974099754953207</v>
      </c>
      <c r="AM325" s="98" t="str">
        <f t="shared" si="181"/>
        <v>1+18.3518982498283i</v>
      </c>
      <c r="AN325" s="98">
        <f t="shared" si="197"/>
        <v>18.379123193777524</v>
      </c>
      <c r="AO325" s="98">
        <f t="shared" si="198"/>
        <v>1.5163598856251947</v>
      </c>
      <c r="AP325" s="168" t="str">
        <f t="shared" si="199"/>
        <v>-0.875372150793518+0.208823669184935i</v>
      </c>
      <c r="AQ325" s="98">
        <f t="shared" si="200"/>
        <v>-0.9157732712322062</v>
      </c>
      <c r="AR325" s="169">
        <f t="shared" si="201"/>
        <v>166.58262110420438</v>
      </c>
      <c r="AS325" s="168" t="str">
        <f t="shared" si="202"/>
        <v>0.104141779875832+0.31961541305829i</v>
      </c>
      <c r="AT325" s="190">
        <f t="shared" si="203"/>
        <v>-9.4692339139493562</v>
      </c>
      <c r="AU325" s="169">
        <f t="shared" si="204"/>
        <v>71.952595130620097</v>
      </c>
      <c r="AV325" s="225"/>
      <c r="AX325">
        <f t="shared" si="205"/>
        <v>0</v>
      </c>
      <c r="AY325">
        <f t="shared" si="206"/>
        <v>0</v>
      </c>
    </row>
    <row r="326" spans="14:51" x14ac:dyDescent="0.2">
      <c r="N326" s="170">
        <v>8</v>
      </c>
      <c r="O326" s="199">
        <f t="shared" si="208"/>
        <v>12022.644346174151</v>
      </c>
      <c r="P326" s="189" t="str">
        <f t="shared" si="173"/>
        <v>6.8875</v>
      </c>
      <c r="Q326" s="160" t="str">
        <f t="shared" si="174"/>
        <v>1+18.8851255773318i</v>
      </c>
      <c r="R326" s="160">
        <f t="shared" si="182"/>
        <v>18.911582907614889</v>
      </c>
      <c r="S326" s="160">
        <f t="shared" si="183"/>
        <v>1.5178940076293044</v>
      </c>
      <c r="T326" s="160" t="str">
        <f t="shared" si="175"/>
        <v>1+0.0302162009237308i</v>
      </c>
      <c r="U326" s="160">
        <f t="shared" si="184"/>
        <v>1.0004564052462572</v>
      </c>
      <c r="V326" s="160">
        <f t="shared" si="185"/>
        <v>3.0207009971627747E-2</v>
      </c>
      <c r="W326" s="98" t="str">
        <f t="shared" si="176"/>
        <v>1-0.0784700508753398i</v>
      </c>
      <c r="X326" s="160">
        <f t="shared" si="186"/>
        <v>1.0030740495518655</v>
      </c>
      <c r="Y326" s="160">
        <f t="shared" si="187"/>
        <v>-7.8309582257383964E-2</v>
      </c>
      <c r="Z326" s="98" t="str">
        <f t="shared" si="177"/>
        <v>0.997013554192674+0.0899505398566705i</v>
      </c>
      <c r="AA326" s="160">
        <f t="shared" si="188"/>
        <v>1.0010629984493555</v>
      </c>
      <c r="AB326" s="160">
        <f t="shared" si="189"/>
        <v>8.9976379333295081E-2</v>
      </c>
      <c r="AC326" s="171" t="str">
        <f t="shared" si="190"/>
        <v>-0.0310598022095004-0.363769397764997i</v>
      </c>
      <c r="AD326" s="190">
        <f t="shared" si="191"/>
        <v>-8.7519302857388599</v>
      </c>
      <c r="AE326" s="169">
        <f t="shared" si="192"/>
        <v>-94.880261552720242</v>
      </c>
      <c r="AF326" s="98" t="str">
        <f t="shared" si="178"/>
        <v>-0.0000816326530612245</v>
      </c>
      <c r="AG326" s="98" t="str">
        <f t="shared" si="179"/>
        <v>0.00167850996131325i</v>
      </c>
      <c r="AH326" s="98">
        <f t="shared" si="193"/>
        <v>1.67850996131325E-3</v>
      </c>
      <c r="AI326" s="98">
        <f t="shared" si="194"/>
        <v>1.5707963267948966</v>
      </c>
      <c r="AJ326" s="98" t="str">
        <f t="shared" si="180"/>
        <v>1+0.185934345288106i</v>
      </c>
      <c r="AK326" s="98">
        <f t="shared" si="195"/>
        <v>1.0171389191048177</v>
      </c>
      <c r="AL326" s="98">
        <f t="shared" si="196"/>
        <v>0.18383504057024708</v>
      </c>
      <c r="AM326" s="98" t="str">
        <f t="shared" si="181"/>
        <v>1+18.7793688740987i</v>
      </c>
      <c r="AN326" s="98">
        <f t="shared" si="197"/>
        <v>18.80597498960017</v>
      </c>
      <c r="AO326" s="98">
        <f t="shared" si="198"/>
        <v>1.5175966465151973</v>
      </c>
      <c r="AP326" s="168" t="str">
        <f t="shared" si="199"/>
        <v>-0.874055606486923+0.211150956700856i</v>
      </c>
      <c r="AQ326" s="98">
        <f t="shared" si="200"/>
        <v>-0.92288859284918356</v>
      </c>
      <c r="AR326" s="169">
        <f t="shared" si="201"/>
        <v>166.41891089723646</v>
      </c>
      <c r="AS326" s="168" t="str">
        <f t="shared" si="202"/>
        <v>0.103958250614162+0.311396374633392i</v>
      </c>
      <c r="AT326" s="190">
        <f t="shared" si="203"/>
        <v>-9.674818878588038</v>
      </c>
      <c r="AU326" s="169">
        <f t="shared" si="204"/>
        <v>71.53864934451623</v>
      </c>
      <c r="AV326" s="225"/>
      <c r="AX326">
        <f t="shared" si="205"/>
        <v>0</v>
      </c>
      <c r="AY326">
        <f t="shared" si="206"/>
        <v>0</v>
      </c>
    </row>
    <row r="327" spans="14:51" x14ac:dyDescent="0.2">
      <c r="N327" s="170">
        <v>9</v>
      </c>
      <c r="O327" s="199">
        <f t="shared" si="208"/>
        <v>12302.687708123816</v>
      </c>
      <c r="P327" s="189" t="str">
        <f t="shared" si="173"/>
        <v>6.8875</v>
      </c>
      <c r="Q327" s="160" t="str">
        <f t="shared" si="174"/>
        <v>1+19.3250166616256i</v>
      </c>
      <c r="R327" s="160">
        <f t="shared" si="182"/>
        <v>19.350872563585007</v>
      </c>
      <c r="S327" s="160">
        <f t="shared" si="183"/>
        <v>1.5190960418465103</v>
      </c>
      <c r="T327" s="160" t="str">
        <f t="shared" si="175"/>
        <v>1+0.030920026658601i</v>
      </c>
      <c r="U327" s="160">
        <f t="shared" si="184"/>
        <v>1.0004779098253838</v>
      </c>
      <c r="V327" s="160">
        <f t="shared" si="185"/>
        <v>3.0910178630047604E-2</v>
      </c>
      <c r="W327" s="98" t="str">
        <f t="shared" si="176"/>
        <v>1-0.0802978531646494i</v>
      </c>
      <c r="X327" s="160">
        <f t="shared" si="186"/>
        <v>1.0032186926203337</v>
      </c>
      <c r="Y327" s="160">
        <f t="shared" si="187"/>
        <v>-8.0125937723300372E-2</v>
      </c>
      <c r="Z327" s="98" t="str">
        <f t="shared" si="177"/>
        <v>0.996872807337942+0.0920457570872015i</v>
      </c>
      <c r="AA327" s="160">
        <f t="shared" si="188"/>
        <v>1.0011132879987088</v>
      </c>
      <c r="AB327" s="160">
        <f t="shared" si="189"/>
        <v>9.2073434831874759E-2</v>
      </c>
      <c r="AC327" s="171" t="str">
        <f t="shared" si="190"/>
        <v>-0.0319267043960065-0.355415001776417i</v>
      </c>
      <c r="AD327" s="190">
        <f t="shared" si="191"/>
        <v>-8.9503809454281367</v>
      </c>
      <c r="AE327" s="169">
        <f t="shared" si="192"/>
        <v>-95.133066375548964</v>
      </c>
      <c r="AF327" s="98" t="str">
        <f t="shared" si="178"/>
        <v>-0.0000816326530612245</v>
      </c>
      <c r="AG327" s="98" t="str">
        <f t="shared" si="179"/>
        <v>0.00171760748088528i</v>
      </c>
      <c r="AH327" s="98">
        <f t="shared" si="193"/>
        <v>1.7176074808852801E-3</v>
      </c>
      <c r="AI327" s="98">
        <f t="shared" si="194"/>
        <v>1.5707963267948966</v>
      </c>
      <c r="AJ327" s="98" t="str">
        <f t="shared" si="180"/>
        <v>1+0.190265312557629i</v>
      </c>
      <c r="AK327" s="98">
        <f t="shared" si="195"/>
        <v>1.0179395311916382</v>
      </c>
      <c r="AL327" s="98">
        <f t="shared" si="196"/>
        <v>0.18801800253540962</v>
      </c>
      <c r="AM327" s="98" t="str">
        <f t="shared" si="181"/>
        <v>1+19.2167965683205i</v>
      </c>
      <c r="AN327" s="98">
        <f t="shared" si="197"/>
        <v>19.242797882538145</v>
      </c>
      <c r="AO327" s="98">
        <f t="shared" si="198"/>
        <v>1.5188054127183932</v>
      </c>
      <c r="AP327" s="168" t="str">
        <f t="shared" si="199"/>
        <v>-0.872681253153584+0.213567926167115i</v>
      </c>
      <c r="AQ327" s="98">
        <f t="shared" si="200"/>
        <v>-0.9302754743979329</v>
      </c>
      <c r="AR327" s="169">
        <f t="shared" si="201"/>
        <v>166.24850203263003</v>
      </c>
      <c r="AS327" s="168" t="str">
        <f t="shared" si="202"/>
        <v>0.103767081259442+0.303345489092621i</v>
      </c>
      <c r="AT327" s="190">
        <f t="shared" si="203"/>
        <v>-9.8806564198260727</v>
      </c>
      <c r="AU327" s="169">
        <f t="shared" si="204"/>
        <v>71.115435657081008</v>
      </c>
      <c r="AV327" s="225"/>
      <c r="AX327">
        <f t="shared" si="205"/>
        <v>0</v>
      </c>
      <c r="AY327">
        <f t="shared" si="206"/>
        <v>0</v>
      </c>
    </row>
    <row r="328" spans="14:51" x14ac:dyDescent="0.2">
      <c r="N328" s="170">
        <v>10</v>
      </c>
      <c r="O328" s="199">
        <f t="shared" si="208"/>
        <v>12589.254117941671</v>
      </c>
      <c r="P328" s="189" t="str">
        <f t="shared" si="173"/>
        <v>6.8875</v>
      </c>
      <c r="Q328" s="160" t="str">
        <f t="shared" si="174"/>
        <v>1+19.7751541255503i</v>
      </c>
      <c r="R328" s="160">
        <f t="shared" si="182"/>
        <v>19.800422235125922</v>
      </c>
      <c r="S328" s="160">
        <f t="shared" si="183"/>
        <v>1.5202708589358989</v>
      </c>
      <c r="T328" s="160" t="str">
        <f t="shared" si="175"/>
        <v>1+0.0316402466008805i</v>
      </c>
      <c r="U328" s="160">
        <f t="shared" si="184"/>
        <v>1.0005004273886966</v>
      </c>
      <c r="V328" s="160">
        <f t="shared" si="185"/>
        <v>3.1629694533207457E-2</v>
      </c>
      <c r="W328" s="98" t="str">
        <f t="shared" si="176"/>
        <v>1-0.0821682304385746i</v>
      </c>
      <c r="X328" s="160">
        <f t="shared" si="186"/>
        <v>1.0033701301580622</v>
      </c>
      <c r="Y328" s="160">
        <f t="shared" si="187"/>
        <v>-8.1984053124674466E-2</v>
      </c>
      <c r="Z328" s="98" t="str">
        <f t="shared" si="177"/>
        <v>0.996725427288303+0.0941897781965098i</v>
      </c>
      <c r="AA328" s="160">
        <f t="shared" si="188"/>
        <v>1.001165966121381</v>
      </c>
      <c r="AB328" s="160">
        <f t="shared" si="189"/>
        <v>9.421942449186238E-2</v>
      </c>
      <c r="AC328" s="171" t="str">
        <f t="shared" si="190"/>
        <v>-0.0327544364638748-0.34724500338754i</v>
      </c>
      <c r="AD328" s="190">
        <f t="shared" si="191"/>
        <v>-9.1488094134114615</v>
      </c>
      <c r="AE328" s="169">
        <f t="shared" si="192"/>
        <v>-95.388571532670156</v>
      </c>
      <c r="AF328" s="98" t="str">
        <f t="shared" si="178"/>
        <v>-0.0000816326530612245</v>
      </c>
      <c r="AG328" s="98" t="str">
        <f t="shared" si="179"/>
        <v>0.00175761569867891i</v>
      </c>
      <c r="AH328" s="98">
        <f t="shared" si="193"/>
        <v>1.75761569867891E-3</v>
      </c>
      <c r="AI328" s="98">
        <f t="shared" si="194"/>
        <v>1.5707963267948966</v>
      </c>
      <c r="AJ328" s="98" t="str">
        <f t="shared" si="180"/>
        <v>1+0.194697161014329i</v>
      </c>
      <c r="AK328" s="98">
        <f t="shared" si="195"/>
        <v>1.0187772006219218</v>
      </c>
      <c r="AL328" s="98">
        <f t="shared" si="196"/>
        <v>0.19229151550170698</v>
      </c>
      <c r="AM328" s="98" t="str">
        <f t="shared" si="181"/>
        <v>1+19.6644132624472i</v>
      </c>
      <c r="AN328" s="98">
        <f t="shared" si="197"/>
        <v>19.689823487180107</v>
      </c>
      <c r="AO328" s="98">
        <f t="shared" si="198"/>
        <v>1.5199868110014314</v>
      </c>
      <c r="AP328" s="168" t="str">
        <f t="shared" si="199"/>
        <v>-0.871246753294384+0.216074378611899i</v>
      </c>
      <c r="AQ328" s="98">
        <f t="shared" si="200"/>
        <v>-0.93794812140698314</v>
      </c>
      <c r="AR328" s="169">
        <f t="shared" si="201"/>
        <v>166.07133691150887</v>
      </c>
      <c r="AS328" s="168" t="str">
        <f t="shared" si="202"/>
        <v>0.103567944758188+0.295458687293377i</v>
      </c>
      <c r="AT328" s="190">
        <f t="shared" si="203"/>
        <v>-10.086757534818441</v>
      </c>
      <c r="AU328" s="169">
        <f t="shared" si="204"/>
        <v>70.682765378838653</v>
      </c>
      <c r="AV328" s="225"/>
      <c r="AX328">
        <f t="shared" si="205"/>
        <v>0</v>
      </c>
      <c r="AY328">
        <f t="shared" si="206"/>
        <v>0</v>
      </c>
    </row>
    <row r="329" spans="14:51" x14ac:dyDescent="0.2">
      <c r="N329" s="170">
        <v>11</v>
      </c>
      <c r="O329" s="199">
        <f t="shared" si="208"/>
        <v>12882.49551693136</v>
      </c>
      <c r="P329" s="189" t="str">
        <f t="shared" si="173"/>
        <v>6.8875</v>
      </c>
      <c r="Q329" s="160" t="str">
        <f t="shared" si="174"/>
        <v>1+20.2357766379475i</v>
      </c>
      <c r="R329" s="160">
        <f t="shared" si="182"/>
        <v>20.260470284297497</v>
      </c>
      <c r="S329" s="160">
        <f t="shared" si="183"/>
        <v>1.5214190688218636</v>
      </c>
      <c r="T329" s="160" t="str">
        <f t="shared" si="175"/>
        <v>1+0.032377242620716i</v>
      </c>
      <c r="U329" s="160">
        <f t="shared" si="184"/>
        <v>1.0005240056289109</v>
      </c>
      <c r="V329" s="160">
        <f t="shared" si="185"/>
        <v>3.236593619629375E-2</v>
      </c>
      <c r="W329" s="98" t="str">
        <f t="shared" si="176"/>
        <v>1-0.0840821743959037i</v>
      </c>
      <c r="X329" s="160">
        <f t="shared" si="186"/>
        <v>1.0035286802334766</v>
      </c>
      <c r="Y329" s="160">
        <f t="shared" si="187"/>
        <v>-8.3884862307761709E-2</v>
      </c>
      <c r="Z329" s="98" t="str">
        <f t="shared" si="177"/>
        <v>0.996571101430914+0.0963837399729672i</v>
      </c>
      <c r="AA329" s="160">
        <f t="shared" si="188"/>
        <v>1.0012211471689965</v>
      </c>
      <c r="AB329" s="160">
        <f t="shared" si="189"/>
        <v>9.6415494274457406E-2</v>
      </c>
      <c r="AC329" s="171" t="str">
        <f t="shared" si="190"/>
        <v>-0.0335447263775498-0.339255339411786i</v>
      </c>
      <c r="AD329" s="190">
        <f t="shared" si="191"/>
        <v>-9.34721243996675</v>
      </c>
      <c r="AE329" s="169">
        <f t="shared" si="192"/>
        <v>-95.646909447044123</v>
      </c>
      <c r="AF329" s="98" t="str">
        <f t="shared" si="178"/>
        <v>-0.0000816326530612245</v>
      </c>
      <c r="AG329" s="98" t="str">
        <f t="shared" si="179"/>
        <v>0.00179855582758077i</v>
      </c>
      <c r="AH329" s="98">
        <f t="shared" si="193"/>
        <v>1.79855582758077E-3</v>
      </c>
      <c r="AI329" s="98">
        <f t="shared" si="194"/>
        <v>1.5707963267948966</v>
      </c>
      <c r="AJ329" s="98" t="str">
        <f t="shared" si="180"/>
        <v>1+0.199232240482921i</v>
      </c>
      <c r="AK329" s="98">
        <f t="shared" si="195"/>
        <v>1.0196536106187455</v>
      </c>
      <c r="AL329" s="98">
        <f t="shared" si="196"/>
        <v>0.19665722066627245</v>
      </c>
      <c r="AM329" s="98" t="str">
        <f t="shared" si="181"/>
        <v>1+20.122456288775i</v>
      </c>
      <c r="AN329" s="98">
        <f t="shared" si="197"/>
        <v>20.147288827374776</v>
      </c>
      <c r="AO329" s="98">
        <f t="shared" si="198"/>
        <v>1.521141454558794</v>
      </c>
      <c r="AP329" s="168" t="str">
        <f t="shared" si="199"/>
        <v>-0.869749693497274+0.218670069538866i</v>
      </c>
      <c r="AQ329" s="98">
        <f t="shared" si="200"/>
        <v>-0.94592121299947096</v>
      </c>
      <c r="AR329" s="169">
        <f t="shared" si="201"/>
        <v>165.88735663365966</v>
      </c>
      <c r="AS329" s="168" t="str">
        <f t="shared" si="202"/>
        <v>0.103360504145931+0.287731999821073i</v>
      </c>
      <c r="AT329" s="190">
        <f t="shared" si="203"/>
        <v>-10.293133652966231</v>
      </c>
      <c r="AU329" s="169">
        <f t="shared" si="204"/>
        <v>70.240447186615484</v>
      </c>
      <c r="AV329" s="225"/>
      <c r="AX329">
        <f t="shared" si="205"/>
        <v>0</v>
      </c>
      <c r="AY329">
        <f t="shared" si="206"/>
        <v>0</v>
      </c>
    </row>
    <row r="330" spans="14:51" x14ac:dyDescent="0.2">
      <c r="N330" s="170">
        <v>12</v>
      </c>
      <c r="O330" s="199">
        <f t="shared" si="208"/>
        <v>13182.567385564091</v>
      </c>
      <c r="P330" s="189" t="str">
        <f t="shared" si="173"/>
        <v>6.8875</v>
      </c>
      <c r="Q330" s="160" t="str">
        <f t="shared" si="174"/>
        <v>1+20.7071284269703i</v>
      </c>
      <c r="R330" s="160">
        <f t="shared" si="182"/>
        <v>20.73126063921443</v>
      </c>
      <c r="S330" s="160">
        <f t="shared" si="183"/>
        <v>1.5225412681833366</v>
      </c>
      <c r="T330" s="160" t="str">
        <f t="shared" si="175"/>
        <v>1+0.0331314054831524i</v>
      </c>
      <c r="U330" s="160">
        <f t="shared" si="184"/>
        <v>1.0005486944818274</v>
      </c>
      <c r="V330" s="160">
        <f t="shared" si="185"/>
        <v>3.3119290789907066E-2</v>
      </c>
      <c r="W330" s="98" t="str">
        <f t="shared" si="176"/>
        <v>1-0.0860406998350565i</v>
      </c>
      <c r="X330" s="160">
        <f t="shared" si="186"/>
        <v>1.00369467569979</v>
      </c>
      <c r="Y330" s="160">
        <f t="shared" si="187"/>
        <v>-8.5829318134042334E-2</v>
      </c>
      <c r="Z330" s="98" t="str">
        <f t="shared" si="177"/>
        <v>0.996409502419939+0.0986288056841477i</v>
      </c>
      <c r="AA330" s="160">
        <f t="shared" si="188"/>
        <v>1.0012789510538169</v>
      </c>
      <c r="AB330" s="160">
        <f t="shared" si="189"/>
        <v>9.8662817258449012E-2</v>
      </c>
      <c r="AC330" s="171" t="str">
        <f t="shared" si="190"/>
        <v>-0.0342992250792779-0.331442024484866i</v>
      </c>
      <c r="AD330" s="190">
        <f t="shared" si="191"/>
        <v>-9.5455867278279474</v>
      </c>
      <c r="AE330" s="169">
        <f t="shared" si="192"/>
        <v>-95.908213930018945</v>
      </c>
      <c r="AF330" s="98" t="str">
        <f t="shared" si="178"/>
        <v>-0.0000816326530612245</v>
      </c>
      <c r="AG330" s="98" t="str">
        <f t="shared" si="179"/>
        <v>0.00184044957458912i</v>
      </c>
      <c r="AH330" s="98">
        <f t="shared" si="193"/>
        <v>1.8404495745891201E-3</v>
      </c>
      <c r="AI330" s="98">
        <f t="shared" si="194"/>
        <v>1.5707963267948966</v>
      </c>
      <c r="AJ330" s="98" t="str">
        <f t="shared" si="180"/>
        <v>1+0.203872955522567i</v>
      </c>
      <c r="AK330" s="98">
        <f t="shared" si="195"/>
        <v>1.0205705178935489</v>
      </c>
      <c r="AL330" s="98">
        <f t="shared" si="196"/>
        <v>0.2011167668037098</v>
      </c>
      <c r="AM330" s="98" t="str">
        <f t="shared" si="181"/>
        <v>1+20.5911685077793i</v>
      </c>
      <c r="AN330" s="98">
        <f t="shared" si="197"/>
        <v>20.615436461927313</v>
      </c>
      <c r="AO330" s="98">
        <f t="shared" si="198"/>
        <v>1.5222699432758033</v>
      </c>
      <c r="AP330" s="168" t="str">
        <f t="shared" si="199"/>
        <v>-0.868187583738319+0.2213547035901i</v>
      </c>
      <c r="AQ330" s="98">
        <f t="shared" si="200"/>
        <v>-0.95420992104540636</v>
      </c>
      <c r="AR330" s="169">
        <f t="shared" si="201"/>
        <v>165.69650110215338</v>
      </c>
      <c r="AS330" s="168" t="str">
        <f t="shared" si="202"/>
        <v>0.103144412432825+0.280161555586059i</v>
      </c>
      <c r="AT330" s="190">
        <f t="shared" si="203"/>
        <v>-10.499796648873351</v>
      </c>
      <c r="AU330" s="169">
        <f t="shared" si="204"/>
        <v>69.788287172134503</v>
      </c>
      <c r="AV330" s="225"/>
      <c r="AX330">
        <f t="shared" si="205"/>
        <v>0</v>
      </c>
      <c r="AY330">
        <f t="shared" si="206"/>
        <v>0</v>
      </c>
    </row>
    <row r="331" spans="14:51" x14ac:dyDescent="0.2">
      <c r="N331" s="170">
        <v>13</v>
      </c>
      <c r="O331" s="199">
        <f t="shared" si="208"/>
        <v>13489.628825916556</v>
      </c>
      <c r="P331" s="189" t="str">
        <f t="shared" si="173"/>
        <v>6.8875</v>
      </c>
      <c r="Q331" s="160" t="str">
        <f t="shared" si="174"/>
        <v>1+21.1894594095763i</v>
      </c>
      <c r="R331" s="160">
        <f t="shared" si="182"/>
        <v>21.21304292340167</v>
      </c>
      <c r="S331" s="160">
        <f t="shared" si="183"/>
        <v>1.5236380407130821</v>
      </c>
      <c r="T331" s="160" t="str">
        <f t="shared" si="175"/>
        <v>1+0.033903135055322i</v>
      </c>
      <c r="U331" s="160">
        <f t="shared" si="184"/>
        <v>1.0005745462316036</v>
      </c>
      <c r="V331" s="160">
        <f t="shared" si="185"/>
        <v>3.3890154330179625E-2</v>
      </c>
      <c r="W331" s="98" t="str">
        <f t="shared" si="176"/>
        <v>1-0.0880448451921452i</v>
      </c>
      <c r="X331" s="160">
        <f t="shared" si="186"/>
        <v>1.0038684648722207</v>
      </c>
      <c r="Y331" s="160">
        <f t="shared" si="187"/>
        <v>-8.7818392732581491E-2</v>
      </c>
      <c r="Z331" s="98" t="str">
        <f t="shared" si="177"/>
        <v>0.996240287482211+0.100926165693609i</v>
      </c>
      <c r="AA331" s="160">
        <f t="shared" si="188"/>
        <v>1.0013395035272765</v>
      </c>
      <c r="AB331" s="160">
        <f t="shared" si="189"/>
        <v>0.10096259430050665</v>
      </c>
      <c r="AC331" s="171" t="str">
        <f t="shared" si="190"/>
        <v>-0.0350195097783322-0.32380115012305i</v>
      </c>
      <c r="AD331" s="190">
        <f t="shared" si="191"/>
        <v>-9.7439289259418675</v>
      </c>
      <c r="AE331" s="169">
        <f t="shared" si="192"/>
        <v>-96.172620237585065</v>
      </c>
      <c r="AF331" s="98" t="str">
        <f t="shared" si="178"/>
        <v>-0.0000816326530612245</v>
      </c>
      <c r="AG331" s="98" t="str">
        <f t="shared" si="179"/>
        <v>0.00188331915232314i</v>
      </c>
      <c r="AH331" s="98">
        <f t="shared" si="193"/>
        <v>1.88331915232314E-3</v>
      </c>
      <c r="AI331" s="98">
        <f t="shared" si="194"/>
        <v>1.5707963267948966</v>
      </c>
      <c r="AJ331" s="98" t="str">
        <f t="shared" si="180"/>
        <v>1+0.208621766701808i</v>
      </c>
      <c r="AK331" s="98">
        <f t="shared" si="195"/>
        <v>1.0215297555831566</v>
      </c>
      <c r="AL331" s="98">
        <f t="shared" si="196"/>
        <v>0.20567180857176603</v>
      </c>
      <c r="AM331" s="98" t="str">
        <f t="shared" si="181"/>
        <v>1+21.0707984368827i</v>
      </c>
      <c r="AN331" s="98">
        <f t="shared" si="197"/>
        <v>21.094514613229155</v>
      </c>
      <c r="AO331" s="98">
        <f t="shared" si="198"/>
        <v>1.523372863988659</v>
      </c>
      <c r="AP331" s="168" t="str">
        <f t="shared" si="199"/>
        <v>-0.866557856870392+0.224127928963882i</v>
      </c>
      <c r="AQ331" s="98">
        <f t="shared" si="200"/>
        <v>-0.9628299293494027</v>
      </c>
      <c r="AR331" s="169">
        <f t="shared" si="201"/>
        <v>165.49870913532212</v>
      </c>
      <c r="AS331" s="168" t="str">
        <f t="shared" si="202"/>
        <v>0.102919312515366+0.27274358050285i</v>
      </c>
      <c r="AT331" s="190">
        <f t="shared" si="203"/>
        <v>-10.706758855291273</v>
      </c>
      <c r="AU331" s="169">
        <f t="shared" si="204"/>
        <v>69.326088897736938</v>
      </c>
      <c r="AV331" s="225"/>
      <c r="AX331">
        <f t="shared" si="205"/>
        <v>0</v>
      </c>
      <c r="AY331">
        <f t="shared" si="206"/>
        <v>0</v>
      </c>
    </row>
    <row r="332" spans="14:51" x14ac:dyDescent="0.2">
      <c r="N332" s="170">
        <v>14</v>
      </c>
      <c r="O332" s="199">
        <f t="shared" si="208"/>
        <v>13803.842646028841</v>
      </c>
      <c r="P332" s="189" t="str">
        <f t="shared" si="173"/>
        <v>6.8875</v>
      </c>
      <c r="Q332" s="160" t="str">
        <f t="shared" si="174"/>
        <v>1+21.6830253240369i</v>
      </c>
      <c r="R332" s="160">
        <f t="shared" si="182"/>
        <v>21.706072588168169</v>
      </c>
      <c r="S332" s="160">
        <f t="shared" si="183"/>
        <v>1.5247099573738638</v>
      </c>
      <c r="T332" s="160" t="str">
        <f t="shared" si="175"/>
        <v>1+0.034692840518459i</v>
      </c>
      <c r="U332" s="160">
        <f t="shared" si="184"/>
        <v>1.0006016156209419</v>
      </c>
      <c r="V332" s="160">
        <f t="shared" si="185"/>
        <v>3.4678931872504037E-2</v>
      </c>
      <c r="W332" s="98" t="str">
        <f t="shared" si="176"/>
        <v>1-0.0900956730915658i</v>
      </c>
      <c r="X332" s="160">
        <f t="shared" si="186"/>
        <v>1.0040504122352734</v>
      </c>
      <c r="Y332" s="160">
        <f t="shared" si="187"/>
        <v>-8.9853077745256624E-2</v>
      </c>
      <c r="Z332" s="98" t="str">
        <f t="shared" si="177"/>
        <v>0.996063097690159+0.103277038092036i</v>
      </c>
      <c r="AA332" s="160">
        <f t="shared" si="188"/>
        <v>1.0014029364732155</v>
      </c>
      <c r="AB332" s="160">
        <f t="shared" si="189"/>
        <v>0.10331605471268429</v>
      </c>
      <c r="AC332" s="171" t="str">
        <f t="shared" si="190"/>
        <v>-0.035707087102053-0.316328883745781i</v>
      </c>
      <c r="AD332" s="190">
        <f t="shared" si="191"/>
        <v>-9.9422356231694184</v>
      </c>
      <c r="AE332" s="169">
        <f t="shared" si="192"/>
        <v>-96.440265126821416</v>
      </c>
      <c r="AF332" s="98" t="str">
        <f t="shared" si="178"/>
        <v>-0.0000816326530612245</v>
      </c>
      <c r="AG332" s="98" t="str">
        <f t="shared" si="179"/>
        <v>0.0019271872908004i</v>
      </c>
      <c r="AH332" s="98">
        <f t="shared" si="193"/>
        <v>1.9271872908003999E-3</v>
      </c>
      <c r="AI332" s="98">
        <f t="shared" si="194"/>
        <v>1.5707963267948966</v>
      </c>
      <c r="AJ332" s="98" t="str">
        <f t="shared" si="180"/>
        <v>1+0.213481191903191i</v>
      </c>
      <c r="AK332" s="98">
        <f t="shared" si="195"/>
        <v>1.0225332362795876</v>
      </c>
      <c r="AL332" s="98">
        <f t="shared" si="196"/>
        <v>0.21032400467918469</v>
      </c>
      <c r="AM332" s="98" t="str">
        <f t="shared" si="181"/>
        <v>1+21.5616003822223i</v>
      </c>
      <c r="AN332" s="98">
        <f t="shared" si="197"/>
        <v>21.584777298889342</v>
      </c>
      <c r="AO332" s="98">
        <f t="shared" si="198"/>
        <v>1.524450790741378</v>
      </c>
      <c r="AP332" s="168" t="str">
        <f t="shared" si="199"/>
        <v>-0.864857868322188+0.22698933158405i</v>
      </c>
      <c r="AQ332" s="98">
        <f t="shared" si="200"/>
        <v>-0.97179745283478147</v>
      </c>
      <c r="AR332" s="169">
        <f t="shared" si="201"/>
        <v>165.29391858645499</v>
      </c>
      <c r="AS332" s="168" t="str">
        <f t="shared" si="202"/>
        <v>0.10268483711726+0.265474396251005i</v>
      </c>
      <c r="AT332" s="190">
        <f t="shared" si="203"/>
        <v>-10.914033076004195</v>
      </c>
      <c r="AU332" s="169">
        <f t="shared" si="204"/>
        <v>68.853653459633534</v>
      </c>
      <c r="AV332" s="225"/>
      <c r="AX332">
        <f t="shared" si="205"/>
        <v>0</v>
      </c>
      <c r="AY332">
        <f t="shared" si="206"/>
        <v>0</v>
      </c>
    </row>
    <row r="333" spans="14:51" x14ac:dyDescent="0.2">
      <c r="N333" s="170">
        <v>15</v>
      </c>
      <c r="O333" s="199">
        <f t="shared" si="208"/>
        <v>14125.375446227561</v>
      </c>
      <c r="P333" s="189" t="str">
        <f t="shared" si="173"/>
        <v>6.8875</v>
      </c>
      <c r="Q333" s="160" t="str">
        <f t="shared" si="174"/>
        <v>1+22.1880878655331i</v>
      </c>
      <c r="R333" s="160">
        <f t="shared" si="182"/>
        <v>22.210611048069282</v>
      </c>
      <c r="S333" s="160">
        <f t="shared" si="183"/>
        <v>1.5257575766513762</v>
      </c>
      <c r="T333" s="160" t="str">
        <f t="shared" si="175"/>
        <v>1+0.0355009405848529i</v>
      </c>
      <c r="U333" s="160">
        <f t="shared" si="184"/>
        <v>1.000629959966425</v>
      </c>
      <c r="V333" s="160">
        <f t="shared" si="185"/>
        <v>3.5486037708900742E-2</v>
      </c>
      <c r="W333" s="98" t="str">
        <f t="shared" si="176"/>
        <v>1-0.0921942709094172i</v>
      </c>
      <c r="X333" s="160">
        <f t="shared" si="186"/>
        <v>1.0042408991813263</v>
      </c>
      <c r="Y333" s="160">
        <f t="shared" si="187"/>
        <v>-9.1934384563834667E-2</v>
      </c>
      <c r="Z333" s="98" t="str">
        <f t="shared" si="177"/>
        <v>0.995877557200478+0.105682669343093i</v>
      </c>
      <c r="AA333" s="160">
        <f t="shared" si="188"/>
        <v>1.0014693882166708</v>
      </c>
      <c r="AB333" s="160">
        <f t="shared" si="189"/>
        <v>0.10572445695765552</v>
      </c>
      <c r="AC333" s="171" t="str">
        <f t="shared" si="190"/>
        <v>-0.036363396113784-0.309021467667017i</v>
      </c>
      <c r="AD333" s="190">
        <f t="shared" si="191"/>
        <v>-10.140503341925003</v>
      </c>
      <c r="AE333" s="169">
        <f t="shared" si="192"/>
        <v>-96.711286912496533</v>
      </c>
      <c r="AF333" s="98" t="str">
        <f t="shared" si="178"/>
        <v>-0.0000816326530612245</v>
      </c>
      <c r="AG333" s="98" t="str">
        <f t="shared" si="179"/>
        <v>0.00197207724948858i</v>
      </c>
      <c r="AH333" s="98">
        <f t="shared" si="193"/>
        <v>1.97207724948858E-3</v>
      </c>
      <c r="AI333" s="98">
        <f t="shared" si="194"/>
        <v>1.5707963267948966</v>
      </c>
      <c r="AJ333" s="98" t="str">
        <f t="shared" si="180"/>
        <v>1+0.218453807658278i</v>
      </c>
      <c r="AK333" s="98">
        <f t="shared" si="195"/>
        <v>1.0235829551533182</v>
      </c>
      <c r="AL333" s="98">
        <f t="shared" si="196"/>
        <v>0.21507501590921091</v>
      </c>
      <c r="AM333" s="98" t="str">
        <f t="shared" si="181"/>
        <v>1+22.0638345734861i</v>
      </c>
      <c r="AN333" s="98">
        <f t="shared" si="197"/>
        <v>22.08648446643695</v>
      </c>
      <c r="AO333" s="98">
        <f t="shared" si="198"/>
        <v>1.5255042850395253</v>
      </c>
      <c r="AP333" s="168" t="str">
        <f t="shared" si="199"/>
        <v>-0.863084896031894+0.229938429018996i</v>
      </c>
      <c r="AQ333" s="98">
        <f t="shared" si="200"/>
        <v>-0.98112925667802675</v>
      </c>
      <c r="AR333" s="169">
        <f t="shared" si="201"/>
        <v>165.08206647158011</v>
      </c>
      <c r="AS333" s="168" t="str">
        <f t="shared" si="202"/>
        <v>0.10244060876273+0.258350419116812i</v>
      </c>
      <c r="AT333" s="190">
        <f t="shared" si="203"/>
        <v>-11.121632598603021</v>
      </c>
      <c r="AU333" s="169">
        <f t="shared" si="204"/>
        <v>68.37077955908363</v>
      </c>
      <c r="AV333" s="225"/>
      <c r="AX333">
        <f t="shared" si="205"/>
        <v>0</v>
      </c>
      <c r="AY333">
        <f t="shared" si="206"/>
        <v>0</v>
      </c>
    </row>
    <row r="334" spans="14:51" x14ac:dyDescent="0.2">
      <c r="N334" s="170">
        <v>16</v>
      </c>
      <c r="O334" s="199">
        <f t="shared" si="208"/>
        <v>14454.397707459291</v>
      </c>
      <c r="P334" s="189" t="str">
        <f t="shared" si="173"/>
        <v>6.8875</v>
      </c>
      <c r="Q334" s="160" t="str">
        <f t="shared" si="174"/>
        <v>1+22.7049148249096i</v>
      </c>
      <c r="R334" s="160">
        <f t="shared" si="182"/>
        <v>22.726925819529569</v>
      </c>
      <c r="S334" s="160">
        <f t="shared" si="183"/>
        <v>1.5267814448038446</v>
      </c>
      <c r="T334" s="160" t="str">
        <f t="shared" si="175"/>
        <v>1+0.0363278637198554i</v>
      </c>
      <c r="U334" s="160">
        <f t="shared" si="184"/>
        <v>1.0006596392792348</v>
      </c>
      <c r="V334" s="160">
        <f t="shared" si="185"/>
        <v>3.6311895569046848E-2</v>
      </c>
      <c r="W334" s="98" t="str">
        <f t="shared" si="176"/>
        <v>1-0.09434175135004i</v>
      </c>
      <c r="X334" s="160">
        <f t="shared" si="186"/>
        <v>1.0044403247818126</v>
      </c>
      <c r="Y334" s="160">
        <f t="shared" si="187"/>
        <v>-9.4063344557793013E-2</v>
      </c>
      <c r="Z334" s="98" t="str">
        <f t="shared" si="177"/>
        <v>0.995683272456913+0.108144334944311i</v>
      </c>
      <c r="AA334" s="160">
        <f t="shared" si="188"/>
        <v>1.0015390038491034</v>
      </c>
      <c r="AB334" s="160">
        <f t="shared" si="189"/>
        <v>0.10818908936218799</v>
      </c>
      <c r="AC334" s="171" t="str">
        <f t="shared" si="190"/>
        <v>-0.0369898112026288-0.301875218059392i</v>
      </c>
      <c r="AD334" s="190">
        <f t="shared" si="191"/>
        <v>-10.338728531747481</v>
      </c>
      <c r="AE334" s="169">
        <f t="shared" si="192"/>
        <v>-96.985825523783632</v>
      </c>
      <c r="AF334" s="98" t="str">
        <f t="shared" si="178"/>
        <v>-0.0000816326530612245</v>
      </c>
      <c r="AG334" s="98" t="str">
        <f t="shared" si="179"/>
        <v>0.00201801282963797i</v>
      </c>
      <c r="AH334" s="98">
        <f t="shared" si="193"/>
        <v>2.0180128296379699E-3</v>
      </c>
      <c r="AI334" s="98">
        <f t="shared" si="194"/>
        <v>1.5707963267948966</v>
      </c>
      <c r="AJ334" s="98" t="str">
        <f t="shared" si="180"/>
        <v>1+0.223542250513764i</v>
      </c>
      <c r="AK334" s="98">
        <f t="shared" si="195"/>
        <v>1.0246809931704397</v>
      </c>
      <c r="AL334" s="98">
        <f t="shared" si="196"/>
        <v>0.21992650299221558</v>
      </c>
      <c r="AM334" s="98" t="str">
        <f t="shared" si="181"/>
        <v>1+22.5777673018901i</v>
      </c>
      <c r="AN334" s="98">
        <f t="shared" si="197"/>
        <v>22.599902131166356</v>
      </c>
      <c r="AO334" s="98">
        <f t="shared" si="198"/>
        <v>1.5265338961006329</v>
      </c>
      <c r="AP334" s="168" t="str">
        <f t="shared" si="199"/>
        <v>-0.861236140641347+0.232974664149693i</v>
      </c>
      <c r="AQ334" s="98">
        <f t="shared" si="200"/>
        <v>-0.99084267534245352</v>
      </c>
      <c r="AR334" s="169">
        <f t="shared" si="201"/>
        <v>164.86308910570321</v>
      </c>
      <c r="AS334" s="168" t="str">
        <f t="shared" si="202"/>
        <v>0.102186239785706+0.251368158914843i</v>
      </c>
      <c r="AT334" s="190">
        <f t="shared" si="203"/>
        <v>-11.329571207089932</v>
      </c>
      <c r="AU334" s="169">
        <f t="shared" si="204"/>
        <v>67.877263581919649</v>
      </c>
      <c r="AV334" s="225"/>
      <c r="AX334">
        <f t="shared" si="205"/>
        <v>0</v>
      </c>
      <c r="AY334">
        <f t="shared" si="206"/>
        <v>0</v>
      </c>
    </row>
    <row r="335" spans="14:51" x14ac:dyDescent="0.2">
      <c r="N335" s="170">
        <v>17</v>
      </c>
      <c r="O335" s="199">
        <f t="shared" si="208"/>
        <v>14791.083881682089</v>
      </c>
      <c r="P335" s="189" t="str">
        <f t="shared" si="173"/>
        <v>6.8875</v>
      </c>
      <c r="Q335" s="160" t="str">
        <f t="shared" si="174"/>
        <v>1+23.2337802306614i</v>
      </c>
      <c r="R335" s="160">
        <f t="shared" si="182"/>
        <v>23.255290662700229</v>
      </c>
      <c r="S335" s="160">
        <f t="shared" si="183"/>
        <v>1.5277820961082109</v>
      </c>
      <c r="T335" s="160" t="str">
        <f t="shared" si="175"/>
        <v>1+0.0371740483690583i</v>
      </c>
      <c r="U335" s="160">
        <f t="shared" si="184"/>
        <v>1.0006907163915058</v>
      </c>
      <c r="V335" s="160">
        <f t="shared" si="185"/>
        <v>3.7156938824985185E-2</v>
      </c>
      <c r="W335" s="98" t="str">
        <f t="shared" si="176"/>
        <v>1-0.0965392530359893i</v>
      </c>
      <c r="X335" s="160">
        <f t="shared" si="186"/>
        <v>1.00464910659232</v>
      </c>
      <c r="Y335" s="160">
        <f t="shared" si="187"/>
        <v>-9.6241009291713156E-2</v>
      </c>
      <c r="Z335" s="98" t="str">
        <f t="shared" si="177"/>
        <v>0.995479831355476+0.110663340103376i</v>
      </c>
      <c r="AA335" s="160">
        <f t="shared" si="188"/>
        <v>1.0016119355710387</v>
      </c>
      <c r="AB335" s="160">
        <f t="shared" si="189"/>
        <v>0.11071127084941156</v>
      </c>
      <c r="AC335" s="171" t="str">
        <f t="shared" si="190"/>
        <v>-0.0375876448498205-0.294886523894962i</v>
      </c>
      <c r="AD335" s="190">
        <f t="shared" si="191"/>
        <v>-10.536907562796955</v>
      </c>
      <c r="AE335" s="169">
        <f t="shared" si="192"/>
        <v>-97.264022561048904</v>
      </c>
      <c r="AF335" s="98" t="str">
        <f t="shared" si="178"/>
        <v>-0.0000816326530612245</v>
      </c>
      <c r="AG335" s="98" t="str">
        <f t="shared" si="179"/>
        <v>0.00206501838690119i</v>
      </c>
      <c r="AH335" s="98">
        <f t="shared" si="193"/>
        <v>2.06501838690119E-3</v>
      </c>
      <c r="AI335" s="98">
        <f t="shared" si="194"/>
        <v>1.5707963267948966</v>
      </c>
      <c r="AJ335" s="98" t="str">
        <f t="shared" si="180"/>
        <v>1+0.228749218429403i</v>
      </c>
      <c r="AK335" s="98">
        <f t="shared" si="195"/>
        <v>1.0258295204038841</v>
      </c>
      <c r="AL335" s="98">
        <f t="shared" si="196"/>
        <v>0.22488012432086862</v>
      </c>
      <c r="AM335" s="98" t="str">
        <f t="shared" si="181"/>
        <v>1+23.1036710613697i</v>
      </c>
      <c r="AN335" s="98">
        <f t="shared" si="197"/>
        <v>23.125302517199028</v>
      </c>
      <c r="AO335" s="98">
        <f t="shared" si="198"/>
        <v>1.5275401611012276</v>
      </c>
      <c r="AP335" s="168" t="str">
        <f t="shared" si="199"/>
        <v>-0.859308725977894+0.236097398587746i</v>
      </c>
      <c r="AQ335" s="98">
        <f t="shared" si="200"/>
        <v>-1.0009556314553612</v>
      </c>
      <c r="AR335" s="169">
        <f t="shared" si="201"/>
        <v>164.63692224787118</v>
      </c>
      <c r="AS335" s="168" t="str">
        <f t="shared" si="202"/>
        <v>0.101921332378593+0.244524217988147i</v>
      </c>
      <c r="AT335" s="190">
        <f t="shared" si="203"/>
        <v>-11.537863194252306</v>
      </c>
      <c r="AU335" s="169">
        <f t="shared" si="204"/>
        <v>67.372899686822208</v>
      </c>
      <c r="AV335" s="225"/>
      <c r="AX335">
        <f t="shared" si="205"/>
        <v>0</v>
      </c>
      <c r="AY335">
        <f t="shared" si="206"/>
        <v>0</v>
      </c>
    </row>
    <row r="336" spans="14:51" x14ac:dyDescent="0.2">
      <c r="N336" s="170">
        <v>18</v>
      </c>
      <c r="O336" s="199">
        <f t="shared" si="208"/>
        <v>15135.612484362096</v>
      </c>
      <c r="P336" s="189" t="str">
        <f t="shared" si="173"/>
        <v>6.8875</v>
      </c>
      <c r="Q336" s="160" t="str">
        <f t="shared" si="174"/>
        <v>1+23.7749644942269i</v>
      </c>
      <c r="R336" s="160">
        <f t="shared" si="182"/>
        <v>23.795985726625187</v>
      </c>
      <c r="S336" s="160">
        <f t="shared" si="183"/>
        <v>1.5287600531028356</v>
      </c>
      <c r="T336" s="160" t="str">
        <f t="shared" si="175"/>
        <v>1+0.0380399431907631i</v>
      </c>
      <c r="U336" s="160">
        <f t="shared" si="184"/>
        <v>1.0007232570885702</v>
      </c>
      <c r="V336" s="160">
        <f t="shared" si="185"/>
        <v>3.8021610699528946E-2</v>
      </c>
      <c r="W336" s="98" t="str">
        <f t="shared" si="176"/>
        <v>1-0.0987879411117463i</v>
      </c>
      <c r="X336" s="160">
        <f t="shared" si="186"/>
        <v>1.0048676814929902</v>
      </c>
      <c r="Y336" s="160">
        <f t="shared" si="187"/>
        <v>-9.8468450730973073E-2</v>
      </c>
      <c r="Z336" s="98" t="str">
        <f t="shared" si="177"/>
        <v>0.995266802370315+0.113241020430166i</v>
      </c>
      <c r="AA336" s="160">
        <f t="shared" si="188"/>
        <v>1.001688343053116</v>
      </c>
      <c r="AB336" s="160">
        <f t="shared" si="189"/>
        <v>0.11329235169042634</v>
      </c>
      <c r="AC336" s="171" t="str">
        <f t="shared" si="190"/>
        <v>-0.0381581502763313-0.28805184586606i</v>
      </c>
      <c r="AD336" s="190">
        <f t="shared" si="191"/>
        <v>-10.735036719271093</v>
      </c>
      <c r="AE336" s="169">
        <f t="shared" si="192"/>
        <v>-97.546021352665491</v>
      </c>
      <c r="AF336" s="98" t="str">
        <f t="shared" si="178"/>
        <v>-0.0000816326530612245</v>
      </c>
      <c r="AG336" s="98" t="str">
        <f t="shared" si="179"/>
        <v>0.00211311884424689i</v>
      </c>
      <c r="AH336" s="98">
        <f t="shared" si="193"/>
        <v>2.11311884424689E-3</v>
      </c>
      <c r="AI336" s="98">
        <f t="shared" si="194"/>
        <v>1.5707963267948966</v>
      </c>
      <c r="AJ336" s="98" t="str">
        <f t="shared" si="180"/>
        <v>1+0.234077472208508i</v>
      </c>
      <c r="AK336" s="98">
        <f t="shared" si="195"/>
        <v>1.027030799438617</v>
      </c>
      <c r="AL336" s="98">
        <f t="shared" si="196"/>
        <v>0.22993753350139412</v>
      </c>
      <c r="AM336" s="98" t="str">
        <f t="shared" si="181"/>
        <v>1+23.6418246930593i</v>
      </c>
      <c r="AN336" s="98">
        <f t="shared" si="197"/>
        <v>23.6629642018355</v>
      </c>
      <c r="AO336" s="98">
        <f t="shared" si="198"/>
        <v>1.5285236054203861</v>
      </c>
      <c r="AP336" s="168" t="str">
        <f t="shared" si="199"/>
        <v>-0.857299699852996+0.239305905846274i</v>
      </c>
      <c r="AQ336" s="98">
        <f t="shared" si="200"/>
        <v>-1.0114866544637211</v>
      </c>
      <c r="AR336" s="169">
        <f t="shared" si="201"/>
        <v>164.40350125543026</v>
      </c>
      <c r="AS336" s="168" t="str">
        <f t="shared" si="202"/>
        <v>0.101645478684513+0.237815290285779i</v>
      </c>
      <c r="AT336" s="190">
        <f t="shared" si="203"/>
        <v>-11.746523373734819</v>
      </c>
      <c r="AU336" s="169">
        <f t="shared" si="204"/>
        <v>66.85747990276478</v>
      </c>
      <c r="AV336" s="225"/>
      <c r="AX336">
        <f t="shared" si="205"/>
        <v>0</v>
      </c>
      <c r="AY336">
        <f t="shared" si="206"/>
        <v>0</v>
      </c>
    </row>
    <row r="337" spans="14:51" x14ac:dyDescent="0.2">
      <c r="N337" s="170">
        <v>19</v>
      </c>
      <c r="O337" s="199">
        <f t="shared" si="208"/>
        <v>15488.166189124853</v>
      </c>
      <c r="P337" s="189" t="str">
        <f t="shared" si="173"/>
        <v>6.8875</v>
      </c>
      <c r="Q337" s="160" t="str">
        <f t="shared" si="174"/>
        <v>1+24.3287545586662i</v>
      </c>
      <c r="R337" s="160">
        <f t="shared" si="182"/>
        <v>24.349297697794519</v>
      </c>
      <c r="S337" s="160">
        <f t="shared" si="183"/>
        <v>1.5297158268266555</v>
      </c>
      <c r="T337" s="160" t="str">
        <f t="shared" si="175"/>
        <v>1+0.038926007293866i</v>
      </c>
      <c r="U337" s="160">
        <f t="shared" si="184"/>
        <v>1.0007573302473691</v>
      </c>
      <c r="V337" s="160">
        <f t="shared" si="185"/>
        <v>3.8906364478372729E-2</v>
      </c>
      <c r="W337" s="98" t="str">
        <f t="shared" si="176"/>
        <v>1-0.101089007861494i</v>
      </c>
      <c r="X337" s="160">
        <f t="shared" si="186"/>
        <v>1.0050965065656239</v>
      </c>
      <c r="Y337" s="160">
        <f t="shared" si="187"/>
        <v>-0.10074676143438746</v>
      </c>
      <c r="Z337" s="98" t="str">
        <f t="shared" si="177"/>
        <v>0.995043733638389+0.115878742644911i</v>
      </c>
      <c r="AA337" s="160">
        <f t="shared" si="188"/>
        <v>1.0017683938166499</v>
      </c>
      <c r="AB337" s="160">
        <f t="shared" si="189"/>
        <v>0.11593371427583203</v>
      </c>
      <c r="AC337" s="171" t="str">
        <f t="shared" si="190"/>
        <v>-0.0387025239762121-0.281367715289442i</v>
      </c>
      <c r="AD337" s="190">
        <f t="shared" si="191"/>
        <v>-10.933112192737209</v>
      </c>
      <c r="AE337" s="169">
        <f t="shared" si="192"/>
        <v>-97.83196701180654</v>
      </c>
      <c r="AF337" s="98" t="str">
        <f t="shared" si="178"/>
        <v>-0.0000816326530612245</v>
      </c>
      <c r="AG337" s="98" t="str">
        <f t="shared" si="179"/>
        <v>0.00216233970517426i</v>
      </c>
      <c r="AH337" s="98">
        <f t="shared" si="193"/>
        <v>2.1623397051742598E-3</v>
      </c>
      <c r="AI337" s="98">
        <f t="shared" si="194"/>
        <v>1.5707963267948966</v>
      </c>
      <c r="AJ337" s="98" t="str">
        <f t="shared" si="180"/>
        <v>1+0.239529836961759i</v>
      </c>
      <c r="AK337" s="98">
        <f t="shared" si="195"/>
        <v>1.0282871888703695</v>
      </c>
      <c r="AL337" s="98">
        <f t="shared" si="196"/>
        <v>0.23510037673449025</v>
      </c>
      <c r="AM337" s="98" t="str">
        <f t="shared" si="181"/>
        <v>1+24.1925135331377i</v>
      </c>
      <c r="AN337" s="98">
        <f t="shared" si="197"/>
        <v>24.213172263275432</v>
      </c>
      <c r="AO337" s="98">
        <f t="shared" si="198"/>
        <v>1.529484742879764</v>
      </c>
      <c r="AP337" s="168" t="str">
        <f t="shared" si="199"/>
        <v>-0.855206035207812+0.24259936426843i</v>
      </c>
      <c r="AQ337" s="98">
        <f t="shared" si="200"/>
        <v>-1.0224548989998219</v>
      </c>
      <c r="AR337" s="169">
        <f t="shared" si="201"/>
        <v>164.16276124784045</v>
      </c>
      <c r="AS337" s="168" t="str">
        <f t="shared" si="202"/>
        <v>0.101358260937111+0.231238160515951i</v>
      </c>
      <c r="AT337" s="190">
        <f t="shared" si="203"/>
        <v>-11.955567091737041</v>
      </c>
      <c r="AU337" s="169">
        <f t="shared" si="204"/>
        <v>66.330794236033853</v>
      </c>
      <c r="AV337" s="225"/>
      <c r="AX337">
        <f t="shared" si="205"/>
        <v>0</v>
      </c>
      <c r="AY337">
        <f t="shared" si="206"/>
        <v>0</v>
      </c>
    </row>
    <row r="338" spans="14:51" x14ac:dyDescent="0.2">
      <c r="N338" s="170">
        <v>20</v>
      </c>
      <c r="O338" s="199">
        <f t="shared" si="208"/>
        <v>15848.931924611146</v>
      </c>
      <c r="P338" s="189" t="str">
        <f t="shared" si="173"/>
        <v>6.8875</v>
      </c>
      <c r="Q338" s="160" t="str">
        <f t="shared" si="174"/>
        <v>1+24.8954440508016i</v>
      </c>
      <c r="R338" s="160">
        <f t="shared" si="182"/>
        <v>24.9155199521622</v>
      </c>
      <c r="S338" s="160">
        <f t="shared" si="183"/>
        <v>1.5306499170547485</v>
      </c>
      <c r="T338" s="160" t="str">
        <f t="shared" si="175"/>
        <v>1+0.0398327104812825i</v>
      </c>
      <c r="U338" s="160">
        <f t="shared" si="184"/>
        <v>1.0007930079813137</v>
      </c>
      <c r="V338" s="160">
        <f t="shared" si="185"/>
        <v>3.981166372591341E-2</v>
      </c>
      <c r="W338" s="98" t="str">
        <f t="shared" si="176"/>
        <v>1-0.103443673341281i</v>
      </c>
      <c r="X338" s="160">
        <f t="shared" si="186"/>
        <v>1.0053360600089591</v>
      </c>
      <c r="Y338" s="160">
        <f t="shared" si="187"/>
        <v>-0.10307705473234015</v>
      </c>
      <c r="Z338" s="98" t="str">
        <f t="shared" si="177"/>
        <v>0.994810152001013+0.118577905302842i</v>
      </c>
      <c r="AA338" s="160">
        <f t="shared" si="188"/>
        <v>1.0018522636348575</v>
      </c>
      <c r="AB338" s="160">
        <f t="shared" si="189"/>
        <v>0.11863677390775833</v>
      </c>
      <c r="AC338" s="171" t="str">
        <f t="shared" si="190"/>
        <v>-0.0392219081399961-0.274830732996764i</v>
      </c>
      <c r="AD338" s="190">
        <f t="shared" si="191"/>
        <v>-11.131130075374054</v>
      </c>
      <c r="AE338" s="169">
        <f t="shared" si="192"/>
        <v>-98.122006493162104</v>
      </c>
      <c r="AF338" s="98" t="str">
        <f t="shared" si="178"/>
        <v>-0.0000816326530612245</v>
      </c>
      <c r="AG338" s="98" t="str">
        <f t="shared" si="179"/>
        <v>0.00221270706723524i</v>
      </c>
      <c r="AH338" s="98">
        <f t="shared" si="193"/>
        <v>2.2127070672352399E-3</v>
      </c>
      <c r="AI338" s="98">
        <f t="shared" si="194"/>
        <v>1.5707963267948966</v>
      </c>
      <c r="AJ338" s="98" t="str">
        <f t="shared" si="180"/>
        <v>1+0.24510920360512i</v>
      </c>
      <c r="AK338" s="98">
        <f t="shared" si="195"/>
        <v>1.0296011468971547</v>
      </c>
      <c r="AL338" s="98">
        <f t="shared" si="196"/>
        <v>0.24037029001970125</v>
      </c>
      <c r="AM338" s="98" t="str">
        <f t="shared" si="181"/>
        <v>1+24.7560295641171i</v>
      </c>
      <c r="AN338" s="98">
        <f t="shared" si="197"/>
        <v>24.776218431783331</v>
      </c>
      <c r="AO338" s="98">
        <f t="shared" si="198"/>
        <v>1.5304240759800396</v>
      </c>
      <c r="AP338" s="168" t="str">
        <f t="shared" si="199"/>
        <v>-0.853024631637723+0.245976849720696i</v>
      </c>
      <c r="AQ338" s="98">
        <f t="shared" si="200"/>
        <v>-1.0338801628784595</v>
      </c>
      <c r="AR338" s="169">
        <f t="shared" si="201"/>
        <v>163.91463728040063</v>
      </c>
      <c r="AS338" s="168" t="str">
        <f t="shared" si="202"/>
        <v>0.101059251652223+0.224789703372979i</v>
      </c>
      <c r="AT338" s="190">
        <f t="shared" si="203"/>
        <v>-12.165010238252517</v>
      </c>
      <c r="AU338" s="169">
        <f t="shared" si="204"/>
        <v>65.792630787238394</v>
      </c>
      <c r="AV338" s="225"/>
      <c r="AX338">
        <f t="shared" si="205"/>
        <v>0</v>
      </c>
      <c r="AY338">
        <f t="shared" si="206"/>
        <v>0</v>
      </c>
    </row>
    <row r="339" spans="14:51" x14ac:dyDescent="0.2">
      <c r="N339" s="170">
        <v>21</v>
      </c>
      <c r="O339" s="199">
        <f t="shared" si="208"/>
        <v>16218.100973589309</v>
      </c>
      <c r="P339" s="189" t="str">
        <f t="shared" ref="P339:P402" si="209">COMPLEX(Adc,0)</f>
        <v>6.8875</v>
      </c>
      <c r="Q339" s="160" t="str">
        <f t="shared" ref="Q339:Q402" si="210">IMSUM(COMPLEX(1,0),IMDIV(COMPLEX(0,2*PI()*O339),COMPLEX(wp_lf,0)))</f>
        <v>1+25.4753334369028i</v>
      </c>
      <c r="R339" s="160">
        <f t="shared" si="182"/>
        <v>25.494952710710756</v>
      </c>
      <c r="S339" s="160">
        <f t="shared" si="183"/>
        <v>1.5315628125302672</v>
      </c>
      <c r="T339" s="160" t="str">
        <f t="shared" ref="T339:T402" si="211">IMSUM(COMPLEX(1,0),IMDIV(COMPLEX(0,2*PI()*O339),COMPLEX(wz_esr,0)))</f>
        <v>1+0.0407605334990444i</v>
      </c>
      <c r="U339" s="160">
        <f t="shared" si="184"/>
        <v>1.0008303657918891</v>
      </c>
      <c r="V339" s="160">
        <f t="shared" si="185"/>
        <v>4.0737982504784449E-2</v>
      </c>
      <c r="W339" s="98" t="str">
        <f t="shared" ref="W339:W402" si="212">IMSUB(COMPLEX(1,0),IMDIV(COMPLEX(0,2*PI()*O339),COMPLEX(wz_rhp,0)))</f>
        <v>1-0.105853186025912i</v>
      </c>
      <c r="X339" s="160">
        <f t="shared" si="186"/>
        <v>1.0055868420936287</v>
      </c>
      <c r="Y339" s="160">
        <f t="shared" si="187"/>
        <v>-0.10546046488885927</v>
      </c>
      <c r="Z339" s="98" t="str">
        <f t="shared" ref="Z339:Z402" si="213">IF(Dc_Mode_Loop="CCM",IMSUM(COMPLEX(1,0),IMDIV(COMPLEX(0,2*PI()*O339),COMPLEX(Q*(wsl/2),0)),IMDIV(IMPOWER(COMPLEX(0,2*PI()*O339),2),IMPOWER(COMPLEX(wsl/2,0),2))),COMPLEX(1,0))</f>
        <v>0.994565562000216+0.121339939535729i</v>
      </c>
      <c r="AA339" s="160">
        <f t="shared" si="188"/>
        <v>1.001940136955966</v>
      </c>
      <c r="AB339" s="160">
        <f t="shared" si="189"/>
        <v>0.12140297961302408</v>
      </c>
      <c r="AC339" s="171" t="str">
        <f t="shared" si="190"/>
        <v>-0.0397173929723605-0.268437568214077i</v>
      </c>
      <c r="AD339" s="190">
        <f t="shared" si="191"/>
        <v>-11.329086353121276</v>
      </c>
      <c r="AE339" s="169">
        <f t="shared" si="192"/>
        <v>-98.416288649526791</v>
      </c>
      <c r="AF339" s="98" t="str">
        <f t="shared" ref="AF339:AF402" si="214">COMPLEX(Adc_ea,0)</f>
        <v>-0.0000816326530612245</v>
      </c>
      <c r="AG339" s="98" t="str">
        <f t="shared" ref="AG339:AG402" si="215">COMPLEX(0,2*PI()*O339*wp0_ea)</f>
        <v>0.00226424763587192i</v>
      </c>
      <c r="AH339" s="98">
        <f t="shared" si="193"/>
        <v>2.2642476358719198E-3</v>
      </c>
      <c r="AI339" s="98">
        <f t="shared" si="194"/>
        <v>1.5707963267948966</v>
      </c>
      <c r="AJ339" s="98" t="str">
        <f t="shared" ref="AJ339:AJ402" si="216">IMSUM(COMPLEX(1,0),IMDIV(COMPLEX(0,2*PI()*O339),COMPLEX(wp1_ea,0)))</f>
        <v>1+0.250818530392635i</v>
      </c>
      <c r="AK339" s="98">
        <f t="shared" si="195"/>
        <v>1.0309752350024326</v>
      </c>
      <c r="AL339" s="98">
        <f t="shared" si="196"/>
        <v>0.24574889617719631</v>
      </c>
      <c r="AM339" s="98" t="str">
        <f t="shared" ref="AM339:AM402" si="217">IMSUM(COMPLEX(1,0),IMDIV(COMPLEX(0,2*PI()*O339),COMPLEX(wz_ea,0)))</f>
        <v>1+25.3326715696561i</v>
      </c>
      <c r="AN339" s="98">
        <f t="shared" si="197"/>
        <v>25.352401244380431</v>
      </c>
      <c r="AO339" s="98">
        <f t="shared" si="198"/>
        <v>1.5313420961337365</v>
      </c>
      <c r="AP339" s="168" t="str">
        <f t="shared" si="199"/>
        <v>-0.850752317328849+0.24943732806052i</v>
      </c>
      <c r="AQ339" s="98">
        <f t="shared" si="200"/>
        <v>-1.0457829046429954</v>
      </c>
      <c r="AR339" s="169">
        <f t="shared" si="201"/>
        <v>163.65906452822784</v>
      </c>
      <c r="AS339" s="168" t="str">
        <f t="shared" si="202"/>
        <v>0.100748013875879+0.218466882835692i</v>
      </c>
      <c r="AT339" s="190">
        <f t="shared" si="203"/>
        <v>-12.374869257764264</v>
      </c>
      <c r="AU339" s="169">
        <f t="shared" si="204"/>
        <v>65.242775878701153</v>
      </c>
      <c r="AV339" s="225"/>
      <c r="AX339">
        <f t="shared" si="205"/>
        <v>0</v>
      </c>
      <c r="AY339">
        <f t="shared" si="206"/>
        <v>0</v>
      </c>
    </row>
    <row r="340" spans="14:51" x14ac:dyDescent="0.2">
      <c r="N340" s="170">
        <v>22</v>
      </c>
      <c r="O340" s="199">
        <f t="shared" si="208"/>
        <v>16595.869074375616</v>
      </c>
      <c r="P340" s="189" t="str">
        <f t="shared" si="209"/>
        <v>6.8875</v>
      </c>
      <c r="Q340" s="160" t="str">
        <f t="shared" si="210"/>
        <v>1+26.0687301819982i</v>
      </c>
      <c r="R340" s="160">
        <f t="shared" ref="R340:R403" si="218">IMABS(Q340)</f>
        <v>26.087903198644078</v>
      </c>
      <c r="S340" s="160">
        <f t="shared" ref="S340:S403" si="219">IMARGUMENT(Q340)</f>
        <v>1.5324549911927079</v>
      </c>
      <c r="T340" s="160" t="str">
        <f t="shared" si="211"/>
        <v>1+0.0417099682911972i</v>
      </c>
      <c r="U340" s="160">
        <f t="shared" ref="U340:U403" si="220">IMABS(T340)</f>
        <v>1.0008694827273197</v>
      </c>
      <c r="V340" s="160">
        <f t="shared" ref="V340:V403" si="221">IMARGUMENT(T340)</f>
        <v>4.1685805599093427E-2</v>
      </c>
      <c r="W340" s="98" t="str">
        <f t="shared" si="212"/>
        <v>1-0.108318823470907i</v>
      </c>
      <c r="X340" s="160">
        <f t="shared" ref="X340:X403" si="222">IMABS(W340)</f>
        <v>1.0058493761583398</v>
      </c>
      <c r="Y340" s="160">
        <f t="shared" ref="Y340:Y403" si="223">IMARGUMENT(W340)</f>
        <v>-0.10789814724597491</v>
      </c>
      <c r="Z340" s="98" t="str">
        <f t="shared" si="213"/>
        <v>0.994309444827814+0.124166309810683i</v>
      </c>
      <c r="AA340" s="160">
        <f t="shared" ref="AA340:AA403" si="224">IMABS(Z340)</f>
        <v>1.0020322073495433</v>
      </c>
      <c r="AB340" s="160">
        <f t="shared" ref="AB340:AB403" si="225">IMARGUMENT(Z340)</f>
        <v>0.12423381497802929</v>
      </c>
      <c r="AC340" s="171" t="str">
        <f t="shared" ref="AC340:AC403" si="226">(IMDIV(IMPRODUCT(P340,T340,W340),IMPRODUCT(Q340,Z340)))</f>
        <v>-0.0401900189080846-0.262184957432918i</v>
      </c>
      <c r="AD340" s="190">
        <f t="shared" ref="AD340:AD403" si="227">20*LOG(IMABS(AC340))</f>
        <v>-11.526976898732189</v>
      </c>
      <c r="AE340" s="169">
        <f t="shared" ref="AE340:AE403" si="228">(180/PI())*IMARGUMENT(AC340)</f>
        <v>-98.71496428819475</v>
      </c>
      <c r="AF340" s="98" t="str">
        <f t="shared" si="214"/>
        <v>-0.0000816326530612245</v>
      </c>
      <c r="AG340" s="98" t="str">
        <f t="shared" si="215"/>
        <v>0.002316988738576i</v>
      </c>
      <c r="AH340" s="98">
        <f t="shared" ref="AH340:AH403" si="229">IMABS(AG340)</f>
        <v>2.3169887385760001E-3</v>
      </c>
      <c r="AI340" s="98">
        <f t="shared" ref="AI340:AI403" si="230">IMARGUMENT(AG340)</f>
        <v>1.5707963267948966</v>
      </c>
      <c r="AJ340" s="98" t="str">
        <f t="shared" si="216"/>
        <v>1+0.256660844484941i</v>
      </c>
      <c r="AK340" s="98">
        <f t="shared" ref="AK340:AK403" si="231">IMABS(AJ340)</f>
        <v>1.0324121217283935</v>
      </c>
      <c r="AL340" s="98">
        <f t="shared" ref="AL340:AL403" si="232">IMARGUMENT(AJ340)</f>
        <v>0.25123780168124094</v>
      </c>
      <c r="AM340" s="98" t="str">
        <f t="shared" si="217"/>
        <v>1+25.9227452929791i</v>
      </c>
      <c r="AN340" s="98">
        <f t="shared" ref="AN340:AN403" si="233">IMABS(AM340)</f>
        <v>25.942026203145161</v>
      </c>
      <c r="AO340" s="98">
        <f t="shared" ref="AO340:AO403" si="234">IMARGUMENT(AM340)</f>
        <v>1.5322392838943899</v>
      </c>
      <c r="AP340" s="168" t="str">
        <f t="shared" ref="AP340:AP403" si="235">IMPRODUCT(AF340,IMDIV(AM340,IMPRODUCT(AG340,AJ340)))</f>
        <v>-0.848385851441233+0.252979647390804i</v>
      </c>
      <c r="AQ340" s="98">
        <f t="shared" ref="AQ340:AQ403" si="236">20*LOG(IMABS(AP340))</f>
        <v>-1.0581842605662204</v>
      </c>
      <c r="AR340" s="169">
        <f t="shared" ref="AR340:AR403" si="237">(180/PI())*IMARGUMENT(AP340)</f>
        <v>163.39597848081624</v>
      </c>
      <c r="AS340" s="168" t="str">
        <f t="shared" ref="AS340:AS403" si="238">IMPRODUCT(AC340,AP340)</f>
        <v>0.100424101493327+0.212266751534813i</v>
      </c>
      <c r="AT340" s="190">
        <f t="shared" ref="AT340:AT403" si="239">20*LOG(IMABS(AS340))</f>
        <v>-12.585161159298398</v>
      </c>
      <c r="AU340" s="169">
        <f t="shared" ref="AU340:AU403" si="240">(180/PI())*IMARGUMENT(AS340)</f>
        <v>64.681014192621561</v>
      </c>
      <c r="AV340" s="225"/>
      <c r="AX340">
        <f t="shared" ref="AX340:AX403" si="241">SUM((AT341&lt;0)*(AT340&gt;0))*O340</f>
        <v>0</v>
      </c>
      <c r="AY340">
        <f t="shared" ref="AY340:AY403" si="242">IF(AX340&gt;0,AU340,0)</f>
        <v>0</v>
      </c>
    </row>
    <row r="341" spans="14:51" x14ac:dyDescent="0.2">
      <c r="N341" s="170">
        <v>23</v>
      </c>
      <c r="O341" s="199">
        <f t="shared" si="208"/>
        <v>16982.436524617482</v>
      </c>
      <c r="P341" s="189" t="str">
        <f t="shared" si="209"/>
        <v>6.8875</v>
      </c>
      <c r="Q341" s="160" t="str">
        <f t="shared" si="210"/>
        <v>1+26.6759489128968i</v>
      </c>
      <c r="R341" s="160">
        <f t="shared" si="218"/>
        <v>26.694685808293006</v>
      </c>
      <c r="S341" s="160">
        <f t="shared" si="219"/>
        <v>1.5333269204024955</v>
      </c>
      <c r="T341" s="160" t="str">
        <f t="shared" si="211"/>
        <v>1+0.0426815182606348i</v>
      </c>
      <c r="U341" s="160">
        <f t="shared" si="220"/>
        <v>1.0009104415486096</v>
      </c>
      <c r="V341" s="160">
        <f t="shared" si="221"/>
        <v>4.2655628741351655E-2</v>
      </c>
      <c r="W341" s="98" t="str">
        <f t="shared" si="212"/>
        <v>1-0.110841892989876i</v>
      </c>
      <c r="X341" s="160">
        <f t="shared" si="222"/>
        <v>1.0061242096488778</v>
      </c>
      <c r="Y341" s="160">
        <f t="shared" si="223"/>
        <v>-0.11039127834858348</v>
      </c>
      <c r="Z341" s="98" t="str">
        <f t="shared" si="213"/>
        <v>0.994041257224945+0.127058514706633i</v>
      </c>
      <c r="AA341" s="160">
        <f t="shared" si="224"/>
        <v>1.0021286779774365</v>
      </c>
      <c r="AB341" s="160">
        <f t="shared" si="225"/>
        <v>0.12713079900603425</v>
      </c>
      <c r="AC341" s="171" t="str">
        <f t="shared" si="226"/>
        <v>-0.0406407787302066-0.256069703275319i</v>
      </c>
      <c r="AD341" s="190">
        <f t="shared" si="227"/>
        <v>-11.724797464727816</v>
      </c>
      <c r="AE341" s="169">
        <f t="shared" si="228"/>
        <v>-99.018186227097956</v>
      </c>
      <c r="AF341" s="98" t="str">
        <f t="shared" si="214"/>
        <v>-0.0000816326530612245</v>
      </c>
      <c r="AG341" s="98" t="str">
        <f t="shared" si="215"/>
        <v>0.00237095833937825i</v>
      </c>
      <c r="AH341" s="98">
        <f t="shared" si="229"/>
        <v>2.3709583393782502E-3</v>
      </c>
      <c r="AI341" s="98">
        <f t="shared" si="230"/>
        <v>1.5707963267948966</v>
      </c>
      <c r="AJ341" s="98" t="str">
        <f t="shared" si="216"/>
        <v>1+0.262639243554302i</v>
      </c>
      <c r="AK341" s="98">
        <f t="shared" si="231"/>
        <v>1.0339145865373871</v>
      </c>
      <c r="AL341" s="98">
        <f t="shared" si="232"/>
        <v>0.25683859329995606</v>
      </c>
      <c r="AM341" s="98" t="str">
        <f t="shared" si="217"/>
        <v>1+26.5265635989845i</v>
      </c>
      <c r="AN341" s="98">
        <f t="shared" si="233"/>
        <v>26.545405937204457</v>
      </c>
      <c r="AO341" s="98">
        <f t="shared" si="234"/>
        <v>1.5331161091820293</v>
      </c>
      <c r="AP341" s="168" t="str">
        <f t="shared" si="235"/>
        <v>-0.845921926974106+0.256602530116651i</v>
      </c>
      <c r="AQ341" s="98">
        <f t="shared" si="236"/>
        <v>-1.071106061008593</v>
      </c>
      <c r="AR341" s="169">
        <f t="shared" si="237"/>
        <v>163.12531514748378</v>
      </c>
      <c r="AS341" s="168" t="str">
        <f t="shared" si="238"/>
        <v>0.100087059603852+0.206186450186263i</v>
      </c>
      <c r="AT341" s="190">
        <f t="shared" si="239"/>
        <v>-12.795903525736417</v>
      </c>
      <c r="AU341" s="169">
        <f t="shared" si="240"/>
        <v>64.107128920385662</v>
      </c>
      <c r="AV341" s="225"/>
      <c r="AX341">
        <f t="shared" si="241"/>
        <v>0</v>
      </c>
      <c r="AY341">
        <f t="shared" si="242"/>
        <v>0</v>
      </c>
    </row>
    <row r="342" spans="14:51" x14ac:dyDescent="0.2">
      <c r="N342" s="170">
        <v>24</v>
      </c>
      <c r="O342" s="199">
        <f t="shared" si="208"/>
        <v>17378.008287493791</v>
      </c>
      <c r="P342" s="189" t="str">
        <f t="shared" si="209"/>
        <v>6.8875</v>
      </c>
      <c r="Q342" s="160" t="str">
        <f t="shared" si="210"/>
        <v>1+27.2973115850065i</v>
      </c>
      <c r="R342" s="160">
        <f t="shared" si="218"/>
        <v>27.315622265819428</v>
      </c>
      <c r="S342" s="160">
        <f t="shared" si="219"/>
        <v>1.5341790571618634</v>
      </c>
      <c r="T342" s="160" t="str">
        <f t="shared" si="211"/>
        <v>1+0.0436756985360104i</v>
      </c>
      <c r="U342" s="160">
        <f t="shared" si="220"/>
        <v>1.0009533289033052</v>
      </c>
      <c r="V342" s="160">
        <f t="shared" si="221"/>
        <v>4.3647958843076685E-2</v>
      </c>
      <c r="W342" s="98" t="str">
        <f t="shared" si="212"/>
        <v>1-0.113423732347672i</v>
      </c>
      <c r="X342" s="160">
        <f t="shared" si="222"/>
        <v>1.0064119152015623</v>
      </c>
      <c r="Y342" s="160">
        <f t="shared" si="223"/>
        <v>-0.11294105604793353</v>
      </c>
      <c r="Z342" s="98" t="str">
        <f t="shared" si="213"/>
        <v>0.993760430329748+0.130018087708898i</v>
      </c>
      <c r="AA342" s="160">
        <f t="shared" si="224"/>
        <v>1.0022297620908316</v>
      </c>
      <c r="AB342" s="160">
        <f t="shared" si="225"/>
        <v>0.13009548699749265</v>
      </c>
      <c r="AC342" s="171" t="str">
        <f t="shared" si="226"/>
        <v>-0.0410706195941364-0.250088673354878i</v>
      </c>
      <c r="AD342" s="190">
        <f t="shared" si="227"/>
        <v>-11.922543676250751</v>
      </c>
      <c r="AE342" s="169">
        <f t="shared" si="228"/>
        <v>-99.326109350618097</v>
      </c>
      <c r="AF342" s="98" t="str">
        <f t="shared" si="214"/>
        <v>-0.0000816326530612245</v>
      </c>
      <c r="AG342" s="98" t="str">
        <f t="shared" si="215"/>
        <v>0.00242618505367538i</v>
      </c>
      <c r="AH342" s="98">
        <f t="shared" si="229"/>
        <v>2.4261850536753801E-3</v>
      </c>
      <c r="AI342" s="98">
        <f t="shared" si="230"/>
        <v>1.5707963267948966</v>
      </c>
      <c r="AJ342" s="98" t="str">
        <f t="shared" si="216"/>
        <v>1+0.268756897427034i</v>
      </c>
      <c r="AK342" s="98">
        <f t="shared" si="231"/>
        <v>1.0354855237590748</v>
      </c>
      <c r="AL342" s="98">
        <f t="shared" si="232"/>
        <v>0.26255283453644152</v>
      </c>
      <c r="AM342" s="98" t="str">
        <f t="shared" si="217"/>
        <v>1+27.1444466401305i</v>
      </c>
      <c r="AN342" s="98">
        <f t="shared" si="233"/>
        <v>27.162860368504862</v>
      </c>
      <c r="AO342" s="98">
        <f t="shared" si="234"/>
        <v>1.5339730315049658</v>
      </c>
      <c r="AP342" s="168" t="str">
        <f t="shared" si="235"/>
        <v>-0.843357174150049+0.26030456482332i</v>
      </c>
      <c r="AQ342" s="98">
        <f t="shared" si="236"/>
        <v>-1.0845708460236805</v>
      </c>
      <c r="AR342" s="169">
        <f t="shared" si="237"/>
        <v>162.84701127398833</v>
      </c>
      <c r="AS342" s="168" t="str">
        <f t="shared" si="238"/>
        <v>0.0997364249663854+0.200223207087029i</v>
      </c>
      <c r="AT342" s="190">
        <f t="shared" si="239"/>
        <v>-13.007114522274424</v>
      </c>
      <c r="AU342" s="169">
        <f t="shared" si="240"/>
        <v>63.520901923370268</v>
      </c>
      <c r="AV342" s="225"/>
      <c r="AX342">
        <f t="shared" si="241"/>
        <v>0</v>
      </c>
      <c r="AY342">
        <f t="shared" si="242"/>
        <v>0</v>
      </c>
    </row>
    <row r="343" spans="14:51" x14ac:dyDescent="0.2">
      <c r="N343" s="170">
        <v>25</v>
      </c>
      <c r="O343" s="199">
        <f t="shared" si="208"/>
        <v>17782.794100389234</v>
      </c>
      <c r="P343" s="189" t="str">
        <f t="shared" si="209"/>
        <v>6.8875</v>
      </c>
      <c r="Q343" s="160" t="str">
        <f t="shared" si="210"/>
        <v>1+27.9331476530412i</v>
      </c>
      <c r="R343" s="160">
        <f t="shared" si="218"/>
        <v>27.951041801811272</v>
      </c>
      <c r="S343" s="160">
        <f t="shared" si="219"/>
        <v>1.5350118483320314</v>
      </c>
      <c r="T343" s="160" t="str">
        <f t="shared" si="211"/>
        <v>1+0.044693036244866i</v>
      </c>
      <c r="U343" s="160">
        <f t="shared" si="220"/>
        <v>1.0009982355073284</v>
      </c>
      <c r="V343" s="160">
        <f t="shared" si="221"/>
        <v>4.466331422904072E-2</v>
      </c>
      <c r="W343" s="98" t="str">
        <f t="shared" si="212"/>
        <v>1-0.1160657104697i</v>
      </c>
      <c r="X343" s="160">
        <f t="shared" si="222"/>
        <v>1.0067130917728428</v>
      </c>
      <c r="Y343" s="160">
        <f t="shared" si="223"/>
        <v>-0.11554869958172995</v>
      </c>
      <c r="Z343" s="98" t="str">
        <f t="shared" si="213"/>
        <v>0.993466368470727+0.133046598022259i</v>
      </c>
      <c r="AA343" s="160">
        <f t="shared" si="224"/>
        <v>1.0023356835550208</v>
      </c>
      <c r="AB343" s="160">
        <f t="shared" si="225"/>
        <v>0.13312947145410151</v>
      </c>
      <c r="AC343" s="171" t="str">
        <f t="shared" si="226"/>
        <v>-0.0414804449613339-0.244238799135841i</v>
      </c>
      <c r="AD343" s="190">
        <f t="shared" si="227"/>
        <v>-12.120211023819063</v>
      </c>
      <c r="AE343" s="169">
        <f t="shared" si="228"/>
        <v>-99.638890664995969</v>
      </c>
      <c r="AF343" s="98" t="str">
        <f t="shared" si="214"/>
        <v>-0.0000816326530612245</v>
      </c>
      <c r="AG343" s="98" t="str">
        <f t="shared" si="215"/>
        <v>0.00248269816340232i</v>
      </c>
      <c r="AH343" s="98">
        <f t="shared" si="229"/>
        <v>2.4826981634023201E-3</v>
      </c>
      <c r="AI343" s="98">
        <f t="shared" si="230"/>
        <v>1.5707963267948966</v>
      </c>
      <c r="AJ343" s="98" t="str">
        <f t="shared" si="216"/>
        <v>1+0.2750170497642i</v>
      </c>
      <c r="AK343" s="98">
        <f t="shared" si="231"/>
        <v>1.0371279466203793</v>
      </c>
      <c r="AL343" s="98">
        <f t="shared" si="232"/>
        <v>0.26838206186686298</v>
      </c>
      <c r="AM343" s="98" t="str">
        <f t="shared" si="217"/>
        <v>1+27.7767220261842i</v>
      </c>
      <c r="AN343" s="98">
        <f t="shared" si="233"/>
        <v>27.794716881449009</v>
      </c>
      <c r="AO343" s="98">
        <f t="shared" si="234"/>
        <v>1.5348105001778711</v>
      </c>
      <c r="AP343" s="168" t="str">
        <f t="shared" si="235"/>
        <v>-0.840688164355331+0.264084197997876i</v>
      </c>
      <c r="AQ343" s="98">
        <f t="shared" si="236"/>
        <v>-1.0986018800958688</v>
      </c>
      <c r="AR343" s="169">
        <f t="shared" si="237"/>
        <v>162.56100457056473</v>
      </c>
      <c r="AS343" s="168" t="str">
        <f t="shared" si="238"/>
        <v>0.099371726520939+0.194374337669652i</v>
      </c>
      <c r="AT343" s="190">
        <f t="shared" si="239"/>
        <v>-13.218812903914923</v>
      </c>
      <c r="AU343" s="169">
        <f t="shared" si="240"/>
        <v>62.922113905568814</v>
      </c>
      <c r="AV343" s="225"/>
      <c r="AX343">
        <f t="shared" si="241"/>
        <v>0</v>
      </c>
      <c r="AY343">
        <f t="shared" si="242"/>
        <v>0</v>
      </c>
    </row>
    <row r="344" spans="14:51" x14ac:dyDescent="0.2">
      <c r="N344" s="170">
        <v>26</v>
      </c>
      <c r="O344" s="199">
        <f t="shared" si="208"/>
        <v>18197.008586099837</v>
      </c>
      <c r="P344" s="189" t="str">
        <f t="shared" si="209"/>
        <v>6.8875</v>
      </c>
      <c r="Q344" s="160" t="str">
        <f t="shared" si="210"/>
        <v>1+28.5837942457007i</v>
      </c>
      <c r="R344" s="160">
        <f t="shared" si="218"/>
        <v>28.601281325852391</v>
      </c>
      <c r="S344" s="160">
        <f t="shared" si="219"/>
        <v>1.5358257308466632</v>
      </c>
      <c r="T344" s="160" t="str">
        <f t="shared" si="211"/>
        <v>1+0.0457340707931212i</v>
      </c>
      <c r="U344" s="160">
        <f t="shared" si="220"/>
        <v>1.0010452563352519</v>
      </c>
      <c r="V344" s="160">
        <f t="shared" si="221"/>
        <v>4.5702224875124577E-2</v>
      </c>
      <c r="W344" s="98" t="str">
        <f t="shared" si="212"/>
        <v>1-0.118769228167732i</v>
      </c>
      <c r="X344" s="160">
        <f t="shared" si="222"/>
        <v>1.0070283658167523</v>
      </c>
      <c r="Y344" s="160">
        <f t="shared" si="223"/>
        <v>-0.11821544962868841</v>
      </c>
      <c r="Z344" s="98" t="str">
        <f t="shared" si="213"/>
        <v>0.993158447903252+0.136145651402973i</v>
      </c>
      <c r="AA344" s="160">
        <f t="shared" si="224"/>
        <v>1.0024466774036096</v>
      </c>
      <c r="AB344" s="160">
        <f t="shared" si="225"/>
        <v>0.13623438300726975</v>
      </c>
      <c r="AC344" s="171" t="str">
        <f t="shared" si="226"/>
        <v>-0.0418711164460326-0.238517074792044i</v>
      </c>
      <c r="AD344" s="190">
        <f t="shared" si="227"/>
        <v>-12.317794855979546</v>
      </c>
      <c r="AE344" s="169">
        <f t="shared" si="228"/>
        <v>-99.956689353257019</v>
      </c>
      <c r="AF344" s="98" t="str">
        <f t="shared" si="214"/>
        <v>-0.0000816326530612245</v>
      </c>
      <c r="AG344" s="98" t="str">
        <f t="shared" si="215"/>
        <v>0.00254052763255789i</v>
      </c>
      <c r="AH344" s="98">
        <f t="shared" si="229"/>
        <v>2.5405276325578901E-3</v>
      </c>
      <c r="AI344" s="98">
        <f t="shared" si="230"/>
        <v>1.5707963267948966</v>
      </c>
      <c r="AJ344" s="98" t="str">
        <f t="shared" si="216"/>
        <v>1+0.281423019781434i</v>
      </c>
      <c r="AK344" s="98">
        <f t="shared" si="231"/>
        <v>1.0388449913547744</v>
      </c>
      <c r="AL344" s="98">
        <f t="shared" si="232"/>
        <v>0.27432778077168807</v>
      </c>
      <c r="AM344" s="98" t="str">
        <f t="shared" si="217"/>
        <v>1+28.4237249979248i</v>
      </c>
      <c r="AN344" s="98">
        <f t="shared" si="233"/>
        <v>28.441310496488295</v>
      </c>
      <c r="AO344" s="98">
        <f t="shared" si="234"/>
        <v>1.5356289545361435</v>
      </c>
      <c r="AP344" s="168" t="str">
        <f t="shared" si="235"/>
        <v>-0.837911414674376+0.26793972562102i</v>
      </c>
      <c r="AQ344" s="98">
        <f t="shared" si="236"/>
        <v>-1.1132231658854068</v>
      </c>
      <c r="AR344" s="169">
        <f t="shared" si="237"/>
        <v>162.2672339516001</v>
      </c>
      <c r="AS344" s="168" t="str">
        <f t="shared" si="238"/>
        <v>0.0989924859909993+0.188637244111i</v>
      </c>
      <c r="AT344" s="190">
        <f t="shared" si="239"/>
        <v>-13.431018021864944</v>
      </c>
      <c r="AU344" s="169">
        <f t="shared" si="240"/>
        <v>62.310544598343128</v>
      </c>
      <c r="AV344" s="225"/>
      <c r="AX344">
        <f t="shared" si="241"/>
        <v>0</v>
      </c>
      <c r="AY344">
        <f t="shared" si="242"/>
        <v>0</v>
      </c>
    </row>
    <row r="345" spans="14:51" x14ac:dyDescent="0.2">
      <c r="N345" s="170">
        <v>27</v>
      </c>
      <c r="O345" s="199">
        <f t="shared" si="208"/>
        <v>18620.871366628675</v>
      </c>
      <c r="P345" s="189" t="str">
        <f t="shared" si="209"/>
        <v>6.8875</v>
      </c>
      <c r="Q345" s="160" t="str">
        <f t="shared" si="210"/>
        <v>1+29.2495963444205i</v>
      </c>
      <c r="R345" s="160">
        <f t="shared" si="218"/>
        <v>29.266685605164398</v>
      </c>
      <c r="S345" s="160">
        <f t="shared" si="219"/>
        <v>1.5366211319216203</v>
      </c>
      <c r="T345" s="160" t="str">
        <f t="shared" si="211"/>
        <v>1+0.0467993541510728i</v>
      </c>
      <c r="U345" s="160">
        <f t="shared" si="220"/>
        <v>1.0010944908194019</v>
      </c>
      <c r="V345" s="160">
        <f t="shared" si="221"/>
        <v>4.6765232649735061E-2</v>
      </c>
      <c r="W345" s="98" t="str">
        <f t="shared" si="212"/>
        <v>1-0.121535718882634i</v>
      </c>
      <c r="X345" s="160">
        <f t="shared" si="222"/>
        <v>1.0073583925119791</v>
      </c>
      <c r="Y345" s="160">
        <f t="shared" si="223"/>
        <v>-0.12094256833528255</v>
      </c>
      <c r="Z345" s="98" t="str">
        <f t="shared" si="213"/>
        <v>0.992836015486518+0.13931689101016i</v>
      </c>
      <c r="AA345" s="160">
        <f t="shared" si="224"/>
        <v>1.0025629904239846</v>
      </c>
      <c r="AB345" s="160">
        <f t="shared" si="225"/>
        <v>0.13941189137170484</v>
      </c>
      <c r="AC345" s="171" t="str">
        <f t="shared" si="226"/>
        <v>-0.0422434555783482-0.232920556067354i</v>
      </c>
      <c r="AD345" s="190">
        <f t="shared" si="227"/>
        <v>-12.515290371862516</v>
      </c>
      <c r="AE345" s="169">
        <f t="shared" si="228"/>
        <v>-100.27966682956615</v>
      </c>
      <c r="AF345" s="98" t="str">
        <f t="shared" si="214"/>
        <v>-0.0000816326530612245</v>
      </c>
      <c r="AG345" s="98" t="str">
        <f t="shared" si="215"/>
        <v>0.0025997041230921i</v>
      </c>
      <c r="AH345" s="98">
        <f t="shared" si="229"/>
        <v>2.5997041230920999E-3</v>
      </c>
      <c r="AI345" s="98">
        <f t="shared" si="230"/>
        <v>1.5707963267948966</v>
      </c>
      <c r="AJ345" s="98" t="str">
        <f t="shared" si="216"/>
        <v>1+0.287978204008829i</v>
      </c>
      <c r="AK345" s="98">
        <f t="shared" si="231"/>
        <v>1.0406399213869084</v>
      </c>
      <c r="AL345" s="98">
        <f t="shared" si="232"/>
        <v>0.28039146155704031</v>
      </c>
      <c r="AM345" s="98" t="str">
        <f t="shared" si="217"/>
        <v>1+29.0857986048918i</v>
      </c>
      <c r="AN345" s="98">
        <f t="shared" si="233"/>
        <v>29.102984047762629</v>
      </c>
      <c r="AO345" s="98">
        <f t="shared" si="234"/>
        <v>1.536428824146564</v>
      </c>
      <c r="AP345" s="168" t="str">
        <f t="shared" si="235"/>
        <v>-0.835023393056547+0.271869284659837i</v>
      </c>
      <c r="AQ345" s="98">
        <f t="shared" si="236"/>
        <v>-1.1284594568476713</v>
      </c>
      <c r="AR345" s="169">
        <f t="shared" si="237"/>
        <v>161.96563978712268</v>
      </c>
      <c r="AS345" s="168" t="str">
        <f t="shared" si="238"/>
        <v>0.0985982185720688+0.183009414990335i</v>
      </c>
      <c r="AT345" s="190">
        <f t="shared" si="239"/>
        <v>-13.643749828710167</v>
      </c>
      <c r="AU345" s="169">
        <f t="shared" si="240"/>
        <v>61.685972957556586</v>
      </c>
      <c r="AV345" s="225"/>
      <c r="AX345">
        <f t="shared" si="241"/>
        <v>0</v>
      </c>
      <c r="AY345">
        <f t="shared" si="242"/>
        <v>0</v>
      </c>
    </row>
    <row r="346" spans="14:51" x14ac:dyDescent="0.2">
      <c r="N346" s="170">
        <v>28</v>
      </c>
      <c r="O346" s="199">
        <f t="shared" si="208"/>
        <v>19054.607179632505</v>
      </c>
      <c r="P346" s="189" t="str">
        <f t="shared" si="209"/>
        <v>6.8875</v>
      </c>
      <c r="Q346" s="160" t="str">
        <f t="shared" si="210"/>
        <v>1+29.9309069662865i</v>
      </c>
      <c r="R346" s="160">
        <f t="shared" si="218"/>
        <v>29.947607447415525</v>
      </c>
      <c r="S346" s="160">
        <f t="shared" si="219"/>
        <v>1.5373984692610152</v>
      </c>
      <c r="T346" s="160" t="str">
        <f t="shared" si="211"/>
        <v>1+0.0478894511460584i</v>
      </c>
      <c r="U346" s="160">
        <f t="shared" si="220"/>
        <v>1.0011460430581898</v>
      </c>
      <c r="V346" s="160">
        <f t="shared" si="221"/>
        <v>4.7852891558731833E-2</v>
      </c>
      <c r="W346" s="98" t="str">
        <f t="shared" si="212"/>
        <v>1-0.124366649444404i</v>
      </c>
      <c r="X346" s="160">
        <f t="shared" si="222"/>
        <v>1.0077038570403645</v>
      </c>
      <c r="Y346" s="160">
        <f t="shared" si="223"/>
        <v>-0.12373133931226875</v>
      </c>
      <c r="Z346" s="98" t="str">
        <f t="shared" si="213"/>
        <v>0.992498387298138+0.14256199827704i</v>
      </c>
      <c r="AA346" s="160">
        <f t="shared" si="224"/>
        <v>1.0026848817759981</v>
      </c>
      <c r="AB346" s="160">
        <f t="shared" si="225"/>
        <v>0.14266370632486733</v>
      </c>
      <c r="AC346" s="171" t="str">
        <f t="shared" si="226"/>
        <v>-0.0425982454869795-0.227446359139107i</v>
      </c>
      <c r="AD346" s="190">
        <f t="shared" si="227"/>
        <v>-12.712692613641963</v>
      </c>
      <c r="AE346" s="169">
        <f t="shared" si="228"/>
        <v>-100.60798679291973</v>
      </c>
      <c r="AF346" s="98" t="str">
        <f t="shared" si="214"/>
        <v>-0.0000816326530612245</v>
      </c>
      <c r="AG346" s="98" t="str">
        <f t="shared" si="215"/>
        <v>0.00266025901116354i</v>
      </c>
      <c r="AH346" s="98">
        <f t="shared" si="229"/>
        <v>2.66025901116354E-3</v>
      </c>
      <c r="AI346" s="98">
        <f t="shared" si="230"/>
        <v>1.5707963267948966</v>
      </c>
      <c r="AJ346" s="98" t="str">
        <f t="shared" si="216"/>
        <v>1+0.294686078091835i</v>
      </c>
      <c r="AK346" s="98">
        <f t="shared" si="231"/>
        <v>1.0425161315879707</v>
      </c>
      <c r="AL346" s="98">
        <f t="shared" si="232"/>
        <v>0.28657453496397395</v>
      </c>
      <c r="AM346" s="98" t="str">
        <f t="shared" si="217"/>
        <v>1+29.7632938872753i</v>
      </c>
      <c r="AN346" s="98">
        <f t="shared" si="233"/>
        <v>29.780088364884332</v>
      </c>
      <c r="AO346" s="98">
        <f t="shared" si="234"/>
        <v>1.537210529014251</v>
      </c>
      <c r="AP346" s="168" t="str">
        <f t="shared" si="235"/>
        <v>-0.832020524153412+0.275870844496793i</v>
      </c>
      <c r="AQ346" s="98">
        <f t="shared" si="236"/>
        <v>-1.1443362685842491</v>
      </c>
      <c r="AR346" s="169">
        <f t="shared" si="237"/>
        <v>161.65616416622908</v>
      </c>
      <c r="AS346" s="168" t="str">
        <f t="shared" si="238"/>
        <v>0.0981884337115187+0.17748842499113i</v>
      </c>
      <c r="AT346" s="190">
        <f t="shared" si="239"/>
        <v>-13.857028882226221</v>
      </c>
      <c r="AU346" s="169">
        <f t="shared" si="240"/>
        <v>61.048177373309336</v>
      </c>
      <c r="AV346" s="225"/>
      <c r="AX346">
        <f t="shared" si="241"/>
        <v>0</v>
      </c>
      <c r="AY346">
        <f t="shared" si="242"/>
        <v>0</v>
      </c>
    </row>
    <row r="347" spans="14:51" x14ac:dyDescent="0.2">
      <c r="N347" s="170">
        <v>29</v>
      </c>
      <c r="O347" s="199">
        <f t="shared" si="208"/>
        <v>19498.445997580486</v>
      </c>
      <c r="P347" s="189" t="str">
        <f t="shared" si="209"/>
        <v>6.8875</v>
      </c>
      <c r="Q347" s="160" t="str">
        <f t="shared" si="210"/>
        <v>1+30.628087351208i</v>
      </c>
      <c r="R347" s="160">
        <f t="shared" si="218"/>
        <v>30.644407887789697</v>
      </c>
      <c r="S347" s="160">
        <f t="shared" si="219"/>
        <v>1.5381581512595772</v>
      </c>
      <c r="T347" s="160" t="str">
        <f t="shared" si="211"/>
        <v>1+0.0490049397619328i</v>
      </c>
      <c r="U347" s="160">
        <f t="shared" si="220"/>
        <v>1.0012000220340942</v>
      </c>
      <c r="V347" s="160">
        <f t="shared" si="221"/>
        <v>4.8965767993790987E-2</v>
      </c>
      <c r="W347" s="98" t="str">
        <f t="shared" si="212"/>
        <v>1-0.127263520849895i</v>
      </c>
      <c r="X347" s="160">
        <f t="shared" si="222"/>
        <v>1.0080654759186585</v>
      </c>
      <c r="Y347" s="160">
        <f t="shared" si="223"/>
        <v>-0.12658306759839152</v>
      </c>
      <c r="Z347" s="98" t="str">
        <f t="shared" si="213"/>
        <v>0.99214484718346+0.145882693802435i</v>
      </c>
      <c r="AA347" s="160">
        <f t="shared" si="224"/>
        <v>1.002812623645986</v>
      </c>
      <c r="AB347" s="160">
        <f t="shared" si="225"/>
        <v>0.14599157871297996</v>
      </c>
      <c r="AC347" s="171" t="str">
        <f t="shared" si="226"/>
        <v>-0.042936232504569-0.222091659485974i</v>
      </c>
      <c r="AD347" s="190">
        <f t="shared" si="227"/>
        <v>-12.909996458904063</v>
      </c>
      <c r="AE347" s="169">
        <f t="shared" si="228"/>
        <v>-100.9418152800708</v>
      </c>
      <c r="AF347" s="98" t="str">
        <f t="shared" si="214"/>
        <v>-0.0000816326530612245</v>
      </c>
      <c r="AG347" s="98" t="str">
        <f t="shared" si="215"/>
        <v>0.00272222440377537i</v>
      </c>
      <c r="AH347" s="98">
        <f t="shared" si="229"/>
        <v>2.72222440377537E-3</v>
      </c>
      <c r="AI347" s="98">
        <f t="shared" si="230"/>
        <v>1.5707963267948966</v>
      </c>
      <c r="AJ347" s="98" t="str">
        <f t="shared" si="216"/>
        <v>1+0.301550198634072i</v>
      </c>
      <c r="AK347" s="98">
        <f t="shared" si="231"/>
        <v>1.0444771525965746</v>
      </c>
      <c r="AL347" s="98">
        <f t="shared" si="232"/>
        <v>0.29287838756437556</v>
      </c>
      <c r="AM347" s="98" t="str">
        <f t="shared" si="217"/>
        <v>1+30.4565700620413i</v>
      </c>
      <c r="AN347" s="98">
        <f t="shared" si="233"/>
        <v>30.472982458959123</v>
      </c>
      <c r="AO347" s="98">
        <f t="shared" si="234"/>
        <v>1.5379744797859245</v>
      </c>
      <c r="AP347" s="168" t="str">
        <f t="shared" si="235"/>
        <v>-0.828899195864074+0.279942198335024i</v>
      </c>
      <c r="AQ347" s="98">
        <f t="shared" si="236"/>
        <v>-1.1608798887764513</v>
      </c>
      <c r="AR347" s="169">
        <f t="shared" si="237"/>
        <v>161.33875117252632</v>
      </c>
      <c r="AS347" s="168" t="str">
        <f t="shared" si="238"/>
        <v>0.0977626359848473+0.172071934640489i</v>
      </c>
      <c r="AT347" s="190">
        <f t="shared" si="239"/>
        <v>-14.070876347680507</v>
      </c>
      <c r="AU347" s="169">
        <f t="shared" si="240"/>
        <v>60.396935892455531</v>
      </c>
      <c r="AV347" s="225"/>
      <c r="AX347">
        <f t="shared" si="241"/>
        <v>0</v>
      </c>
      <c r="AY347">
        <f t="shared" si="242"/>
        <v>0</v>
      </c>
    </row>
    <row r="348" spans="14:51" x14ac:dyDescent="0.2">
      <c r="N348" s="170">
        <v>30</v>
      </c>
      <c r="O348" s="199">
        <f t="shared" si="208"/>
        <v>19952.623149688792</v>
      </c>
      <c r="P348" s="189" t="str">
        <f t="shared" si="209"/>
        <v>6.8875</v>
      </c>
      <c r="Q348" s="160" t="str">
        <f t="shared" si="210"/>
        <v>1+31.341507153454i</v>
      </c>
      <c r="R348" s="160">
        <f t="shared" si="218"/>
        <v>31.357456380421045</v>
      </c>
      <c r="S348" s="160">
        <f t="shared" si="219"/>
        <v>1.5389005772013513</v>
      </c>
      <c r="T348" s="160" t="str">
        <f t="shared" si="211"/>
        <v>1+0.0501464114455264i</v>
      </c>
      <c r="U348" s="160">
        <f t="shared" si="220"/>
        <v>1.0012565418417321</v>
      </c>
      <c r="V348" s="160">
        <f t="shared" si="221"/>
        <v>5.0104440984137834E-2</v>
      </c>
      <c r="W348" s="98" t="str">
        <f t="shared" si="212"/>
        <v>1-0.130227869058673i</v>
      </c>
      <c r="X348" s="160">
        <f t="shared" si="222"/>
        <v>1.008443998385415</v>
      </c>
      <c r="Y348" s="160">
        <f t="shared" si="223"/>
        <v>-0.12949907958858414</v>
      </c>
      <c r="Z348" s="98" t="str">
        <f t="shared" si="213"/>
        <v>0.991774645236498+0.149280738263071i</v>
      </c>
      <c r="AA348" s="160">
        <f t="shared" si="224"/>
        <v>1.0029465019383381</v>
      </c>
      <c r="AB348" s="160">
        <f t="shared" si="225"/>
        <v>0.14939730148440525</v>
      </c>
      <c r="AC348" s="171" t="str">
        <f t="shared" si="226"/>
        <v>-0.0432581276986795-0.216853690761472i</v>
      </c>
      <c r="AD348" s="190">
        <f t="shared" si="227"/>
        <v>-13.107196612931894</v>
      </c>
      <c r="AE348" s="169">
        <f t="shared" si="228"/>
        <v>-101.28132071758495</v>
      </c>
      <c r="AF348" s="98" t="str">
        <f t="shared" si="214"/>
        <v>-0.0000816326530612245</v>
      </c>
      <c r="AG348" s="98" t="str">
        <f t="shared" si="215"/>
        <v>0.00278563315579899i</v>
      </c>
      <c r="AH348" s="98">
        <f t="shared" si="229"/>
        <v>2.7856331557989901E-3</v>
      </c>
      <c r="AI348" s="98">
        <f t="shared" si="230"/>
        <v>1.5707963267948966</v>
      </c>
      <c r="AJ348" s="98" t="str">
        <f t="shared" si="216"/>
        <v>1+0.308574205083116i</v>
      </c>
      <c r="AK348" s="98">
        <f t="shared" si="231"/>
        <v>1.0465266551993202</v>
      </c>
      <c r="AL348" s="98">
        <f t="shared" si="232"/>
        <v>0.29930435694340873</v>
      </c>
      <c r="AM348" s="98" t="str">
        <f t="shared" si="217"/>
        <v>1+31.1659947133947i</v>
      </c>
      <c r="AN348" s="98">
        <f t="shared" si="233"/>
        <v>31.182033712946726</v>
      </c>
      <c r="AO348" s="98">
        <f t="shared" si="234"/>
        <v>1.5387210779494966</v>
      </c>
      <c r="AP348" s="168" t="str">
        <f t="shared" si="235"/>
        <v>-0.825655766625331+0.284080954625222i</v>
      </c>
      <c r="AQ348" s="98">
        <f t="shared" si="236"/>
        <v>-1.178117385542288</v>
      </c>
      <c r="AR348" s="169">
        <f t="shared" si="237"/>
        <v>161.01334717159239</v>
      </c>
      <c r="AS348" s="168" t="str">
        <f t="shared" si="238"/>
        <v>0.0973203260733513+0.166757690079255i</v>
      </c>
      <c r="AT348" s="190">
        <f t="shared" si="239"/>
        <v>-14.285313998474184</v>
      </c>
      <c r="AU348" s="169">
        <f t="shared" si="240"/>
        <v>59.73202645400746</v>
      </c>
      <c r="AV348" s="225"/>
      <c r="AX348">
        <f t="shared" si="241"/>
        <v>0</v>
      </c>
      <c r="AY348">
        <f t="shared" si="242"/>
        <v>0</v>
      </c>
    </row>
    <row r="349" spans="14:51" x14ac:dyDescent="0.2">
      <c r="N349" s="170">
        <v>31</v>
      </c>
      <c r="O349" s="199">
        <f t="shared" si="208"/>
        <v>20417.379446695286</v>
      </c>
      <c r="P349" s="189" t="str">
        <f t="shared" si="209"/>
        <v>6.8875</v>
      </c>
      <c r="Q349" s="160" t="str">
        <f t="shared" si="210"/>
        <v>1+32.0715446376465i</v>
      </c>
      <c r="R349" s="160">
        <f t="shared" si="218"/>
        <v>32.087130994287286</v>
      </c>
      <c r="S349" s="160">
        <f t="shared" si="219"/>
        <v>1.539626137454748</v>
      </c>
      <c r="T349" s="160" t="str">
        <f t="shared" si="211"/>
        <v>1+0.0513144714202344i</v>
      </c>
      <c r="U349" s="160">
        <f t="shared" si="220"/>
        <v>1.001315721926475</v>
      </c>
      <c r="V349" s="160">
        <f t="shared" si="221"/>
        <v>5.1269502451544331E-2</v>
      </c>
      <c r="W349" s="98" t="str">
        <f t="shared" si="212"/>
        <v>1-0.133261265807395i</v>
      </c>
      <c r="X349" s="160">
        <f t="shared" si="222"/>
        <v>1.0088402078449239</v>
      </c>
      <c r="Y349" s="160">
        <f t="shared" si="223"/>
        <v>-0.13248072292374513</v>
      </c>
      <c r="Z349" s="98" t="str">
        <f t="shared" si="213"/>
        <v>0.991386996209291+0.152757933347097i</v>
      </c>
      <c r="AA349" s="160">
        <f t="shared" si="224"/>
        <v>1.003086817007061</v>
      </c>
      <c r="AB349" s="160">
        <f t="shared" si="225"/>
        <v>0.15288271075107795</v>
      </c>
      <c r="AC349" s="171" t="str">
        <f t="shared" si="226"/>
        <v>-0.0435646083311941-0.211729743674344i</v>
      </c>
      <c r="AD349" s="190">
        <f t="shared" si="227"/>
        <v>-13.304287600911781</v>
      </c>
      <c r="AE349" s="169">
        <f t="shared" si="228"/>
        <v>-101.62667397290544</v>
      </c>
      <c r="AF349" s="98" t="str">
        <f t="shared" si="214"/>
        <v>-0.0000816326530612245</v>
      </c>
      <c r="AG349" s="98" t="str">
        <f t="shared" si="215"/>
        <v>0.00285051888739403i</v>
      </c>
      <c r="AH349" s="98">
        <f t="shared" si="229"/>
        <v>2.85051888739403E-3</v>
      </c>
      <c r="AI349" s="98">
        <f t="shared" si="230"/>
        <v>1.5707963267948966</v>
      </c>
      <c r="AJ349" s="98" t="str">
        <f t="shared" si="216"/>
        <v>1+0.315761821660155i</v>
      </c>
      <c r="AK349" s="98">
        <f t="shared" si="231"/>
        <v>1.0486684547644882</v>
      </c>
      <c r="AL349" s="98">
        <f t="shared" si="232"/>
        <v>0.30585372666947064</v>
      </c>
      <c r="AM349" s="98" t="str">
        <f t="shared" si="217"/>
        <v>1+31.8919439876757i</v>
      </c>
      <c r="AN349" s="98">
        <f t="shared" si="233"/>
        <v>31.907618076456977</v>
      </c>
      <c r="AO349" s="98">
        <f t="shared" si="234"/>
        <v>1.5394507160300095</v>
      </c>
      <c r="AP349" s="168" t="str">
        <f t="shared" si="235"/>
        <v>-0.822286573482065+0.288284528564575i</v>
      </c>
      <c r="AQ349" s="98">
        <f t="shared" si="236"/>
        <v>-1.1960766140501535</v>
      </c>
      <c r="AR349" s="169">
        <f t="shared" si="237"/>
        <v>160.67990111040359</v>
      </c>
      <c r="AS349" s="168" t="str">
        <f t="shared" si="238"/>
        <v>0.0968610018480024+0.161543522855354i</v>
      </c>
      <c r="AT349" s="190">
        <f t="shared" si="239"/>
        <v>-14.500364214961918</v>
      </c>
      <c r="AU349" s="169">
        <f t="shared" si="240"/>
        <v>59.053227137498205</v>
      </c>
      <c r="AV349" s="225"/>
      <c r="AX349">
        <f t="shared" si="241"/>
        <v>0</v>
      </c>
      <c r="AY349">
        <f t="shared" si="242"/>
        <v>0</v>
      </c>
    </row>
    <row r="350" spans="14:51" x14ac:dyDescent="0.2">
      <c r="N350" s="170">
        <v>32</v>
      </c>
      <c r="O350" s="199">
        <f t="shared" si="208"/>
        <v>20892.961308540423</v>
      </c>
      <c r="P350" s="189" t="str">
        <f t="shared" si="209"/>
        <v>6.8875</v>
      </c>
      <c r="Q350" s="160" t="str">
        <f t="shared" si="210"/>
        <v>1+32.8185868793232i</v>
      </c>
      <c r="R350" s="160">
        <f t="shared" si="218"/>
        <v>32.833818613674602</v>
      </c>
      <c r="S350" s="160">
        <f t="shared" si="219"/>
        <v>1.5403352136639723</v>
      </c>
      <c r="T350" s="160" t="str">
        <f t="shared" si="211"/>
        <v>1+0.0525097390069172i</v>
      </c>
      <c r="U350" s="160">
        <f t="shared" si="220"/>
        <v>1.001377687334092</v>
      </c>
      <c r="V350" s="160">
        <f t="shared" si="221"/>
        <v>5.2461557468501022E-2</v>
      </c>
      <c r="W350" s="98" t="str">
        <f t="shared" si="212"/>
        <v>1-0.136365319443171i</v>
      </c>
      <c r="X350" s="160">
        <f t="shared" si="222"/>
        <v>1.0092549233701256</v>
      </c>
      <c r="Y350" s="160">
        <f t="shared" si="223"/>
        <v>-0.1355293663390732</v>
      </c>
      <c r="Z350" s="98" t="str">
        <f t="shared" si="213"/>
        <v>0.990981077846278+0.156316122709376i</v>
      </c>
      <c r="AA350" s="160">
        <f t="shared" si="224"/>
        <v>1.0032338844298789</v>
      </c>
      <c r="AB350" s="160">
        <f t="shared" si="225"/>
        <v>0.15644968687882327</v>
      </c>
      <c r="AC350" s="171" t="str">
        <f t="shared" si="226"/>
        <v>-0.0438563192488472-0.206717164876798i</v>
      </c>
      <c r="AD350" s="190">
        <f t="shared" si="227"/>
        <v>-13.501263760073448</v>
      </c>
      <c r="AE350" s="169">
        <f t="shared" si="228"/>
        <v>-101.97804840431053</v>
      </c>
      <c r="AF350" s="98" t="str">
        <f t="shared" si="214"/>
        <v>-0.0000816326530612245</v>
      </c>
      <c r="AG350" s="98" t="str">
        <f t="shared" si="215"/>
        <v>0.00291691600183425i</v>
      </c>
      <c r="AH350" s="98">
        <f t="shared" si="229"/>
        <v>2.9169160018342501E-3</v>
      </c>
      <c r="AI350" s="98">
        <f t="shared" si="230"/>
        <v>1.5707963267948966</v>
      </c>
      <c r="AJ350" s="98" t="str">
        <f t="shared" si="216"/>
        <v>1+0.323116859334644i</v>
      </c>
      <c r="AK350" s="98">
        <f t="shared" si="231"/>
        <v>1.050906515721681</v>
      </c>
      <c r="AL350" s="98">
        <f t="shared" si="232"/>
        <v>0.31252772105417959</v>
      </c>
      <c r="AM350" s="98" t="str">
        <f t="shared" si="217"/>
        <v>1+32.6348027927991i</v>
      </c>
      <c r="AN350" s="98">
        <f t="shared" si="233"/>
        <v>32.65012026509072</v>
      </c>
      <c r="AO350" s="98">
        <f t="shared" si="234"/>
        <v>1.540163777781945</v>
      </c>
      <c r="AP350" s="168" t="str">
        <f t="shared" si="235"/>
        <v>-0.818787940971241+0.292550133723962i</v>
      </c>
      <c r="AQ350" s="98">
        <f t="shared" si="236"/>
        <v>-1.2147862212148994</v>
      </c>
      <c r="AR350" s="169">
        <f t="shared" si="237"/>
        <v>160.33836482858391</v>
      </c>
      <c r="AS350" s="168" t="str">
        <f t="shared" si="238"/>
        <v>0.0963841595640866+0.156427349731995i</v>
      </c>
      <c r="AT350" s="190">
        <f t="shared" si="239"/>
        <v>-14.716049981288341</v>
      </c>
      <c r="AU350" s="169">
        <f t="shared" si="240"/>
        <v>58.360316424273371</v>
      </c>
      <c r="AV350" s="225"/>
      <c r="AX350">
        <f t="shared" si="241"/>
        <v>0</v>
      </c>
      <c r="AY350">
        <f t="shared" si="242"/>
        <v>0</v>
      </c>
    </row>
    <row r="351" spans="14:51" x14ac:dyDescent="0.2">
      <c r="N351" s="170">
        <v>33</v>
      </c>
      <c r="O351" s="199">
        <f t="shared" si="208"/>
        <v>21379.620895022348</v>
      </c>
      <c r="P351" s="189" t="str">
        <f t="shared" si="209"/>
        <v>6.8875</v>
      </c>
      <c r="Q351" s="160" t="str">
        <f t="shared" si="210"/>
        <v>1+33.5830299701685i</v>
      </c>
      <c r="R351" s="160">
        <f t="shared" si="218"/>
        <v>33.597915143312619</v>
      </c>
      <c r="S351" s="160">
        <f t="shared" si="219"/>
        <v>1.5410281789368578</v>
      </c>
      <c r="T351" s="160" t="str">
        <f t="shared" si="211"/>
        <v>1+0.0537328479522696i</v>
      </c>
      <c r="U351" s="160">
        <f t="shared" si="220"/>
        <v>1.0014425689719115</v>
      </c>
      <c r="V351" s="160">
        <f t="shared" si="221"/>
        <v>5.3681224519431553E-2</v>
      </c>
      <c r="W351" s="98" t="str">
        <f t="shared" si="212"/>
        <v>1-0.139541675776323i</v>
      </c>
      <c r="X351" s="160">
        <f t="shared" si="222"/>
        <v>1.0096890012664614</v>
      </c>
      <c r="Y351" s="160">
        <f t="shared" si="223"/>
        <v>-0.13864639946771048</v>
      </c>
      <c r="Z351" s="98" t="str">
        <f t="shared" si="213"/>
        <v>0.990556029140188+0.159957192949002i</v>
      </c>
      <c r="AA351" s="160">
        <f t="shared" si="224"/>
        <v>1.0033880358276659</v>
      </c>
      <c r="AB351" s="160">
        <f t="shared" si="225"/>
        <v>0.16010015560727292</v>
      </c>
      <c r="AC351" s="171" t="str">
        <f t="shared" si="226"/>
        <v>-0.0441338742074477-0.201813355861632i</v>
      </c>
      <c r="AD351" s="190">
        <f t="shared" si="227"/>
        <v>-13.698119231773397</v>
      </c>
      <c r="AE351" s="169">
        <f t="shared" si="228"/>
        <v>-102.33561990962448</v>
      </c>
      <c r="AF351" s="98" t="str">
        <f t="shared" si="214"/>
        <v>-0.0000816326530612245</v>
      </c>
      <c r="AG351" s="98" t="str">
        <f t="shared" si="215"/>
        <v>0.00298485970374858i</v>
      </c>
      <c r="AH351" s="98">
        <f t="shared" si="229"/>
        <v>2.9848597037485801E-3</v>
      </c>
      <c r="AI351" s="98">
        <f t="shared" si="230"/>
        <v>1.5707963267948966</v>
      </c>
      <c r="AJ351" s="98" t="str">
        <f t="shared" si="216"/>
        <v>1+0.330643217844907i</v>
      </c>
      <c r="AK351" s="98">
        <f t="shared" si="231"/>
        <v>1.0532449560794652</v>
      </c>
      <c r="AL351" s="98">
        <f t="shared" si="232"/>
        <v>0.31932749970623175</v>
      </c>
      <c r="AM351" s="98" t="str">
        <f t="shared" si="217"/>
        <v>1+33.3949650023356i</v>
      </c>
      <c r="AN351" s="98">
        <f t="shared" si="233"/>
        <v>33.40993396442471</v>
      </c>
      <c r="AO351" s="98">
        <f t="shared" si="234"/>
        <v>1.5408606383779329</v>
      </c>
      <c r="AP351" s="168" t="str">
        <f t="shared" si="235"/>
        <v>-0.815156190850304+0.296874773865149i</v>
      </c>
      <c r="AQ351" s="98">
        <f t="shared" si="236"/>
        <v>-1.2342756482956689</v>
      </c>
      <c r="AR351" s="169">
        <f t="shared" si="237"/>
        <v>159.98869338125721</v>
      </c>
      <c r="AS351" s="168" t="str">
        <f t="shared" si="238"/>
        <v>0.0958892951707984+0.151407172501756i</v>
      </c>
      <c r="AT351" s="190">
        <f t="shared" si="239"/>
        <v>-14.93239488006906</v>
      </c>
      <c r="AU351" s="169">
        <f t="shared" si="240"/>
        <v>57.653073471632766</v>
      </c>
      <c r="AV351" s="225"/>
      <c r="AX351">
        <f t="shared" si="241"/>
        <v>0</v>
      </c>
      <c r="AY351">
        <f t="shared" si="242"/>
        <v>0</v>
      </c>
    </row>
    <row r="352" spans="14:51" x14ac:dyDescent="0.2">
      <c r="N352" s="170">
        <v>34</v>
      </c>
      <c r="O352" s="199">
        <f t="shared" si="208"/>
        <v>21877.61623949555</v>
      </c>
      <c r="P352" s="189" t="str">
        <f t="shared" si="209"/>
        <v>6.8875</v>
      </c>
      <c r="Q352" s="160" t="str">
        <f t="shared" si="210"/>
        <v>1+34.365279228028i</v>
      </c>
      <c r="R352" s="160">
        <f t="shared" si="218"/>
        <v>34.379825718294917</v>
      </c>
      <c r="S352" s="160">
        <f t="shared" si="219"/>
        <v>1.5417053980291422</v>
      </c>
      <c r="T352" s="160" t="str">
        <f t="shared" si="211"/>
        <v>1+0.0549844467648448i</v>
      </c>
      <c r="U352" s="160">
        <f t="shared" si="220"/>
        <v>1.0015105038820291</v>
      </c>
      <c r="V352" s="160">
        <f t="shared" si="221"/>
        <v>5.4929135764826595E-2</v>
      </c>
      <c r="W352" s="98" t="str">
        <f t="shared" si="212"/>
        <v>1-0.142792018953025i</v>
      </c>
      <c r="X352" s="160">
        <f t="shared" si="222"/>
        <v>1.0101433366986494</v>
      </c>
      <c r="Y352" s="160">
        <f t="shared" si="223"/>
        <v>-0.14183323259632771</v>
      </c>
      <c r="Z352" s="98" t="str">
        <f t="shared" si="213"/>
        <v>0.990110948505731+0.163683074609615i</v>
      </c>
      <c r="AA352" s="160">
        <f t="shared" si="224"/>
        <v>1.0035496197321663</v>
      </c>
      <c r="AB352" s="160">
        <f t="shared" si="225"/>
        <v>0.16383608920020681</v>
      </c>
      <c r="AC352" s="171" t="str">
        <f t="shared" si="226"/>
        <v>-0.0443978571322661-0.197015771869059i</v>
      </c>
      <c r="AD352" s="190">
        <f t="shared" si="227"/>
        <v>-13.894847953538079</v>
      </c>
      <c r="AE352" s="169">
        <f t="shared" si="228"/>
        <v>-102.69956697354851</v>
      </c>
      <c r="AF352" s="98" t="str">
        <f t="shared" si="214"/>
        <v>-0.0000816326530612245</v>
      </c>
      <c r="AG352" s="98" t="str">
        <f t="shared" si="215"/>
        <v>0.00305438601778713i</v>
      </c>
      <c r="AH352" s="98">
        <f t="shared" si="229"/>
        <v>3.0543860177871299E-3</v>
      </c>
      <c r="AI352" s="98">
        <f t="shared" si="230"/>
        <v>1.5707963267948966</v>
      </c>
      <c r="AJ352" s="98" t="str">
        <f t="shared" si="216"/>
        <v>1+0.338344887765852i</v>
      </c>
      <c r="AK352" s="98">
        <f t="shared" si="231"/>
        <v>1.055688051972403</v>
      </c>
      <c r="AL352" s="98">
        <f t="shared" si="232"/>
        <v>0.32625415188479057</v>
      </c>
      <c r="AM352" s="98" t="str">
        <f t="shared" si="217"/>
        <v>1+34.1728336643511i</v>
      </c>
      <c r="AN352" s="98">
        <f t="shared" si="233"/>
        <v>34.187462038756372</v>
      </c>
      <c r="AO352" s="98">
        <f t="shared" si="234"/>
        <v>1.5415416645938909</v>
      </c>
      <c r="AP352" s="168" t="str">
        <f t="shared" si="235"/>
        <v>-0.811387652697779+0.301255235015749i</v>
      </c>
      <c r="AQ352" s="98">
        <f t="shared" si="236"/>
        <v>-1.2545751312055731</v>
      </c>
      <c r="AR352" s="169">
        <f t="shared" si="237"/>
        <v>159.63084537318289</v>
      </c>
      <c r="AS352" s="168" t="str">
        <f t="shared" si="238"/>
        <v>0.0953759057395833+0.1464810777967i</v>
      </c>
      <c r="AT352" s="190">
        <f t="shared" si="239"/>
        <v>-15.14942308474367</v>
      </c>
      <c r="AU352" s="169">
        <f t="shared" si="240"/>
        <v>56.931278399634287</v>
      </c>
      <c r="AV352" s="225"/>
      <c r="AX352">
        <f t="shared" si="241"/>
        <v>0</v>
      </c>
      <c r="AY352">
        <f t="shared" si="242"/>
        <v>0</v>
      </c>
    </row>
    <row r="353" spans="14:51" x14ac:dyDescent="0.2">
      <c r="N353" s="170">
        <v>35</v>
      </c>
      <c r="O353" s="199">
        <f t="shared" si="208"/>
        <v>22387.211385683382</v>
      </c>
      <c r="P353" s="189" t="str">
        <f t="shared" si="209"/>
        <v>6.8875</v>
      </c>
      <c r="Q353" s="160" t="str">
        <f t="shared" si="210"/>
        <v>1+35.1657494118123i</v>
      </c>
      <c r="R353" s="160">
        <f t="shared" si="218"/>
        <v>35.179964918890654</v>
      </c>
      <c r="S353" s="160">
        <f t="shared" si="219"/>
        <v>1.5423672275252094</v>
      </c>
      <c r="T353" s="160" t="str">
        <f t="shared" si="211"/>
        <v>1+0.0562651990588996i</v>
      </c>
      <c r="U353" s="160">
        <f t="shared" si="220"/>
        <v>1.0015816355270986</v>
      </c>
      <c r="V353" s="160">
        <f t="shared" si="221"/>
        <v>5.6205937308132982E-2</v>
      </c>
      <c r="W353" s="98" t="str">
        <f t="shared" si="212"/>
        <v>1-0.14611807234825i</v>
      </c>
      <c r="X353" s="160">
        <f t="shared" si="222"/>
        <v>1.0106188653823795</v>
      </c>
      <c r="Y353" s="160">
        <f t="shared" si="223"/>
        <v>-0.14509129636903234</v>
      </c>
      <c r="Z353" s="98" t="str">
        <f t="shared" si="213"/>
        <v>0.989644891867205+0.167495743202986i</v>
      </c>
      <c r="AA353" s="160">
        <f t="shared" si="224"/>
        <v>1.0037190025051694</v>
      </c>
      <c r="AB353" s="160">
        <f t="shared" si="225"/>
        <v>0.16765950762703141</v>
      </c>
      <c r="AC353" s="171" t="str">
        <f t="shared" si="226"/>
        <v>-0.0446488233169094-0.192321920804108i</v>
      </c>
      <c r="AD353" s="190">
        <f t="shared" si="227"/>
        <v>-14.091443651080615</v>
      </c>
      <c r="AE353" s="169">
        <f t="shared" si="228"/>
        <v>-103.07007071345322</v>
      </c>
      <c r="AF353" s="98" t="str">
        <f t="shared" si="214"/>
        <v>-0.0000816326530612245</v>
      </c>
      <c r="AG353" s="98" t="str">
        <f t="shared" si="215"/>
        <v>0.00312553180772188i</v>
      </c>
      <c r="AH353" s="98">
        <f t="shared" si="229"/>
        <v>3.1255318077218798E-3</v>
      </c>
      <c r="AI353" s="98">
        <f t="shared" si="230"/>
        <v>1.5707963267948966</v>
      </c>
      <c r="AJ353" s="98" t="str">
        <f t="shared" si="216"/>
        <v>1+0.346225952624813i</v>
      </c>
      <c r="AK353" s="98">
        <f t="shared" si="231"/>
        <v>1.0582402422280865</v>
      </c>
      <c r="AL353" s="98">
        <f t="shared" si="232"/>
        <v>0.33330869065971352</v>
      </c>
      <c r="AM353" s="98" t="str">
        <f t="shared" si="217"/>
        <v>1+34.9688212151061i</v>
      </c>
      <c r="AN353" s="98">
        <f t="shared" si="233"/>
        <v>34.983116744710642</v>
      </c>
      <c r="AO353" s="98">
        <f t="shared" si="234"/>
        <v>1.542207214990625</v>
      </c>
      <c r="AP353" s="168" t="str">
        <f t="shared" si="235"/>
        <v>-0.807478675409574+0.305688077875463i</v>
      </c>
      <c r="AQ353" s="98">
        <f t="shared" si="236"/>
        <v>-1.2757156983412767</v>
      </c>
      <c r="AR353" s="169">
        <f t="shared" si="237"/>
        <v>159.26478330375451</v>
      </c>
      <c r="AS353" s="168" t="str">
        <f t="shared" si="238"/>
        <v>0.0948434910144589+0.141647236883979i</v>
      </c>
      <c r="AT353" s="190">
        <f t="shared" si="239"/>
        <v>-15.367159349421888</v>
      </c>
      <c r="AU353" s="169">
        <f t="shared" si="240"/>
        <v>56.194712590301322</v>
      </c>
      <c r="AV353" s="225"/>
      <c r="AX353">
        <f t="shared" si="241"/>
        <v>0</v>
      </c>
      <c r="AY353">
        <f t="shared" si="242"/>
        <v>0</v>
      </c>
    </row>
    <row r="354" spans="14:51" x14ac:dyDescent="0.2">
      <c r="N354" s="170">
        <v>36</v>
      </c>
      <c r="O354" s="199">
        <f t="shared" si="208"/>
        <v>22908.676527677751</v>
      </c>
      <c r="P354" s="189" t="str">
        <f t="shared" si="209"/>
        <v>6.8875</v>
      </c>
      <c r="Q354" s="160" t="str">
        <f t="shared" si="210"/>
        <v>1+35.9848649414088i</v>
      </c>
      <c r="R354" s="160">
        <f t="shared" si="218"/>
        <v>35.998756990366097</v>
      </c>
      <c r="S354" s="160">
        <f t="shared" si="219"/>
        <v>1.5430140160153443</v>
      </c>
      <c r="T354" s="160" t="str">
        <f t="shared" si="211"/>
        <v>1+0.057575783906254i</v>
      </c>
      <c r="U354" s="160">
        <f t="shared" si="220"/>
        <v>1.0016561140892715</v>
      </c>
      <c r="V354" s="160">
        <f t="shared" si="221"/>
        <v>5.7512289465238155E-2</v>
      </c>
      <c r="W354" s="98" t="str">
        <f t="shared" si="212"/>
        <v>1-0.149521599479538i</v>
      </c>
      <c r="X354" s="160">
        <f t="shared" si="222"/>
        <v>1.0111165653429477</v>
      </c>
      <c r="Y354" s="160">
        <f t="shared" si="223"/>
        <v>-0.14842204143587134</v>
      </c>
      <c r="Z354" s="98" t="str">
        <f t="shared" si="213"/>
        <v>0.989156870655996+0.171397220256473i</v>
      </c>
      <c r="AA354" s="160">
        <f t="shared" si="224"/>
        <v>1.0038965693126003</v>
      </c>
      <c r="AB354" s="160">
        <f t="shared" si="225"/>
        <v>0.17157247977621004</v>
      </c>
      <c r="AC354" s="171" t="str">
        <f t="shared" si="226"/>
        <v>-0.0448873005629244-0.187729362165256i</v>
      </c>
      <c r="AD354" s="190">
        <f t="shared" si="227"/>
        <v>-14.287899830313449</v>
      </c>
      <c r="AE354" s="169">
        <f t="shared" si="228"/>
        <v>-103.44731492347971</v>
      </c>
      <c r="AF354" s="98" t="str">
        <f t="shared" si="214"/>
        <v>-0.0000816326530612245</v>
      </c>
      <c r="AG354" s="98" t="str">
        <f t="shared" si="215"/>
        <v>0.0031983347959924i</v>
      </c>
      <c r="AH354" s="98">
        <f t="shared" si="229"/>
        <v>3.1983347959924002E-3</v>
      </c>
      <c r="AI354" s="98">
        <f t="shared" si="230"/>
        <v>1.5707963267948966</v>
      </c>
      <c r="AJ354" s="98" t="str">
        <f t="shared" si="216"/>
        <v>1+0.354290591066702i</v>
      </c>
      <c r="AK354" s="98">
        <f t="shared" si="231"/>
        <v>1.0609061329440945</v>
      </c>
      <c r="AL354" s="98">
        <f t="shared" si="232"/>
        <v>0.34049204688800311</v>
      </c>
      <c r="AM354" s="98" t="str">
        <f t="shared" si="217"/>
        <v>1+35.7833496977369i</v>
      </c>
      <c r="AN354" s="98">
        <f t="shared" si="233"/>
        <v>35.797319949830424</v>
      </c>
      <c r="AO354" s="98">
        <f t="shared" si="234"/>
        <v>1.5428576400919332</v>
      </c>
      <c r="AP354" s="168" t="str">
        <f t="shared" si="235"/>
        <v>-0.803425639610092+0.310169630633175i</v>
      </c>
      <c r="AQ354" s="98">
        <f t="shared" si="236"/>
        <v>-1.2977291657322119</v>
      </c>
      <c r="AR354" s="169">
        <f t="shared" si="237"/>
        <v>158.89047392232874</v>
      </c>
      <c r="AS354" s="168" t="str">
        <f t="shared" si="238"/>
        <v>0.094291555086937+0.136903905435493i</v>
      </c>
      <c r="AT354" s="190">
        <f t="shared" si="239"/>
        <v>-15.585628996045651</v>
      </c>
      <c r="AU354" s="169">
        <f t="shared" si="240"/>
        <v>55.443158998849071</v>
      </c>
      <c r="AV354" s="225"/>
      <c r="AX354">
        <f t="shared" si="241"/>
        <v>0</v>
      </c>
      <c r="AY354">
        <f t="shared" si="242"/>
        <v>0</v>
      </c>
    </row>
    <row r="355" spans="14:51" x14ac:dyDescent="0.2">
      <c r="N355" s="170">
        <v>37</v>
      </c>
      <c r="O355" s="199">
        <f t="shared" si="208"/>
        <v>23442.288153199243</v>
      </c>
      <c r="P355" s="189" t="str">
        <f t="shared" si="209"/>
        <v>6.8875</v>
      </c>
      <c r="Q355" s="160" t="str">
        <f t="shared" si="210"/>
        <v>1+36.823060122713i</v>
      </c>
      <c r="R355" s="160">
        <f t="shared" si="218"/>
        <v>36.836636067927486</v>
      </c>
      <c r="S355" s="160">
        <f t="shared" si="219"/>
        <v>1.5436461042695304</v>
      </c>
      <c r="T355" s="160" t="str">
        <f t="shared" si="211"/>
        <v>1+0.0589168961963408i</v>
      </c>
      <c r="U355" s="160">
        <f t="shared" si="220"/>
        <v>1.0017340967828789</v>
      </c>
      <c r="V355" s="160">
        <f t="shared" si="221"/>
        <v>5.8848867036348181E-2</v>
      </c>
      <c r="W355" s="98" t="str">
        <f t="shared" si="212"/>
        <v>1-0.153004404942021i</v>
      </c>
      <c r="X355" s="160">
        <f t="shared" si="222"/>
        <v>1.0116374587428354</v>
      </c>
      <c r="Y355" s="160">
        <f t="shared" si="223"/>
        <v>-0.15182693804191993</v>
      </c>
      <c r="Z355" s="98" t="str">
        <f t="shared" si="213"/>
        <v>0.988645849713685+0.17538957438485i</v>
      </c>
      <c r="AA355" s="160">
        <f t="shared" si="224"/>
        <v>1.004082725157142</v>
      </c>
      <c r="AB355" s="160">
        <f t="shared" si="225"/>
        <v>0.17557712470134612</v>
      </c>
      <c r="AC355" s="171" t="str">
        <f t="shared" si="226"/>
        <v>-0.0451137902622345-0.183235705985028i</v>
      </c>
      <c r="AD355" s="190">
        <f t="shared" si="227"/>
        <v>-14.484209769376555</v>
      </c>
      <c r="AE355" s="169">
        <f t="shared" si="228"/>
        <v>-103.83148611677169</v>
      </c>
      <c r="AF355" s="98" t="str">
        <f t="shared" si="214"/>
        <v>-0.0000816326530612245</v>
      </c>
      <c r="AG355" s="98" t="str">
        <f t="shared" si="215"/>
        <v>0.00327283358370672i</v>
      </c>
      <c r="AH355" s="98">
        <f t="shared" si="229"/>
        <v>3.2728335837067198E-3</v>
      </c>
      <c r="AI355" s="98">
        <f t="shared" si="230"/>
        <v>1.5707963267948966</v>
      </c>
      <c r="AJ355" s="98" t="str">
        <f t="shared" si="216"/>
        <v>1+0.362543079069563i</v>
      </c>
      <c r="AK355" s="98">
        <f t="shared" si="231"/>
        <v>1.0636905020640353</v>
      </c>
      <c r="AL355" s="98">
        <f t="shared" si="232"/>
        <v>0.34780506301786429</v>
      </c>
      <c r="AM355" s="98" t="str">
        <f t="shared" si="217"/>
        <v>1+36.6168509860258i</v>
      </c>
      <c r="AN355" s="98">
        <f t="shared" si="233"/>
        <v>36.630503356257869</v>
      </c>
      <c r="AO355" s="98">
        <f t="shared" si="234"/>
        <v>1.5434932825592389</v>
      </c>
      <c r="AP355" s="168" t="str">
        <f t="shared" si="235"/>
        <v>-0.799224970991393+0.31469598228015i</v>
      </c>
      <c r="AQ355" s="98">
        <f t="shared" si="236"/>
        <v>-1.3206481293087187</v>
      </c>
      <c r="AR355" s="169">
        <f t="shared" si="237"/>
        <v>158.50788859323254</v>
      </c>
      <c r="AS355" s="168" t="str">
        <f t="shared" si="238"/>
        <v>0.0937196081974013+0.132249423259517i</v>
      </c>
      <c r="AT355" s="190">
        <f t="shared" si="239"/>
        <v>-15.804857898685267</v>
      </c>
      <c r="AU355" s="169">
        <f t="shared" si="240"/>
        <v>54.676402476460872</v>
      </c>
      <c r="AV355" s="225"/>
      <c r="AX355">
        <f t="shared" si="241"/>
        <v>0</v>
      </c>
      <c r="AY355">
        <f t="shared" si="242"/>
        <v>0</v>
      </c>
    </row>
    <row r="356" spans="14:51" x14ac:dyDescent="0.2">
      <c r="N356" s="170">
        <v>38</v>
      </c>
      <c r="O356" s="199">
        <f t="shared" si="208"/>
        <v>23988.329190194923</v>
      </c>
      <c r="P356" s="189" t="str">
        <f t="shared" si="209"/>
        <v>6.8875</v>
      </c>
      <c r="Q356" s="160" t="str">
        <f t="shared" si="210"/>
        <v>1+37.680779377905i</v>
      </c>
      <c r="R356" s="160">
        <f t="shared" si="218"/>
        <v>37.694046406910871</v>
      </c>
      <c r="S356" s="160">
        <f t="shared" si="219"/>
        <v>1.5442638254078362</v>
      </c>
      <c r="T356" s="160" t="str">
        <f t="shared" si="211"/>
        <v>1+0.060289247004648i</v>
      </c>
      <c r="U356" s="160">
        <f t="shared" si="220"/>
        <v>1.0018157481814645</v>
      </c>
      <c r="V356" s="160">
        <f t="shared" si="221"/>
        <v>6.0216359580058977E-2</v>
      </c>
      <c r="W356" s="98" t="str">
        <f t="shared" si="212"/>
        <v>1-0.156568335365256i</v>
      </c>
      <c r="X356" s="160">
        <f t="shared" si="222"/>
        <v>1.0121826137802641</v>
      </c>
      <c r="Y356" s="160">
        <f t="shared" si="223"/>
        <v>-0.15530747555285429</v>
      </c>
      <c r="Z356" s="98" t="str">
        <f t="shared" si="213"/>
        <v>0.98811074509634+0.179474922387121i</v>
      </c>
      <c r="AA356" s="160">
        <f t="shared" si="224"/>
        <v>1.004277895973374</v>
      </c>
      <c r="AB356" s="160">
        <f t="shared" si="225"/>
        <v>0.17967561290068815</v>
      </c>
      <c r="AC356" s="171" t="str">
        <f t="shared" si="226"/>
        <v>-0.0453287684244243-0.178838611783117i</v>
      </c>
      <c r="AD356" s="190">
        <f t="shared" si="227"/>
        <v>-14.680366510709424</v>
      </c>
      <c r="AE356" s="169">
        <f t="shared" si="228"/>
        <v>-104.22277356566245</v>
      </c>
      <c r="AF356" s="98" t="str">
        <f t="shared" si="214"/>
        <v>-0.0000816326530612245</v>
      </c>
      <c r="AG356" s="98" t="str">
        <f t="shared" si="215"/>
        <v>0.0033490676711082i</v>
      </c>
      <c r="AH356" s="98">
        <f t="shared" si="229"/>
        <v>3.3490676711082001E-3</v>
      </c>
      <c r="AI356" s="98">
        <f t="shared" si="230"/>
        <v>1.5707963267948966</v>
      </c>
      <c r="AJ356" s="98" t="str">
        <f t="shared" si="216"/>
        <v>1+0.37098779221177i</v>
      </c>
      <c r="AK356" s="98">
        <f t="shared" si="231"/>
        <v>1.066598303941162</v>
      </c>
      <c r="AL356" s="98">
        <f t="shared" si="232"/>
        <v>0.35524848673410814</v>
      </c>
      <c r="AM356" s="98" t="str">
        <f t="shared" si="217"/>
        <v>1+37.4697670133887i</v>
      </c>
      <c r="AN356" s="98">
        <f t="shared" si="233"/>
        <v>37.483108729634893</v>
      </c>
      <c r="AO356" s="98">
        <f t="shared" si="234"/>
        <v>1.5441144773628099</v>
      </c>
      <c r="AP356" s="168" t="str">
        <f t="shared" si="235"/>
        <v>-0.794873154587494+0.319262976510424i</v>
      </c>
      <c r="AQ356" s="98">
        <f t="shared" si="236"/>
        <v>-1.3445059540826156</v>
      </c>
      <c r="AR356" s="169">
        <f t="shared" si="237"/>
        <v>158.1170036696642</v>
      </c>
      <c r="AS356" s="168" t="str">
        <f t="shared" si="238"/>
        <v>0.0931271686639583+0.127682213981361i</v>
      </c>
      <c r="AT356" s="190">
        <f t="shared" si="239"/>
        <v>-16.024872464792036</v>
      </c>
      <c r="AU356" s="169">
        <f t="shared" si="240"/>
        <v>53.894230104001757</v>
      </c>
      <c r="AV356" s="225"/>
      <c r="AX356">
        <f t="shared" si="241"/>
        <v>0</v>
      </c>
      <c r="AY356">
        <f t="shared" si="242"/>
        <v>0</v>
      </c>
    </row>
    <row r="357" spans="14:51" x14ac:dyDescent="0.2">
      <c r="N357" s="170">
        <v>39</v>
      </c>
      <c r="O357" s="199">
        <f t="shared" si="208"/>
        <v>24547.089156850321</v>
      </c>
      <c r="P357" s="189" t="str">
        <f t="shared" si="209"/>
        <v>6.8875</v>
      </c>
      <c r="Q357" s="160" t="str">
        <f t="shared" si="210"/>
        <v>1+38.5584774810872i</v>
      </c>
      <c r="R357" s="160">
        <f t="shared" si="218"/>
        <v>38.571442618334991</v>
      </c>
      <c r="S357" s="160">
        <f t="shared" si="219"/>
        <v>1.5448675050674288</v>
      </c>
      <c r="T357" s="160" t="str">
        <f t="shared" si="211"/>
        <v>1+0.0616935639697396i</v>
      </c>
      <c r="U357" s="160">
        <f t="shared" si="220"/>
        <v>1.0019012405598111</v>
      </c>
      <c r="V357" s="160">
        <f t="shared" si="221"/>
        <v>6.1615471689375846E-2</v>
      </c>
      <c r="W357" s="98" t="str">
        <f t="shared" si="212"/>
        <v>1-0.160215280392329i</v>
      </c>
      <c r="X357" s="160">
        <f t="shared" si="222"/>
        <v>1.0127531466607214</v>
      </c>
      <c r="Y357" s="160">
        <f t="shared" si="223"/>
        <v>-0.15886516191261058</v>
      </c>
      <c r="Z357" s="98" t="str">
        <f t="shared" si="213"/>
        <v>0.987550421775323+0.183655430368872i</v>
      </c>
      <c r="AA357" s="160">
        <f t="shared" si="224"/>
        <v>1.0044825297896396</v>
      </c>
      <c r="AB357" s="160">
        <f t="shared" si="225"/>
        <v>0.18387016763073413</v>
      </c>
      <c r="AC357" s="171" t="str">
        <f t="shared" si="226"/>
        <v>-0.0455326866507685-0.17453578753263i</v>
      </c>
      <c r="AD357" s="190">
        <f t="shared" si="227"/>
        <v>-14.87636285319425</v>
      </c>
      <c r="AE357" s="169">
        <f t="shared" si="228"/>
        <v>-104.62136933961902</v>
      </c>
      <c r="AF357" s="98" t="str">
        <f t="shared" si="214"/>
        <v>-0.0000816326530612245</v>
      </c>
      <c r="AG357" s="98" t="str">
        <f t="shared" si="215"/>
        <v>0.00342707747851904i</v>
      </c>
      <c r="AH357" s="98">
        <f t="shared" si="229"/>
        <v>3.4270774785190401E-3</v>
      </c>
      <c r="AI357" s="98">
        <f t="shared" si="230"/>
        <v>1.5707963267948966</v>
      </c>
      <c r="AJ357" s="98" t="str">
        <f t="shared" si="216"/>
        <v>1+0.379629207992012i</v>
      </c>
      <c r="AK357" s="98">
        <f t="shared" si="231"/>
        <v>1.0696346738773208</v>
      </c>
      <c r="AL357" s="98">
        <f t="shared" si="232"/>
        <v>0.36282296446091716</v>
      </c>
      <c r="AM357" s="98" t="str">
        <f t="shared" si="217"/>
        <v>1+38.3425500071932i</v>
      </c>
      <c r="AN357" s="98">
        <f t="shared" si="233"/>
        <v>38.355588133336077</v>
      </c>
      <c r="AO357" s="98">
        <f t="shared" si="234"/>
        <v>1.5447215519495874</v>
      </c>
      <c r="AP357" s="168" t="str">
        <f t="shared" si="235"/>
        <v>-0.790366749983261+0.323866206304605i</v>
      </c>
      <c r="AQ357" s="98">
        <f t="shared" si="236"/>
        <v>-1.3693367600362627</v>
      </c>
      <c r="AR357" s="169">
        <f t="shared" si="237"/>
        <v>157.71780087557434</v>
      </c>
      <c r="AS357" s="168" t="str">
        <f t="shared" si="238"/>
        <v>0.0925137649387536+0.123200784659493i</v>
      </c>
      <c r="AT357" s="190">
        <f t="shared" si="239"/>
        <v>-16.24569961323051</v>
      </c>
      <c r="AU357" s="169">
        <f t="shared" si="240"/>
        <v>53.096431535955304</v>
      </c>
      <c r="AV357" s="225"/>
      <c r="AX357">
        <f t="shared" si="241"/>
        <v>0</v>
      </c>
      <c r="AY357">
        <f t="shared" si="242"/>
        <v>0</v>
      </c>
    </row>
    <row r="358" spans="14:51" x14ac:dyDescent="0.2">
      <c r="N358" s="170">
        <v>40</v>
      </c>
      <c r="O358" s="199">
        <f t="shared" si="208"/>
        <v>25118.86431509586</v>
      </c>
      <c r="P358" s="189" t="str">
        <f t="shared" si="209"/>
        <v>6.8875</v>
      </c>
      <c r="Q358" s="160" t="str">
        <f t="shared" si="210"/>
        <v>1+39.456619799412i</v>
      </c>
      <c r="R358" s="160">
        <f t="shared" si="218"/>
        <v>39.469289909945829</v>
      </c>
      <c r="S358" s="160">
        <f t="shared" si="219"/>
        <v>1.5454574615662591</v>
      </c>
      <c r="T358" s="160" t="str">
        <f t="shared" si="211"/>
        <v>1+0.0631305916790592i</v>
      </c>
      <c r="U358" s="160">
        <f t="shared" si="220"/>
        <v>1.0019907542516289</v>
      </c>
      <c r="V358" s="160">
        <f t="shared" si="221"/>
        <v>6.3046923269425986E-2</v>
      </c>
      <c r="W358" s="98" t="str">
        <f t="shared" si="212"/>
        <v>1-0.163947173681767i</v>
      </c>
      <c r="X358" s="160">
        <f t="shared" si="222"/>
        <v>1.0133502236434546</v>
      </c>
      <c r="Y358" s="160">
        <f t="shared" si="223"/>
        <v>-0.16250152302859397</v>
      </c>
      <c r="Z358" s="98" t="str">
        <f t="shared" si="213"/>
        <v>0.986963691229748+0.187933314890774i</v>
      </c>
      <c r="AA358" s="160">
        <f t="shared" si="224"/>
        <v>1.0046970979612135</v>
      </c>
      <c r="AB358" s="160">
        <f t="shared" si="225"/>
        <v>0.18816306625461862</v>
      </c>
      <c r="AC358" s="171" t="str">
        <f t="shared" si="226"/>
        <v>-0.0457259730568042-0.170324988639945i</v>
      </c>
      <c r="AD358" s="190">
        <f t="shared" si="227"/>
        <v>-15.072191344405041</v>
      </c>
      <c r="AE358" s="169">
        <f t="shared" si="228"/>
        <v>-105.02746834074151</v>
      </c>
      <c r="AF358" s="98" t="str">
        <f t="shared" si="214"/>
        <v>-0.0000816326530612245</v>
      </c>
      <c r="AG358" s="98" t="str">
        <f t="shared" si="215"/>
        <v>0.00350690436777174i</v>
      </c>
      <c r="AH358" s="98">
        <f t="shared" si="229"/>
        <v>3.5069043677717401E-3</v>
      </c>
      <c r="AI358" s="98">
        <f t="shared" si="230"/>
        <v>1.5707963267948966</v>
      </c>
      <c r="AJ358" s="98" t="str">
        <f t="shared" si="216"/>
        <v>1+0.38847190820332i</v>
      </c>
      <c r="AK358" s="98">
        <f t="shared" si="231"/>
        <v>1.0728049326243465</v>
      </c>
      <c r="AL358" s="98">
        <f t="shared" si="232"/>
        <v>0.37052903474058069</v>
      </c>
      <c r="AM358" s="98" t="str">
        <f t="shared" si="217"/>
        <v>1+39.2356627285353i</v>
      </c>
      <c r="AN358" s="98">
        <f t="shared" si="233"/>
        <v>39.24840416816172</v>
      </c>
      <c r="AO358" s="98">
        <f t="shared" si="234"/>
        <v>1.5453148264076797</v>
      </c>
      <c r="AP358" s="168" t="str">
        <f t="shared" si="235"/>
        <v>-0.785702407449168+0.328501009298455i</v>
      </c>
      <c r="AQ358" s="98">
        <f t="shared" si="236"/>
        <v>-1.3951754045151521</v>
      </c>
      <c r="AR358" s="169">
        <f t="shared" si="237"/>
        <v>157.3102676944599</v>
      </c>
      <c r="AS358" s="168" t="str">
        <f t="shared" si="238"/>
        <v>0.0918789377906567+0.118803725322843i</v>
      </c>
      <c r="AT358" s="190">
        <f t="shared" si="239"/>
        <v>-16.467366748920185</v>
      </c>
      <c r="AU358" s="169">
        <f t="shared" si="240"/>
        <v>52.282799353718403</v>
      </c>
      <c r="AV358" s="225"/>
      <c r="AX358">
        <f t="shared" si="241"/>
        <v>0</v>
      </c>
      <c r="AY358">
        <f t="shared" si="242"/>
        <v>0</v>
      </c>
    </row>
    <row r="359" spans="14:51" x14ac:dyDescent="0.2">
      <c r="N359" s="170">
        <v>41</v>
      </c>
      <c r="O359" s="199">
        <f t="shared" si="208"/>
        <v>25703.95782768865</v>
      </c>
      <c r="P359" s="189" t="str">
        <f t="shared" si="209"/>
        <v>6.8875</v>
      </c>
      <c r="Q359" s="160" t="str">
        <f t="shared" si="210"/>
        <v>1+40.3756825398243i</v>
      </c>
      <c r="R359" s="160">
        <f t="shared" si="218"/>
        <v>40.388064332877761</v>
      </c>
      <c r="S359" s="160">
        <f t="shared" si="219"/>
        <v>1.5460340060634619</v>
      </c>
      <c r="T359" s="160" t="str">
        <f t="shared" si="211"/>
        <v>1+0.0646010920637188i</v>
      </c>
      <c r="U359" s="160">
        <f t="shared" si="220"/>
        <v>1.0020844780235971</v>
      </c>
      <c r="V359" s="160">
        <f t="shared" si="221"/>
        <v>6.4511449816575417E-2</v>
      </c>
      <c r="W359" s="98" t="str">
        <f t="shared" si="212"/>
        <v>1-0.167765993932788i</v>
      </c>
      <c r="X359" s="160">
        <f t="shared" si="222"/>
        <v>1.0139750631648967</v>
      </c>
      <c r="Y359" s="160">
        <f t="shared" si="223"/>
        <v>-0.16621810207968107</v>
      </c>
      <c r="Z359" s="98" t="str">
        <f t="shared" si="213"/>
        <v>0.986349308925463+0.192310844143821i</v>
      </c>
      <c r="AA359" s="160">
        <f t="shared" si="224"/>
        <v>1.0049220964796464</v>
      </c>
      <c r="AB359" s="160">
        <f t="shared" si="225"/>
        <v>0.19255664162588562</v>
      </c>
      <c r="AC359" s="171" t="str">
        <f t="shared" si="226"/>
        <v>-0.0459090331451386-0.166204016938691i</v>
      </c>
      <c r="AD359" s="190">
        <f t="shared" si="227"/>
        <v>-15.267844272998804</v>
      </c>
      <c r="AE359" s="169">
        <f t="shared" si="228"/>
        <v>-105.44126833659648</v>
      </c>
      <c r="AF359" s="98" t="str">
        <f t="shared" si="214"/>
        <v>-0.0000816326530612245</v>
      </c>
      <c r="AG359" s="98" t="str">
        <f t="shared" si="215"/>
        <v>0.00358859066413958i</v>
      </c>
      <c r="AH359" s="98">
        <f t="shared" si="229"/>
        <v>3.5885906641395801E-3</v>
      </c>
      <c r="AI359" s="98">
        <f t="shared" si="230"/>
        <v>1.5707963267948966</v>
      </c>
      <c r="AJ359" s="98" t="str">
        <f t="shared" si="216"/>
        <v>1+0.397520581362389i</v>
      </c>
      <c r="AK359" s="98">
        <f t="shared" si="231"/>
        <v>1.0761145908344016</v>
      </c>
      <c r="AL359" s="98">
        <f t="shared" si="232"/>
        <v>0.3783671215094232</v>
      </c>
      <c r="AM359" s="98" t="str">
        <f t="shared" si="217"/>
        <v>1+40.1495787176013i</v>
      </c>
      <c r="AN359" s="98">
        <f t="shared" si="233"/>
        <v>40.162030217618018</v>
      </c>
      <c r="AO359" s="98">
        <f t="shared" si="234"/>
        <v>1.5458946136275604</v>
      </c>
      <c r="AP359" s="168" t="str">
        <f t="shared" si="235"/>
        <v>-0.78087688498398+0.333162464041938i</v>
      </c>
      <c r="AQ359" s="98">
        <f t="shared" si="236"/>
        <v>-1.422057460921742</v>
      </c>
      <c r="AR359" s="169">
        <f t="shared" si="237"/>
        <v>156.89439776386268</v>
      </c>
      <c r="AS359" s="168" t="str">
        <f t="shared" si="238"/>
        <v>0.0912222426119644+0.114489708414492i</v>
      </c>
      <c r="AT359" s="190">
        <f t="shared" si="239"/>
        <v>-16.689901733920561</v>
      </c>
      <c r="AU359" s="169">
        <f t="shared" si="240"/>
        <v>51.453129427266148</v>
      </c>
      <c r="AV359" s="225"/>
      <c r="AX359">
        <f t="shared" si="241"/>
        <v>0</v>
      </c>
      <c r="AY359">
        <f t="shared" si="242"/>
        <v>0</v>
      </c>
    </row>
    <row r="360" spans="14:51" x14ac:dyDescent="0.2">
      <c r="N360" s="170">
        <v>42</v>
      </c>
      <c r="O360" s="199">
        <f t="shared" si="208"/>
        <v>26302.679918953829</v>
      </c>
      <c r="P360" s="189" t="str">
        <f t="shared" si="209"/>
        <v>6.8875</v>
      </c>
      <c r="Q360" s="160" t="str">
        <f t="shared" si="210"/>
        <v>1+41.3161530015545i</v>
      </c>
      <c r="R360" s="160">
        <f t="shared" si="218"/>
        <v>41.328253034066904</v>
      </c>
      <c r="S360" s="160">
        <f t="shared" si="219"/>
        <v>1.5465974427165192</v>
      </c>
      <c r="T360" s="160" t="str">
        <f t="shared" si="211"/>
        <v>1+0.0661058448024872i</v>
      </c>
      <c r="U360" s="160">
        <f t="shared" si="220"/>
        <v>1.0021826094664836</v>
      </c>
      <c r="V360" s="160">
        <f t="shared" si="221"/>
        <v>6.6009802698640402E-2</v>
      </c>
      <c r="W360" s="98" t="str">
        <f t="shared" si="212"/>
        <v>1-0.171673765934437i</v>
      </c>
      <c r="X360" s="160">
        <f t="shared" si="222"/>
        <v>1.014628938040953</v>
      </c>
      <c r="Y360" s="160">
        <f t="shared" si="223"/>
        <v>-0.17001645874206542</v>
      </c>
      <c r="Z360" s="98" t="str">
        <f t="shared" si="213"/>
        <v>0.985705971675229+0.196790339151968i</v>
      </c>
      <c r="AA360" s="160">
        <f t="shared" si="224"/>
        <v>1.0051580473635746</v>
      </c>
      <c r="AB360" s="160">
        <f t="shared" si="225"/>
        <v>0.19705328350825263</v>
      </c>
      <c r="AC360" s="171" t="str">
        <f t="shared" si="226"/>
        <v>-0.0460822506300887-0.162170719698259i</v>
      </c>
      <c r="AD360" s="190">
        <f t="shared" si="227"/>
        <v>-15.463313661292881</v>
      </c>
      <c r="AE360" s="169">
        <f t="shared" si="228"/>
        <v>-105.86296999015741</v>
      </c>
      <c r="AF360" s="98" t="str">
        <f t="shared" si="214"/>
        <v>-0.0000816326530612245</v>
      </c>
      <c r="AG360" s="98" t="str">
        <f t="shared" si="215"/>
        <v>0.00367217967877817i</v>
      </c>
      <c r="AH360" s="98">
        <f t="shared" si="229"/>
        <v>3.6721796787781702E-3</v>
      </c>
      <c r="AI360" s="98">
        <f t="shared" si="230"/>
        <v>1.5707963267948966</v>
      </c>
      <c r="AJ360" s="98" t="str">
        <f t="shared" si="216"/>
        <v>1+0.406780025195503i</v>
      </c>
      <c r="AK360" s="98">
        <f t="shared" si="231"/>
        <v>1.0795693534451847</v>
      </c>
      <c r="AL360" s="98">
        <f t="shared" si="232"/>
        <v>0.38633752729491189</v>
      </c>
      <c r="AM360" s="98" t="str">
        <f t="shared" si="217"/>
        <v>1+41.0847825447458i</v>
      </c>
      <c r="AN360" s="98">
        <f t="shared" si="233"/>
        <v>41.096950698914988</v>
      </c>
      <c r="AO360" s="98">
        <f t="shared" si="234"/>
        <v>1.5464612194600162</v>
      </c>
      <c r="AP360" s="168" t="str">
        <f t="shared" si="235"/>
        <v>-0.77588706623695+0.337845387258274i</v>
      </c>
      <c r="AQ360" s="98">
        <f t="shared" si="236"/>
        <v>-1.4500191935149704</v>
      </c>
      <c r="AR360" s="169">
        <f t="shared" si="237"/>
        <v>156.47019127419478</v>
      </c>
      <c r="AS360" s="168" t="str">
        <f t="shared" si="238"/>
        <v>0.0905432518453867+0.110257488126362i</v>
      </c>
      <c r="AT360" s="190">
        <f t="shared" si="239"/>
        <v>-16.913332854807841</v>
      </c>
      <c r="AU360" s="169">
        <f t="shared" si="240"/>
        <v>50.607221284037429</v>
      </c>
      <c r="AV360" s="225"/>
      <c r="AX360">
        <f t="shared" si="241"/>
        <v>0</v>
      </c>
      <c r="AY360">
        <f t="shared" si="242"/>
        <v>0</v>
      </c>
    </row>
    <row r="361" spans="14:51" x14ac:dyDescent="0.2">
      <c r="N361" s="170">
        <v>43</v>
      </c>
      <c r="O361" s="199">
        <f t="shared" si="208"/>
        <v>26915.348039269167</v>
      </c>
      <c r="P361" s="189" t="str">
        <f t="shared" si="209"/>
        <v>6.8875</v>
      </c>
      <c r="Q361" s="160" t="str">
        <f t="shared" si="210"/>
        <v>1+42.2785298344903i</v>
      </c>
      <c r="R361" s="160">
        <f t="shared" si="218"/>
        <v>42.29035451454488</v>
      </c>
      <c r="S361" s="160">
        <f t="shared" si="219"/>
        <v>1.5471480688352306</v>
      </c>
      <c r="T361" s="160" t="str">
        <f t="shared" si="211"/>
        <v>1+0.0676456477351844i</v>
      </c>
      <c r="U361" s="160">
        <f t="shared" si="220"/>
        <v>1.0022853554040949</v>
      </c>
      <c r="V361" s="160">
        <f t="shared" si="221"/>
        <v>6.7542749435840807E-2</v>
      </c>
      <c r="W361" s="98" t="str">
        <f t="shared" si="212"/>
        <v>1-0.175672561639156i</v>
      </c>
      <c r="X361" s="160">
        <f t="shared" si="222"/>
        <v>1.0153131777500295</v>
      </c>
      <c r="Y361" s="160">
        <f t="shared" si="223"/>
        <v>-0.17389816832778371</v>
      </c>
      <c r="Z361" s="98" t="str">
        <f t="shared" si="213"/>
        <v>0.985032314874484+0.201374175002762i</v>
      </c>
      <c r="AA361" s="160">
        <f t="shared" si="224"/>
        <v>1.0054055001366502</v>
      </c>
      <c r="AB361" s="160">
        <f t="shared" si="225"/>
        <v>0.20165544003182254</v>
      </c>
      <c r="AC361" s="171" t="str">
        <f t="shared" si="226"/>
        <v>-0.0462459882156497-0.158222988647296i</v>
      </c>
      <c r="AD361" s="190">
        <f t="shared" si="227"/>
        <v>-15.658591258074459</v>
      </c>
      <c r="AE361" s="169">
        <f t="shared" si="228"/>
        <v>-106.29277688660567</v>
      </c>
      <c r="AF361" s="98" t="str">
        <f t="shared" si="214"/>
        <v>-0.0000816326530612245</v>
      </c>
      <c r="AG361" s="98" t="str">
        <f t="shared" si="215"/>
        <v>0.00375771573168949i</v>
      </c>
      <c r="AH361" s="98">
        <f t="shared" si="229"/>
        <v>3.7577157316894898E-3</v>
      </c>
      <c r="AI361" s="98">
        <f t="shared" si="230"/>
        <v>1.5707963267948966</v>
      </c>
      <c r="AJ361" s="98" t="str">
        <f t="shared" si="216"/>
        <v>1+0.416255149182348i</v>
      </c>
      <c r="AK361" s="98">
        <f t="shared" si="231"/>
        <v>1.0831751239854148</v>
      </c>
      <c r="AL361" s="98">
        <f t="shared" si="232"/>
        <v>0.39444042636071414</v>
      </c>
      <c r="AM361" s="98" t="str">
        <f t="shared" si="217"/>
        <v>1+42.0417700674171i</v>
      </c>
      <c r="AN361" s="98">
        <f t="shared" si="233"/>
        <v>42.053661319813386</v>
      </c>
      <c r="AO361" s="98">
        <f t="shared" si="234"/>
        <v>1.5470149428708908</v>
      </c>
      <c r="AP361" s="168" t="str">
        <f t="shared" si="235"/>
        <v>-0.770729979270184+0.342544332215363i</v>
      </c>
      <c r="AQ361" s="98">
        <f t="shared" si="236"/>
        <v>-1.4790975281253171</v>
      </c>
      <c r="AR361" s="169">
        <f t="shared" si="237"/>
        <v>156.03765537036458</v>
      </c>
      <c r="AS361" s="168" t="str">
        <f t="shared" si="238"/>
        <v>0.0898415575260838+0.106105899609228i</v>
      </c>
      <c r="AT361" s="190">
        <f t="shared" si="239"/>
        <v>-17.137688786199764</v>
      </c>
      <c r="AU361" s="169">
        <f t="shared" si="240"/>
        <v>49.744878483758988</v>
      </c>
      <c r="AV361" s="225"/>
      <c r="AX361">
        <f t="shared" si="241"/>
        <v>0</v>
      </c>
      <c r="AY361">
        <f t="shared" si="242"/>
        <v>0</v>
      </c>
    </row>
    <row r="362" spans="14:51" x14ac:dyDescent="0.2">
      <c r="N362" s="170">
        <v>44</v>
      </c>
      <c r="O362" s="199">
        <f t="shared" si="208"/>
        <v>27542.287033381719</v>
      </c>
      <c r="P362" s="189" t="str">
        <f t="shared" si="209"/>
        <v>6.8875</v>
      </c>
      <c r="Q362" s="160" t="str">
        <f t="shared" si="210"/>
        <v>1+43.2633233035668i</v>
      </c>
      <c r="R362" s="160">
        <f t="shared" si="218"/>
        <v>43.274878893752501</v>
      </c>
      <c r="S362" s="160">
        <f t="shared" si="219"/>
        <v>1.5476861750325359</v>
      </c>
      <c r="T362" s="160" t="str">
        <f t="shared" si="211"/>
        <v>1+0.0692213172857068i</v>
      </c>
      <c r="U362" s="160">
        <f t="shared" si="220"/>
        <v>1.002392932320838</v>
      </c>
      <c r="V362" s="160">
        <f t="shared" si="221"/>
        <v>6.9111073982122559E-2</v>
      </c>
      <c r="W362" s="98" t="str">
        <f t="shared" si="212"/>
        <v>1-0.179764501261358i</v>
      </c>
      <c r="X362" s="160">
        <f t="shared" si="222"/>
        <v>1.0160291707986266</v>
      </c>
      <c r="Y362" s="160">
        <f t="shared" si="223"/>
        <v>-0.17786482083057581</v>
      </c>
      <c r="Z362" s="98" t="str">
        <f t="shared" si="213"/>
        <v>0.984326909606835+0.206064782106645i</v>
      </c>
      <c r="AA362" s="160">
        <f t="shared" si="224"/>
        <v>1.0056650333986965</v>
      </c>
      <c r="AB362" s="160">
        <f t="shared" si="225"/>
        <v>0.20636561918618432</v>
      </c>
      <c r="AC362" s="171" t="str">
        <f t="shared" si="226"/>
        <v>-0.0464005883281915-0.154358759012589i</v>
      </c>
      <c r="AD362" s="190">
        <f t="shared" si="227"/>
        <v>-15.853668531694815</v>
      </c>
      <c r="AE362" s="169">
        <f t="shared" si="228"/>
        <v>-106.73089555673282</v>
      </c>
      <c r="AF362" s="98" t="str">
        <f t="shared" si="214"/>
        <v>-0.0000816326530612245</v>
      </c>
      <c r="AG362" s="98" t="str">
        <f t="shared" si="215"/>
        <v>0.00384524417522101i</v>
      </c>
      <c r="AH362" s="98">
        <f t="shared" si="229"/>
        <v>3.8452441752210098E-3</v>
      </c>
      <c r="AI362" s="98">
        <f t="shared" si="230"/>
        <v>1.5707963267948966</v>
      </c>
      <c r="AJ362" s="98" t="str">
        <f t="shared" si="216"/>
        <v>1+0.425950977159077i</v>
      </c>
      <c r="AK362" s="98">
        <f t="shared" si="231"/>
        <v>1.0869380087855849</v>
      </c>
      <c r="AL362" s="98">
        <f t="shared" si="232"/>
        <v>0.40267585782940996</v>
      </c>
      <c r="AM362" s="98" t="str">
        <f t="shared" si="217"/>
        <v>1+43.0210486930668i</v>
      </c>
      <c r="AN362" s="98">
        <f t="shared" si="233"/>
        <v>43.032669341457598</v>
      </c>
      <c r="AO362" s="98">
        <f t="shared" si="234"/>
        <v>1.5475560760926721</v>
      </c>
      <c r="AP362" s="168" t="str">
        <f t="shared" si="235"/>
        <v>-0.76540281610946+0.347253588323985i</v>
      </c>
      <c r="AQ362" s="98">
        <f t="shared" si="236"/>
        <v>-1.5093300186071774</v>
      </c>
      <c r="AR362" s="169">
        <f t="shared" si="237"/>
        <v>155.59680455450138</v>
      </c>
      <c r="AS362" s="168" t="str">
        <f t="shared" si="238"/>
        <v>0.0891167739318923+0.102033858042089i</v>
      </c>
      <c r="AT362" s="190">
        <f t="shared" si="239"/>
        <v>-17.362998550301974</v>
      </c>
      <c r="AU362" s="169">
        <f t="shared" si="240"/>
        <v>48.865908997768656</v>
      </c>
      <c r="AV362" s="225"/>
      <c r="AX362">
        <f t="shared" si="241"/>
        <v>0</v>
      </c>
      <c r="AY362">
        <f t="shared" si="242"/>
        <v>0</v>
      </c>
    </row>
    <row r="363" spans="14:51" x14ac:dyDescent="0.2">
      <c r="N363" s="170">
        <v>45</v>
      </c>
      <c r="O363" s="199">
        <f t="shared" si="208"/>
        <v>28183.829312644593</v>
      </c>
      <c r="P363" s="189" t="str">
        <f t="shared" si="209"/>
        <v>6.8875</v>
      </c>
      <c r="Q363" s="160" t="str">
        <f t="shared" si="210"/>
        <v>1+44.2710555593165i</v>
      </c>
      <c r="R363" s="160">
        <f t="shared" si="218"/>
        <v>44.28234818001512</v>
      </c>
      <c r="S363" s="160">
        <f t="shared" si="219"/>
        <v>1.5482120453722445</v>
      </c>
      <c r="T363" s="160" t="str">
        <f t="shared" si="211"/>
        <v>1+0.0708336888949064i</v>
      </c>
      <c r="U363" s="160">
        <f t="shared" si="220"/>
        <v>1.0025055668087137</v>
      </c>
      <c r="V363" s="160">
        <f t="shared" si="221"/>
        <v>7.0715577006435937E-2</v>
      </c>
      <c r="W363" s="98" t="str">
        <f t="shared" si="212"/>
        <v>1-0.183951754401592i</v>
      </c>
      <c r="X363" s="160">
        <f t="shared" si="222"/>
        <v>1.0167783671712451</v>
      </c>
      <c r="Y363" s="160">
        <f t="shared" si="223"/>
        <v>-0.18191801987354475</v>
      </c>
      <c r="Z363" s="98" t="str">
        <f t="shared" si="213"/>
        <v>0.983588259613135+0.21086464748559i</v>
      </c>
      <c r="AA363" s="160">
        <f t="shared" si="224"/>
        <v>1.0059372564966556</v>
      </c>
      <c r="AB363" s="160">
        <f t="shared" si="225"/>
        <v>0.21118639035070999</v>
      </c>
      <c r="AC363" s="171" t="str">
        <f t="shared" si="226"/>
        <v>-0.0465463738051896-0.150576008573694i</v>
      </c>
      <c r="AD363" s="190">
        <f t="shared" si="227"/>
        <v>-16.04853666350887</v>
      </c>
      <c r="AE363" s="169">
        <f t="shared" si="228"/>
        <v>-107.17753549667439</v>
      </c>
      <c r="AF363" s="98" t="str">
        <f t="shared" si="214"/>
        <v>-0.0000816326530612245</v>
      </c>
      <c r="AG363" s="98" t="str">
        <f t="shared" si="215"/>
        <v>0.00393481141811205i</v>
      </c>
      <c r="AH363" s="98">
        <f t="shared" si="229"/>
        <v>3.9348114181120501E-3</v>
      </c>
      <c r="AI363" s="98">
        <f t="shared" si="230"/>
        <v>1.5707963267948966</v>
      </c>
      <c r="AJ363" s="98" t="str">
        <f t="shared" si="216"/>
        <v>1+0.435872649982023i</v>
      </c>
      <c r="AK363" s="98">
        <f t="shared" si="231"/>
        <v>1.0908643210786351</v>
      </c>
      <c r="AL363" s="98">
        <f t="shared" si="232"/>
        <v>0.41104371881549157</v>
      </c>
      <c r="AM363" s="98" t="str">
        <f t="shared" si="217"/>
        <v>1+44.0231376481843i</v>
      </c>
      <c r="AN363" s="98">
        <f t="shared" si="233"/>
        <v>44.034493847334979</v>
      </c>
      <c r="AO363" s="98">
        <f t="shared" si="234"/>
        <v>1.5480849047729717</v>
      </c>
      <c r="AP363" s="168" t="str">
        <f t="shared" si="235"/>
        <v>-0.759902953019016+0.351967182077994i</v>
      </c>
      <c r="AQ363" s="98">
        <f t="shared" si="236"/>
        <v>-1.5407548088612</v>
      </c>
      <c r="AR363" s="169">
        <f t="shared" si="237"/>
        <v>155.14766108791335</v>
      </c>
      <c r="AS363" s="168" t="str">
        <f t="shared" si="238"/>
        <v>0.0883685403331255+0.0980403575448052i</v>
      </c>
      <c r="AT363" s="190">
        <f t="shared" si="239"/>
        <v>-17.589291472370071</v>
      </c>
      <c r="AU363" s="169">
        <f t="shared" si="240"/>
        <v>47.970125591238968</v>
      </c>
      <c r="AV363" s="225"/>
      <c r="AX363">
        <f t="shared" si="241"/>
        <v>0</v>
      </c>
      <c r="AY363">
        <f t="shared" si="242"/>
        <v>0</v>
      </c>
    </row>
    <row r="364" spans="14:51" x14ac:dyDescent="0.2">
      <c r="N364" s="170">
        <v>46</v>
      </c>
      <c r="O364" s="199">
        <f t="shared" si="208"/>
        <v>28840.315031266062</v>
      </c>
      <c r="P364" s="189" t="str">
        <f t="shared" si="209"/>
        <v>6.8875</v>
      </c>
      <c r="Q364" s="160" t="str">
        <f t="shared" si="210"/>
        <v>1+45.3022609147203i</v>
      </c>
      <c r="R364" s="160">
        <f t="shared" si="218"/>
        <v>45.313296547320356</v>
      </c>
      <c r="S364" s="160">
        <f t="shared" si="219"/>
        <v>1.5487259575137131</v>
      </c>
      <c r="T364" s="160" t="str">
        <f t="shared" si="211"/>
        <v>1+0.0724836174635524i</v>
      </c>
      <c r="U364" s="160">
        <f t="shared" si="220"/>
        <v>1.0026234960345795</v>
      </c>
      <c r="V364" s="160">
        <f t="shared" si="221"/>
        <v>7.2357076173518109E-2</v>
      </c>
      <c r="W364" s="98" t="str">
        <f t="shared" si="212"/>
        <v>1-0.188236541196899i</v>
      </c>
      <c r="X364" s="160">
        <f t="shared" si="222"/>
        <v>1.017562280866273</v>
      </c>
      <c r="Y364" s="160">
        <f t="shared" si="223"/>
        <v>-0.18605938155290069</v>
      </c>
      <c r="Z364" s="98" t="str">
        <f t="shared" si="213"/>
        <v>0.982814798117714+0.215776316091755i</v>
      </c>
      <c r="AA364" s="160">
        <f t="shared" si="224"/>
        <v>1.0062228113023932</v>
      </c>
      <c r="AB364" s="160">
        <f t="shared" si="225"/>
        <v>0.21612038586224488</v>
      </c>
      <c r="AC364" s="171" t="str">
        <f t="shared" si="226"/>
        <v>-0.0466836485412088-0.146872756733734i</v>
      </c>
      <c r="AD364" s="190">
        <f t="shared" si="227"/>
        <v>-16.24318654172302</v>
      </c>
      <c r="AE364" s="169">
        <f t="shared" si="228"/>
        <v>-107.63290918368472</v>
      </c>
      <c r="AF364" s="98" t="str">
        <f t="shared" si="214"/>
        <v>-0.0000816326530612245</v>
      </c>
      <c r="AG364" s="98" t="str">
        <f t="shared" si="215"/>
        <v>0.00402646495010035i</v>
      </c>
      <c r="AH364" s="98">
        <f t="shared" si="229"/>
        <v>4.0264649501003504E-3</v>
      </c>
      <c r="AI364" s="98">
        <f t="shared" si="230"/>
        <v>1.5707963267948966</v>
      </c>
      <c r="AJ364" s="98" t="str">
        <f t="shared" si="216"/>
        <v>1+0.446025428253444i</v>
      </c>
      <c r="AK364" s="98">
        <f t="shared" si="231"/>
        <v>1.0949605849749424</v>
      </c>
      <c r="AL364" s="98">
        <f t="shared" si="232"/>
        <v>0.41954375760417678</v>
      </c>
      <c r="AM364" s="98" t="str">
        <f t="shared" si="217"/>
        <v>1+45.0485682535978i</v>
      </c>
      <c r="AN364" s="98">
        <f t="shared" si="233"/>
        <v>45.059666018503286</v>
      </c>
      <c r="AO364" s="98">
        <f t="shared" si="234"/>
        <v>1.5486017081199401</v>
      </c>
      <c r="AP364" s="168" t="str">
        <f t="shared" si="235"/>
        <v>-0.754227971421874+0.356678879451196i</v>
      </c>
      <c r="AQ364" s="98">
        <f t="shared" si="236"/>
        <v>-1.5734105902767646</v>
      </c>
      <c r="AR364" s="169">
        <f t="shared" si="237"/>
        <v>154.69025539024378</v>
      </c>
      <c r="AS364" s="168" t="str">
        <f t="shared" si="238"/>
        <v>0.087596523831504+0.0941244699180508i</v>
      </c>
      <c r="AT364" s="190">
        <f t="shared" si="239"/>
        <v>-17.816597131999778</v>
      </c>
      <c r="AU364" s="169">
        <f t="shared" si="240"/>
        <v>47.05734620655906</v>
      </c>
      <c r="AV364" s="225"/>
      <c r="AX364">
        <f t="shared" si="241"/>
        <v>0</v>
      </c>
      <c r="AY364">
        <f t="shared" si="242"/>
        <v>0</v>
      </c>
    </row>
    <row r="365" spans="14:51" x14ac:dyDescent="0.2">
      <c r="N365" s="170">
        <v>47</v>
      </c>
      <c r="O365" s="199">
        <f t="shared" si="208"/>
        <v>29512.092266663854</v>
      </c>
      <c r="P365" s="189" t="str">
        <f t="shared" si="209"/>
        <v>6.8875</v>
      </c>
      <c r="Q365" s="160" t="str">
        <f t="shared" si="210"/>
        <v>1+46.3574861285078i</v>
      </c>
      <c r="R365" s="160">
        <f t="shared" si="218"/>
        <v>46.368270618546838</v>
      </c>
      <c r="S365" s="160">
        <f t="shared" si="219"/>
        <v>1.5492281828535219</v>
      </c>
      <c r="T365" s="160" t="str">
        <f t="shared" si="211"/>
        <v>1+0.0741719778056124i</v>
      </c>
      <c r="U365" s="160">
        <f t="shared" si="220"/>
        <v>1.0027469682285737</v>
      </c>
      <c r="V365" s="160">
        <f t="shared" si="221"/>
        <v>7.4036406423692802E-2</v>
      </c>
      <c r="W365" s="98" t="str">
        <f t="shared" si="212"/>
        <v>1-0.192621133497955i</v>
      </c>
      <c r="X365" s="160">
        <f t="shared" si="222"/>
        <v>1.0183824925194056</v>
      </c>
      <c r="Y365" s="160">
        <f t="shared" si="223"/>
        <v>-0.19029053317188399</v>
      </c>
      <c r="Z365" s="98" t="str">
        <f t="shared" si="213"/>
        <v>0.98200488450504+0.220802392156851i</v>
      </c>
      <c r="AA365" s="160">
        <f t="shared" si="224"/>
        <v>1.0065223741049896</v>
      </c>
      <c r="AB365" s="160">
        <f t="shared" si="225"/>
        <v>0.22117030262023932</v>
      </c>
      <c r="AC365" s="171" t="str">
        <f t="shared" si="226"/>
        <v>-0.046812698092258-0.14324706360672i</v>
      </c>
      <c r="AD365" s="190">
        <f t="shared" si="227"/>
        <v>-16.437608755724945</v>
      </c>
      <c r="AE365" s="169">
        <f t="shared" si="228"/>
        <v>-108.09723208764977</v>
      </c>
      <c r="AF365" s="98" t="str">
        <f t="shared" si="214"/>
        <v>-0.0000816326530612245</v>
      </c>
      <c r="AG365" s="98" t="str">
        <f t="shared" si="215"/>
        <v>0.00412025336710176i</v>
      </c>
      <c r="AH365" s="98">
        <f t="shared" si="229"/>
        <v>4.1202533671017604E-3</v>
      </c>
      <c r="AI365" s="98">
        <f t="shared" si="230"/>
        <v>1.5707963267948966</v>
      </c>
      <c r="AJ365" s="98" t="str">
        <f t="shared" si="216"/>
        <v>1+0.456414695110773i</v>
      </c>
      <c r="AK365" s="98">
        <f t="shared" si="231"/>
        <v>1.0992335392959314</v>
      </c>
      <c r="AL365" s="98">
        <f t="shared" si="232"/>
        <v>0.42817556691451125</v>
      </c>
      <c r="AM365" s="98" t="str">
        <f t="shared" si="217"/>
        <v>1+46.0978842061881i</v>
      </c>
      <c r="AN365" s="98">
        <f t="shared" si="233"/>
        <v>46.108729415232496</v>
      </c>
      <c r="AO365" s="98">
        <f t="shared" si="234"/>
        <v>1.5491067590446743</v>
      </c>
      <c r="AP365" s="168" t="str">
        <f t="shared" si="235"/>
        <v>-0.748375679372981+0.361382189863641i</v>
      </c>
      <c r="AQ365" s="98">
        <f t="shared" si="236"/>
        <v>-1.6073365544621641</v>
      </c>
      <c r="AR365" s="169">
        <f t="shared" si="237"/>
        <v>154.22462643362627</v>
      </c>
      <c r="AS365" s="168" t="str">
        <f t="shared" si="238"/>
        <v>0.0868004222758086+0.090285343194858i</v>
      </c>
      <c r="AT365" s="190">
        <f t="shared" si="239"/>
        <v>-18.04494531018711</v>
      </c>
      <c r="AU365" s="169">
        <f t="shared" si="240"/>
        <v>46.127394345976484</v>
      </c>
      <c r="AV365" s="225"/>
      <c r="AX365">
        <f t="shared" si="241"/>
        <v>0</v>
      </c>
      <c r="AY365">
        <f t="shared" si="242"/>
        <v>0</v>
      </c>
    </row>
    <row r="366" spans="14:51" x14ac:dyDescent="0.2">
      <c r="N366" s="170">
        <v>48</v>
      </c>
      <c r="O366" s="199">
        <f t="shared" si="208"/>
        <v>30199.517204020212</v>
      </c>
      <c r="P366" s="189" t="str">
        <f t="shared" si="209"/>
        <v>6.8875</v>
      </c>
      <c r="Q366" s="160" t="str">
        <f t="shared" si="210"/>
        <v>1+47.4372906950543i</v>
      </c>
      <c r="R366" s="160">
        <f t="shared" si="218"/>
        <v>47.447829755291075</v>
      </c>
      <c r="S366" s="160">
        <f t="shared" si="219"/>
        <v>1.5497189866642012</v>
      </c>
      <c r="T366" s="160" t="str">
        <f t="shared" si="211"/>
        <v>1+0.0758996651120868i</v>
      </c>
      <c r="U366" s="160">
        <f t="shared" si="220"/>
        <v>1.0028762431946061</v>
      </c>
      <c r="V366" s="160">
        <f t="shared" si="221"/>
        <v>7.5754420251147481E-2</v>
      </c>
      <c r="W366" s="98" t="str">
        <f t="shared" si="212"/>
        <v>1-0.197107856073633i</v>
      </c>
      <c r="X366" s="160">
        <f t="shared" si="222"/>
        <v>1.0192406521160466</v>
      </c>
      <c r="Y366" s="160">
        <f t="shared" si="223"/>
        <v>-0.19461311185882396</v>
      </c>
      <c r="Z366" s="98" t="str">
        <f t="shared" si="213"/>
        <v>0.981156800839754+0.225945540572932i</v>
      </c>
      <c r="AA366" s="160">
        <f t="shared" si="224"/>
        <v>1.006836657625702</v>
      </c>
      <c r="AB366" s="160">
        <f t="shared" si="225"/>
        <v>0.2263389037292004</v>
      </c>
      <c r="AC366" s="171" t="str">
        <f t="shared" si="226"/>
        <v>-0.046933790239555-0.139697029121802i</v>
      </c>
      <c r="AD366" s="190">
        <f t="shared" si="227"/>
        <v>-16.631793590973743</v>
      </c>
      <c r="AE366" s="169">
        <f t="shared" si="228"/>
        <v>-108.57072267801729</v>
      </c>
      <c r="AF366" s="98" t="str">
        <f t="shared" si="214"/>
        <v>-0.0000816326530612245</v>
      </c>
      <c r="AG366" s="98" t="str">
        <f t="shared" si="215"/>
        <v>0.00421622639697642i</v>
      </c>
      <c r="AH366" s="98">
        <f t="shared" si="229"/>
        <v>4.2162263969764196E-3</v>
      </c>
      <c r="AI366" s="98">
        <f t="shared" si="230"/>
        <v>1.5707963267948966</v>
      </c>
      <c r="AJ366" s="98" t="str">
        <f t="shared" si="216"/>
        <v>1+0.467045959080812i</v>
      </c>
      <c r="AK366" s="98">
        <f t="shared" si="231"/>
        <v>1.1036901412505755</v>
      </c>
      <c r="AL366" s="98">
        <f t="shared" si="232"/>
        <v>0.43693857728800806</v>
      </c>
      <c r="AM366" s="98" t="str">
        <f t="shared" si="217"/>
        <v>1+47.171641867162i</v>
      </c>
      <c r="AN366" s="98">
        <f t="shared" si="233"/>
        <v>47.182240265207746</v>
      </c>
      <c r="AO366" s="98">
        <f t="shared" si="234"/>
        <v>1.5496003243006558</v>
      </c>
      <c r="AP366" s="168" t="str">
        <f t="shared" si="235"/>
        <v>-0.742344133477326+0.366070371826403i</v>
      </c>
      <c r="AQ366" s="98">
        <f t="shared" si="236"/>
        <v>-1.6425723411537483</v>
      </c>
      <c r="AR366" s="169">
        <f t="shared" si="237"/>
        <v>153.75082212947765</v>
      </c>
      <c r="AS366" s="168" t="str">
        <f t="shared" si="238"/>
        <v>0.0859799672398509+0.0865221999885646i</v>
      </c>
      <c r="AT366" s="190">
        <f t="shared" si="239"/>
        <v>-18.274365932127491</v>
      </c>
      <c r="AU366" s="169">
        <f t="shared" si="240"/>
        <v>45.1800994514604</v>
      </c>
      <c r="AV366" s="225"/>
      <c r="AX366">
        <f t="shared" si="241"/>
        <v>0</v>
      </c>
      <c r="AY366">
        <f t="shared" si="242"/>
        <v>0</v>
      </c>
    </row>
    <row r="367" spans="14:51" x14ac:dyDescent="0.2">
      <c r="N367" s="170">
        <v>49</v>
      </c>
      <c r="O367" s="199">
        <f t="shared" si="208"/>
        <v>30902.954325135954</v>
      </c>
      <c r="P367" s="189" t="str">
        <f t="shared" si="209"/>
        <v>6.8875</v>
      </c>
      <c r="Q367" s="160" t="str">
        <f t="shared" si="210"/>
        <v>1+48.542247141034i</v>
      </c>
      <c r="R367" s="160">
        <f t="shared" si="218"/>
        <v>48.552546354452133</v>
      </c>
      <c r="S367" s="160">
        <f t="shared" si="219"/>
        <v>1.5501986282300544</v>
      </c>
      <c r="T367" s="160" t="str">
        <f t="shared" si="211"/>
        <v>1+0.0776675954256544i</v>
      </c>
      <c r="U367" s="160">
        <f t="shared" si="220"/>
        <v>1.003011592843873</v>
      </c>
      <c r="V367" s="160">
        <f t="shared" si="221"/>
        <v>7.7511987980122488E-2</v>
      </c>
      <c r="W367" s="98" t="str">
        <f t="shared" si="212"/>
        <v>1-0.201699087843632i</v>
      </c>
      <c r="X367" s="160">
        <f t="shared" si="222"/>
        <v>1.0201384817939931</v>
      </c>
      <c r="Y367" s="160">
        <f t="shared" si="223"/>
        <v>-0.19902876306314776</v>
      </c>
      <c r="Z367" s="98" t="str">
        <f t="shared" si="213"/>
        <v>0.980268748222697+0.231208488305368i</v>
      </c>
      <c r="AA367" s="160">
        <f t="shared" si="224"/>
        <v>1.0071664131644515</v>
      </c>
      <c r="AB367" s="160">
        <f t="shared" si="225"/>
        <v>0.23162902017818388</v>
      </c>
      <c r="AC367" s="171" t="str">
        <f t="shared" si="226"/>
        <v>-0.0470471755136505-0.136220792144829i</v>
      </c>
      <c r="AD367" s="190">
        <f t="shared" si="227"/>
        <v>-16.825731024539053</v>
      </c>
      <c r="AE367" s="169">
        <f t="shared" si="228"/>
        <v>-109.05360242581007</v>
      </c>
      <c r="AF367" s="98" t="str">
        <f t="shared" si="214"/>
        <v>-0.0000816326530612245</v>
      </c>
      <c r="AG367" s="98" t="str">
        <f t="shared" si="215"/>
        <v>0.0043144349258951i</v>
      </c>
      <c r="AH367" s="98">
        <f t="shared" si="229"/>
        <v>4.3144349258951E-3</v>
      </c>
      <c r="AI367" s="98">
        <f t="shared" si="230"/>
        <v>1.5707963267948966</v>
      </c>
      <c r="AJ367" s="98" t="str">
        <f t="shared" si="216"/>
        <v>1+0.477924857000438i</v>
      </c>
      <c r="AK367" s="98">
        <f t="shared" si="231"/>
        <v>1.1083375699392712</v>
      </c>
      <c r="AL367" s="98">
        <f t="shared" si="232"/>
        <v>0.44583205064686687</v>
      </c>
      <c r="AM367" s="98" t="str">
        <f t="shared" si="217"/>
        <v>1+48.2704105570442i</v>
      </c>
      <c r="AN367" s="98">
        <f t="shared" si="233"/>
        <v>48.280767758452271</v>
      </c>
      <c r="AO367" s="98">
        <f t="shared" si="234"/>
        <v>1.5500826646202783</v>
      </c>
      <c r="AP367" s="168" t="str">
        <f t="shared" si="235"/>
        <v>-0.736131661130027+0.370736440368632i</v>
      </c>
      <c r="AQ367" s="98">
        <f t="shared" si="236"/>
        <v>-1.6791579812183812</v>
      </c>
      <c r="AR367" s="169">
        <f t="shared" si="237"/>
        <v>153.2688997054064</v>
      </c>
      <c r="AS367" s="168" t="str">
        <f t="shared" si="238"/>
        <v>0.0851349270463087+0.082834335622692i</v>
      </c>
      <c r="AT367" s="190">
        <f t="shared" si="239"/>
        <v>-18.504889005757434</v>
      </c>
      <c r="AU367" s="169">
        <f t="shared" si="240"/>
        <v>44.215297279596292</v>
      </c>
      <c r="AV367" s="225"/>
      <c r="AX367">
        <f t="shared" si="241"/>
        <v>0</v>
      </c>
      <c r="AY367">
        <f t="shared" si="242"/>
        <v>0</v>
      </c>
    </row>
    <row r="368" spans="14:51" x14ac:dyDescent="0.2">
      <c r="N368" s="170">
        <v>50</v>
      </c>
      <c r="O368" s="199">
        <f t="shared" si="208"/>
        <v>31622.77660168384</v>
      </c>
      <c r="P368" s="189" t="str">
        <f t="shared" si="209"/>
        <v>6.8875</v>
      </c>
      <c r="Q368" s="160" t="str">
        <f t="shared" si="210"/>
        <v>1+49.6729413289805i</v>
      </c>
      <c r="R368" s="160">
        <f t="shared" si="218"/>
        <v>49.683006151724946</v>
      </c>
      <c r="S368" s="160">
        <f t="shared" si="219"/>
        <v>1.5506673609801269</v>
      </c>
      <c r="T368" s="160" t="str">
        <f t="shared" si="211"/>
        <v>1+0.0794767061263688i</v>
      </c>
      <c r="U368" s="160">
        <f t="shared" si="220"/>
        <v>1.0031533017523779</v>
      </c>
      <c r="V368" s="160">
        <f t="shared" si="221"/>
        <v>7.93099980383737E-2</v>
      </c>
      <c r="W368" s="98" t="str">
        <f t="shared" si="212"/>
        <v>1-0.206397263139808i</v>
      </c>
      <c r="X368" s="160">
        <f t="shared" si="222"/>
        <v>1.0210777787375471</v>
      </c>
      <c r="Y368" s="160">
        <f t="shared" si="223"/>
        <v>-0.20353913892300135</v>
      </c>
      <c r="Z368" s="98" t="str">
        <f t="shared" si="213"/>
        <v>0.979338842975207+0.23659402583871i</v>
      </c>
      <c r="AA368" s="160">
        <f t="shared" si="224"/>
        <v>1.007512432887349</v>
      </c>
      <c r="AB368" s="160">
        <f t="shared" si="225"/>
        <v>0.23704355255674794</v>
      </c>
      <c r="AC368" s="171" t="str">
        <f t="shared" si="226"/>
        <v>-0.0471530876797729-0.132816529617657i</v>
      </c>
      <c r="AD368" s="190">
        <f t="shared" si="227"/>
        <v>-17.01941072138424</v>
      </c>
      <c r="AE368" s="169">
        <f t="shared" si="228"/>
        <v>-109.54609580036502</v>
      </c>
      <c r="AF368" s="98" t="str">
        <f t="shared" si="214"/>
        <v>-0.0000816326530612245</v>
      </c>
      <c r="AG368" s="98" t="str">
        <f t="shared" si="215"/>
        <v>0.00441493102531979i</v>
      </c>
      <c r="AH368" s="98">
        <f t="shared" si="229"/>
        <v>4.4149310253197901E-3</v>
      </c>
      <c r="AI368" s="98">
        <f t="shared" si="230"/>
        <v>1.5707963267948966</v>
      </c>
      <c r="AJ368" s="98" t="str">
        <f t="shared" si="216"/>
        <v>1+0.489057157005329i</v>
      </c>
      <c r="AK368" s="98">
        <f t="shared" si="231"/>
        <v>1.1131832296698216</v>
      </c>
      <c r="AL368" s="98">
        <f t="shared" si="232"/>
        <v>0.45485507406828701</v>
      </c>
      <c r="AM368" s="98" t="str">
        <f t="shared" si="217"/>
        <v>1+49.3947728575382i</v>
      </c>
      <c r="AN368" s="98">
        <f t="shared" si="233"/>
        <v>49.404894349120838</v>
      </c>
      <c r="AO368" s="98">
        <f t="shared" si="234"/>
        <v>1.5505540348485096</v>
      </c>
      <c r="AP368" s="168" t="str">
        <f t="shared" si="235"/>
        <v>-0.729736882939656+0.375373176343066i</v>
      </c>
      <c r="AQ368" s="98">
        <f t="shared" si="236"/>
        <v>-1.7171338346956142</v>
      </c>
      <c r="AR368" s="169">
        <f t="shared" si="237"/>
        <v>152.7789260695771</v>
      </c>
      <c r="AS368" s="168" t="str">
        <f t="shared" si="238"/>
        <v>0.0842651098178606+0.0792211160293121i</v>
      </c>
      <c r="AT368" s="190">
        <f t="shared" si="239"/>
        <v>-18.736544556079849</v>
      </c>
      <c r="AU368" s="169">
        <f t="shared" si="240"/>
        <v>43.232830269212073</v>
      </c>
      <c r="AV368" s="225"/>
      <c r="AX368">
        <f t="shared" si="241"/>
        <v>0</v>
      </c>
      <c r="AY368">
        <f t="shared" si="242"/>
        <v>0</v>
      </c>
    </row>
    <row r="369" spans="14:51" x14ac:dyDescent="0.2">
      <c r="N369" s="170">
        <v>51</v>
      </c>
      <c r="O369" s="199">
        <f t="shared" si="208"/>
        <v>32359.365692962871</v>
      </c>
      <c r="P369" s="189" t="str">
        <f t="shared" si="209"/>
        <v>6.8875</v>
      </c>
      <c r="Q369" s="160" t="str">
        <f t="shared" si="210"/>
        <v>1+50.8299727679187i</v>
      </c>
      <c r="R369" s="160">
        <f t="shared" si="218"/>
        <v>50.839808532166565</v>
      </c>
      <c r="S369" s="160">
        <f t="shared" si="219"/>
        <v>1.551125432618371</v>
      </c>
      <c r="T369" s="160" t="str">
        <f t="shared" si="211"/>
        <v>1+0.08132795642867i</v>
      </c>
      <c r="U369" s="160">
        <f t="shared" si="220"/>
        <v>1.0033016677434876</v>
      </c>
      <c r="V369" s="160">
        <f t="shared" si="221"/>
        <v>8.1149357227237581E-2</v>
      </c>
      <c r="W369" s="98" t="str">
        <f t="shared" si="212"/>
        <v>1-0.211204872996892i</v>
      </c>
      <c r="X369" s="160">
        <f t="shared" si="222"/>
        <v>1.0220604181640307</v>
      </c>
      <c r="Y369" s="160">
        <f t="shared" si="223"/>
        <v>-0.20814589649807677</v>
      </c>
      <c r="Z369" s="98" t="str">
        <f t="shared" si="213"/>
        <v>0.978365112643577+0.242105008656243i</v>
      </c>
      <c r="AA369" s="160">
        <f t="shared" si="224"/>
        <v>1.0078755522655158</v>
      </c>
      <c r="AB369" s="160">
        <f t="shared" si="225"/>
        <v>0.24258547280660095</v>
      </c>
      <c r="AC369" s="171" t="str">
        <f t="shared" si="226"/>
        <v>-0.0472517441851762-0.129482455715645i</v>
      </c>
      <c r="AD369" s="190">
        <f t="shared" si="227"/>
        <v>-17.212822031499087</v>
      </c>
      <c r="AE369" s="169">
        <f t="shared" si="228"/>
        <v>-110.04843026042694</v>
      </c>
      <c r="AF369" s="98" t="str">
        <f t="shared" si="214"/>
        <v>-0.0000816326530612245</v>
      </c>
      <c r="AG369" s="98" t="str">
        <f t="shared" si="215"/>
        <v>0.00451776797961263i</v>
      </c>
      <c r="AH369" s="98">
        <f t="shared" si="229"/>
        <v>4.5177679796126304E-3</v>
      </c>
      <c r="AI369" s="98">
        <f t="shared" si="230"/>
        <v>1.5707963267948966</v>
      </c>
      <c r="AJ369" s="98" t="str">
        <f t="shared" si="216"/>
        <v>1+0.500448761588301i</v>
      </c>
      <c r="AK369" s="98">
        <f t="shared" si="231"/>
        <v>1.1182347530707781</v>
      </c>
      <c r="AL369" s="98">
        <f t="shared" si="232"/>
        <v>0.46400655382376893</v>
      </c>
      <c r="AM369" s="98" t="str">
        <f t="shared" si="217"/>
        <v>1+50.5453249204184i</v>
      </c>
      <c r="AN369" s="98">
        <f t="shared" si="233"/>
        <v>50.555216064325847</v>
      </c>
      <c r="AO369" s="98">
        <f t="shared" si="234"/>
        <v>1.5510146840737336</v>
      </c>
      <c r="AP369" s="168" t="str">
        <f t="shared" si="235"/>
        <v>-0.723158735180789+0.379973137696962i</v>
      </c>
      <c r="AQ369" s="98">
        <f t="shared" si="236"/>
        <v>-1.7565405238555012</v>
      </c>
      <c r="AR369" s="169">
        <f t="shared" si="237"/>
        <v>152.28097815972981</v>
      </c>
      <c r="AS369" s="168" t="str">
        <f t="shared" si="238"/>
        <v>0.0833703665350198+0.0756819754037328i</v>
      </c>
      <c r="AT369" s="190">
        <f t="shared" si="239"/>
        <v>-18.969362555354586</v>
      </c>
      <c r="AU369" s="169">
        <f t="shared" si="240"/>
        <v>42.232547899302872</v>
      </c>
      <c r="AV369" s="225"/>
      <c r="AX369">
        <f t="shared" si="241"/>
        <v>0</v>
      </c>
      <c r="AY369">
        <f t="shared" si="242"/>
        <v>0</v>
      </c>
    </row>
    <row r="370" spans="14:51" x14ac:dyDescent="0.2">
      <c r="N370" s="170">
        <v>52</v>
      </c>
      <c r="O370" s="199">
        <f t="shared" si="208"/>
        <v>33113.11214825909</v>
      </c>
      <c r="P370" s="189" t="str">
        <f t="shared" si="209"/>
        <v>6.8875</v>
      </c>
      <c r="Q370" s="160" t="str">
        <f t="shared" si="210"/>
        <v>1+52.0139549312328i</v>
      </c>
      <c r="R370" s="160">
        <f t="shared" si="218"/>
        <v>52.023566847999923</v>
      </c>
      <c r="S370" s="160">
        <f t="shared" si="219"/>
        <v>1.5515730852510561</v>
      </c>
      <c r="T370" s="160" t="str">
        <f t="shared" si="211"/>
        <v>1+0.0832223278899724i</v>
      </c>
      <c r="U370" s="160">
        <f t="shared" si="220"/>
        <v>1.0034570024965823</v>
      </c>
      <c r="V370" s="160">
        <f t="shared" si="221"/>
        <v>8.3030990987563294E-2</v>
      </c>
      <c r="W370" s="98" t="str">
        <f t="shared" si="212"/>
        <v>1-0.216124466473266i</v>
      </c>
      <c r="X370" s="160">
        <f t="shared" si="222"/>
        <v>1.0230883564034701</v>
      </c>
      <c r="Y370" s="160">
        <f t="shared" si="223"/>
        <v>-0.21285069586113464</v>
      </c>
      <c r="Z370" s="98" t="str">
        <f t="shared" si="213"/>
        <v>0.977345491815224+0.247744358754005i</v>
      </c>
      <c r="AA370" s="160">
        <f t="shared" si="224"/>
        <v>1.0082566526762793</v>
      </c>
      <c r="AB370" s="160">
        <f t="shared" si="225"/>
        <v>0.24825782600782786</v>
      </c>
      <c r="AC370" s="171" t="str">
        <f t="shared" si="226"/>
        <v>-0.047343346569192-0.126216821023803i</v>
      </c>
      <c r="AD370" s="190">
        <f t="shared" si="227"/>
        <v>-17.405953987997933</v>
      </c>
      <c r="AE370" s="169">
        <f t="shared" si="228"/>
        <v>-110.56083623920873</v>
      </c>
      <c r="AF370" s="98" t="str">
        <f t="shared" si="214"/>
        <v>-0.0000816326530612245</v>
      </c>
      <c r="AG370" s="98" t="str">
        <f t="shared" si="215"/>
        <v>0.00462300031428798i</v>
      </c>
      <c r="AH370" s="98">
        <f t="shared" si="229"/>
        <v>4.6230003142879797E-3</v>
      </c>
      <c r="AI370" s="98">
        <f t="shared" si="230"/>
        <v>1.5707963267948966</v>
      </c>
      <c r="AJ370" s="98" t="str">
        <f t="shared" si="216"/>
        <v>1+0.51210571072889i</v>
      </c>
      <c r="AK370" s="98">
        <f t="shared" si="231"/>
        <v>1.1235000039880469</v>
      </c>
      <c r="AL370" s="98">
        <f t="shared" si="232"/>
        <v>0.47328520973436999</v>
      </c>
      <c r="AM370" s="98" t="str">
        <f t="shared" si="217"/>
        <v>1+51.7226767836179i</v>
      </c>
      <c r="AN370" s="98">
        <f t="shared" si="233"/>
        <v>51.73234282016044</v>
      </c>
      <c r="AO370" s="98">
        <f t="shared" si="234"/>
        <v>1.5514648557558288</v>
      </c>
      <c r="AP370" s="168" t="str">
        <f t="shared" si="235"/>
        <v>-0.716396492106543+0.384528672783658i</v>
      </c>
      <c r="AQ370" s="98">
        <f t="shared" si="236"/>
        <v>-1.7974188612853017</v>
      </c>
      <c r="AR370" s="169">
        <f t="shared" si="237"/>
        <v>151.7751432739386</v>
      </c>
      <c r="AS370" s="168" t="str">
        <f t="shared" si="238"/>
        <v>0.0824505940780089+0.0722164136049037i</v>
      </c>
      <c r="AT370" s="190">
        <f t="shared" si="239"/>
        <v>-19.203372849283234</v>
      </c>
      <c r="AU370" s="169">
        <f t="shared" si="240"/>
        <v>41.214307034729934</v>
      </c>
      <c r="AV370" s="225"/>
      <c r="AX370">
        <f t="shared" si="241"/>
        <v>0</v>
      </c>
      <c r="AY370">
        <f t="shared" si="242"/>
        <v>0</v>
      </c>
    </row>
    <row r="371" spans="14:51" x14ac:dyDescent="0.2">
      <c r="N371" s="170">
        <v>53</v>
      </c>
      <c r="O371" s="199">
        <f t="shared" si="208"/>
        <v>33884.41561392029</v>
      </c>
      <c r="P371" s="189" t="str">
        <f t="shared" si="209"/>
        <v>6.8875</v>
      </c>
      <c r="Q371" s="160" t="str">
        <f t="shared" si="210"/>
        <v>1+53.2255155819377i</v>
      </c>
      <c r="R371" s="160">
        <f t="shared" si="218"/>
        <v>53.234908743822345</v>
      </c>
      <c r="S371" s="160">
        <f t="shared" si="219"/>
        <v>1.55201055551147</v>
      </c>
      <c r="T371" s="160" t="str">
        <f t="shared" si="211"/>
        <v>1+0.0851608249311004i</v>
      </c>
      <c r="U371" s="160">
        <f t="shared" si="220"/>
        <v>1.003619632182903</v>
      </c>
      <c r="V371" s="160">
        <f t="shared" si="221"/>
        <v>8.495584366072198E-2</v>
      </c>
      <c r="W371" s="98" t="str">
        <f t="shared" si="212"/>
        <v>1-0.221158652002511i</v>
      </c>
      <c r="X371" s="160">
        <f t="shared" si="222"/>
        <v>1.0241636340720011</v>
      </c>
      <c r="Y371" s="160">
        <f t="shared" si="223"/>
        <v>-0.21765519804169148</v>
      </c>
      <c r="Z371" s="98" t="str">
        <f t="shared" si="213"/>
        <v>0.976277817737668+0.253515066190063i</v>
      </c>
      <c r="AA371" s="160">
        <f t="shared" si="224"/>
        <v>1.0086566641786368</v>
      </c>
      <c r="AB371" s="160">
        <f t="shared" si="225"/>
        <v>0.25406373219823547</v>
      </c>
      <c r="AC371" s="171" t="str">
        <f t="shared" si="226"/>
        <v>-0.0474280808366083-0.123017911732149i</v>
      </c>
      <c r="AD371" s="190">
        <f t="shared" si="227"/>
        <v>-17.598795306306602</v>
      </c>
      <c r="AE371" s="169">
        <f t="shared" si="228"/>
        <v>-111.08354712300293</v>
      </c>
      <c r="AF371" s="98" t="str">
        <f t="shared" si="214"/>
        <v>-0.0000816326530612245</v>
      </c>
      <c r="AG371" s="98" t="str">
        <f t="shared" si="215"/>
        <v>0.00473068382492262i</v>
      </c>
      <c r="AH371" s="98">
        <f t="shared" si="229"/>
        <v>4.7306838249226201E-3</v>
      </c>
      <c r="AI371" s="98">
        <f t="shared" si="230"/>
        <v>1.5707963267948966</v>
      </c>
      <c r="AJ371" s="98" t="str">
        <f t="shared" si="216"/>
        <v>1+0.524034185095831i</v>
      </c>
      <c r="AK371" s="98">
        <f t="shared" si="231"/>
        <v>1.1289870801515187</v>
      </c>
      <c r="AL371" s="98">
        <f t="shared" si="232"/>
        <v>0.48268956989461398</v>
      </c>
      <c r="AM371" s="98" t="str">
        <f t="shared" si="217"/>
        <v>1+52.9274526946789i</v>
      </c>
      <c r="AN371" s="98">
        <f t="shared" si="233"/>
        <v>52.936898745085855</v>
      </c>
      <c r="AO371" s="98">
        <f t="shared" si="234"/>
        <v>1.5519047878515266</v>
      </c>
      <c r="AP371" s="168" t="str">
        <f t="shared" si="235"/>
        <v>-0.709449787937344+0.389031935776161i</v>
      </c>
      <c r="AQ371" s="98">
        <f t="shared" si="236"/>
        <v>-1.8398097730568082</v>
      </c>
      <c r="AR371" s="169">
        <f t="shared" si="237"/>
        <v>151.26151938009156</v>
      </c>
      <c r="AS371" s="168" t="str">
        <f t="shared" si="238"/>
        <v>0.0815057382281058+0.068823993292854i</v>
      </c>
      <c r="AT371" s="190">
        <f t="shared" si="239"/>
        <v>-19.438605079363413</v>
      </c>
      <c r="AU371" s="169">
        <f t="shared" si="240"/>
        <v>40.177972257088619</v>
      </c>
      <c r="AV371" s="225"/>
      <c r="AX371">
        <f t="shared" si="241"/>
        <v>0</v>
      </c>
      <c r="AY371">
        <f t="shared" si="242"/>
        <v>0</v>
      </c>
    </row>
    <row r="372" spans="14:51" x14ac:dyDescent="0.2">
      <c r="N372" s="170">
        <v>54</v>
      </c>
      <c r="O372" s="199">
        <f t="shared" si="208"/>
        <v>34673.685045253202</v>
      </c>
      <c r="P372" s="189" t="str">
        <f t="shared" si="209"/>
        <v>6.8875</v>
      </c>
      <c r="Q372" s="160" t="str">
        <f t="shared" si="210"/>
        <v>1+54.4652971055268i</v>
      </c>
      <c r="R372" s="160">
        <f t="shared" si="218"/>
        <v>54.474476489391861</v>
      </c>
      <c r="S372" s="160">
        <f t="shared" si="219"/>
        <v>1.5524380746819666</v>
      </c>
      <c r="T372" s="160" t="str">
        <f t="shared" si="211"/>
        <v>1+0.0871444753688428i</v>
      </c>
      <c r="U372" s="160">
        <f t="shared" si="220"/>
        <v>1.0037898981297384</v>
      </c>
      <c r="V372" s="160">
        <f t="shared" si="221"/>
        <v>8.6924878743834949E-2</v>
      </c>
      <c r="W372" s="98" t="str">
        <f t="shared" si="212"/>
        <v>1-0.226310098776427i</v>
      </c>
      <c r="X372" s="160">
        <f t="shared" si="222"/>
        <v>1.025288379339294</v>
      </c>
      <c r="Y372" s="160">
        <f t="shared" si="223"/>
        <v>-0.22256106281530336</v>
      </c>
      <c r="Z372" s="98" t="str">
        <f t="shared" si="213"/>
        <v>0.975159825731045+0.259420190669882i</v>
      </c>
      <c r="AA372" s="160">
        <f t="shared" si="224"/>
        <v>1.0090765684758516</v>
      </c>
      <c r="AB372" s="160">
        <f t="shared" si="225"/>
        <v>0.26000638822397137</v>
      </c>
      <c r="AC372" s="171" t="str">
        <f t="shared" si="226"/>
        <v>-0.0475061177949192-0.119884048850805i</v>
      </c>
      <c r="AD372" s="190">
        <f t="shared" si="227"/>
        <v>-17.791334384577205</v>
      </c>
      <c r="AE372" s="169">
        <f t="shared" si="228"/>
        <v>-111.61679922292025</v>
      </c>
      <c r="AF372" s="98" t="str">
        <f t="shared" si="214"/>
        <v>-0.0000816326530612245</v>
      </c>
      <c r="AG372" s="98" t="str">
        <f t="shared" si="215"/>
        <v>0.00484087560673923i</v>
      </c>
      <c r="AH372" s="98">
        <f t="shared" si="229"/>
        <v>4.8408756067392297E-3</v>
      </c>
      <c r="AI372" s="98">
        <f t="shared" si="230"/>
        <v>1.5707963267948966</v>
      </c>
      <c r="AJ372" s="98" t="str">
        <f t="shared" si="216"/>
        <v>1+0.536240509324117i</v>
      </c>
      <c r="AK372" s="98">
        <f t="shared" si="231"/>
        <v>1.134704315599526</v>
      </c>
      <c r="AL372" s="98">
        <f t="shared" si="232"/>
        <v>0.49221796581911048</v>
      </c>
      <c r="AM372" s="98" t="str">
        <f t="shared" si="217"/>
        <v>1+54.1602914417358i</v>
      </c>
      <c r="AN372" s="98">
        <f t="shared" si="233"/>
        <v>54.169522510852545</v>
      </c>
      <c r="AO372" s="98">
        <f t="shared" si="234"/>
        <v>1.5523347129371003</v>
      </c>
      <c r="AP372" s="168" t="str">
        <f t="shared" si="235"/>
        <v>-0.702318638328584+0.39347490422798i</v>
      </c>
      <c r="AQ372" s="98">
        <f t="shared" si="236"/>
        <v>-1.8837542170682797</v>
      </c>
      <c r="AR372" s="169">
        <f t="shared" si="237"/>
        <v>150.74021540099838</v>
      </c>
      <c r="AS372" s="168" t="str">
        <f t="shared" si="238"/>
        <v>0.0805357966020379+0.0655043367966159i</v>
      </c>
      <c r="AT372" s="190">
        <f t="shared" si="239"/>
        <v>-19.675088601645484</v>
      </c>
      <c r="AU372" s="169">
        <f t="shared" si="240"/>
        <v>39.123416178078173</v>
      </c>
      <c r="AV372" s="225"/>
      <c r="AX372">
        <f t="shared" si="241"/>
        <v>0</v>
      </c>
      <c r="AY372">
        <f t="shared" si="242"/>
        <v>0</v>
      </c>
    </row>
    <row r="373" spans="14:51" x14ac:dyDescent="0.2">
      <c r="N373" s="170">
        <v>55</v>
      </c>
      <c r="O373" s="199">
        <f t="shared" si="208"/>
        <v>35481.33892335758</v>
      </c>
      <c r="P373" s="189" t="str">
        <f t="shared" si="209"/>
        <v>6.8875</v>
      </c>
      <c r="Q373" s="160" t="str">
        <f t="shared" si="210"/>
        <v>1+55.733956850575i</v>
      </c>
      <c r="R373" s="160">
        <f t="shared" si="218"/>
        <v>55.742927320170011</v>
      </c>
      <c r="S373" s="160">
        <f t="shared" si="219"/>
        <v>1.5528558688133995</v>
      </c>
      <c r="T373" s="160" t="str">
        <f t="shared" si="211"/>
        <v>1+0.08917433096092i</v>
      </c>
      <c r="U373" s="160">
        <f t="shared" si="220"/>
        <v>1.0039681575141353</v>
      </c>
      <c r="V373" s="160">
        <f t="shared" si="221"/>
        <v>8.8939079138312352E-2</v>
      </c>
      <c r="W373" s="98" t="str">
        <f t="shared" si="212"/>
        <v>1-0.231581538160284i</v>
      </c>
      <c r="X373" s="160">
        <f t="shared" si="222"/>
        <v>1.026464811290033</v>
      </c>
      <c r="Y373" s="160">
        <f t="shared" si="223"/>
        <v>-0.22756994633194802</v>
      </c>
      <c r="Z373" s="98" t="str">
        <f t="shared" si="213"/>
        <v>0.973989144384418+0.265462863168629i</v>
      </c>
      <c r="AA373" s="160">
        <f t="shared" si="224"/>
        <v>1.0095174020790216</v>
      </c>
      <c r="AB373" s="160">
        <f t="shared" si="225"/>
        <v>0.266089069619104</v>
      </c>
      <c r="AC373" s="171" t="str">
        <f t="shared" si="226"/>
        <v>-0.0475776133559231-0.116813587445499i</v>
      </c>
      <c r="AD373" s="190">
        <f t="shared" si="227"/>
        <v>-17.983559305476721</v>
      </c>
      <c r="AE373" s="169">
        <f t="shared" si="228"/>
        <v>-112.16083173929968</v>
      </c>
      <c r="AF373" s="98" t="str">
        <f t="shared" si="214"/>
        <v>-0.0000816326530612245</v>
      </c>
      <c r="AG373" s="98" t="str">
        <f t="shared" si="215"/>
        <v>0.0049536340848791i</v>
      </c>
      <c r="AH373" s="98">
        <f t="shared" si="229"/>
        <v>4.9536340848790996E-3</v>
      </c>
      <c r="AI373" s="98">
        <f t="shared" si="230"/>
        <v>1.5707963267948966</v>
      </c>
      <c r="AJ373" s="98" t="str">
        <f t="shared" si="216"/>
        <v>1+0.548731155368434i</v>
      </c>
      <c r="AK373" s="98">
        <f t="shared" si="231"/>
        <v>1.1406602828502344</v>
      </c>
      <c r="AL373" s="98">
        <f t="shared" si="232"/>
        <v>0.50186852806691962</v>
      </c>
      <c r="AM373" s="98" t="str">
        <f t="shared" si="217"/>
        <v>1+55.4218466922118i</v>
      </c>
      <c r="AN373" s="98">
        <f t="shared" si="233"/>
        <v>55.430867671136347</v>
      </c>
      <c r="AO373" s="98">
        <f t="shared" si="234"/>
        <v>1.5527548583284325</v>
      </c>
      <c r="AP373" s="168" t="str">
        <f t="shared" si="235"/>
        <v>-0.695003461107483+0.397849398808043i</v>
      </c>
      <c r="AQ373" s="98">
        <f t="shared" si="236"/>
        <v>-1.9292930966995545</v>
      </c>
      <c r="AR373" s="169">
        <f t="shared" si="237"/>
        <v>150.21135147197586</v>
      </c>
      <c r="AS373" s="168" t="str">
        <f t="shared" si="238"/>
        <v>0.0795408214914027+0.0622571227086279i</v>
      </c>
      <c r="AT373" s="190">
        <f t="shared" si="239"/>
        <v>-19.912852402176274</v>
      </c>
      <c r="AU373" s="169">
        <f t="shared" si="240"/>
        <v>38.050519732676179</v>
      </c>
      <c r="AV373" s="225"/>
      <c r="AX373">
        <f t="shared" si="241"/>
        <v>0</v>
      </c>
      <c r="AY373">
        <f t="shared" si="242"/>
        <v>0</v>
      </c>
    </row>
    <row r="374" spans="14:51" x14ac:dyDescent="0.2">
      <c r="N374" s="170">
        <v>56</v>
      </c>
      <c r="O374" s="199">
        <f t="shared" si="208"/>
        <v>36307.805477010232</v>
      </c>
      <c r="P374" s="189" t="str">
        <f t="shared" si="209"/>
        <v>6.8875</v>
      </c>
      <c r="Q374" s="160" t="str">
        <f t="shared" si="210"/>
        <v>1+57.0321674772713i</v>
      </c>
      <c r="R374" s="160">
        <f t="shared" si="218"/>
        <v>57.040933785795644</v>
      </c>
      <c r="S374" s="160">
        <f t="shared" si="219"/>
        <v>1.5532641588419986</v>
      </c>
      <c r="T374" s="160" t="str">
        <f t="shared" si="211"/>
        <v>1+0.091251467963634i</v>
      </c>
      <c r="U374" s="160">
        <f t="shared" si="220"/>
        <v>1.0041547840873528</v>
      </c>
      <c r="V374" s="160">
        <f t="shared" si="221"/>
        <v>9.0999447390693489E-2</v>
      </c>
      <c r="W374" s="98" t="str">
        <f t="shared" si="212"/>
        <v>1-0.236975765141016i</v>
      </c>
      <c r="X374" s="160">
        <f t="shared" si="222"/>
        <v>1.0276952433791693</v>
      </c>
      <c r="Y374" s="160">
        <f t="shared" si="223"/>
        <v>-0.23268349857702331</v>
      </c>
      <c r="Z374" s="98" t="str">
        <f t="shared" si="213"/>
        <v>0.972763290525694+0.271646287591242i</v>
      </c>
      <c r="AA374" s="160">
        <f t="shared" si="224"/>
        <v>1.0099802596865344</v>
      </c>
      <c r="AB374" s="160">
        <f t="shared" si="225"/>
        <v>0.27231513251129574</v>
      </c>
      <c r="AC374" s="171" t="str">
        <f t="shared" si="226"/>
        <v>-0.0476427088020703-0.113804915894156i</v>
      </c>
      <c r="AD374" s="190">
        <f t="shared" si="227"/>
        <v>-18.175457839511264</v>
      </c>
      <c r="AE374" s="169">
        <f t="shared" si="228"/>
        <v>-112.71588671831968</v>
      </c>
      <c r="AF374" s="98" t="str">
        <f t="shared" si="214"/>
        <v>-0.0000816326530612245</v>
      </c>
      <c r="AG374" s="98" t="str">
        <f t="shared" si="215"/>
        <v>0.00506901904537987i</v>
      </c>
      <c r="AH374" s="98">
        <f t="shared" si="229"/>
        <v>5.0690190453798701E-3</v>
      </c>
      <c r="AI374" s="98">
        <f t="shared" si="230"/>
        <v>1.5707963267948966</v>
      </c>
      <c r="AJ374" s="98" t="str">
        <f t="shared" si="216"/>
        <v>1+0.561512745934639i</v>
      </c>
      <c r="AK374" s="98">
        <f t="shared" si="231"/>
        <v>1.1468637948104641</v>
      </c>
      <c r="AL374" s="98">
        <f t="shared" si="232"/>
        <v>0.51163918239899475</v>
      </c>
      <c r="AM374" s="98" t="str">
        <f t="shared" si="217"/>
        <v>1+56.7127873393986i</v>
      </c>
      <c r="AN374" s="98">
        <f t="shared" si="233"/>
        <v>56.72160300805902</v>
      </c>
      <c r="AO374" s="98">
        <f t="shared" si="234"/>
        <v>1.5531654461985109</v>
      </c>
      <c r="AP374" s="168" t="str">
        <f t="shared" si="235"/>
        <v>-0.687505096058681+0.402147105215776i</v>
      </c>
      <c r="AQ374" s="98">
        <f t="shared" si="236"/>
        <v>-1.9764671699677434</v>
      </c>
      <c r="AR374" s="169">
        <f t="shared" si="237"/>
        <v>149.67505916774158</v>
      </c>
      <c r="AS374" s="168" t="str">
        <f t="shared" si="238"/>
        <v>0.0785209225776228+0.0590820822043711i</v>
      </c>
      <c r="AT374" s="190">
        <f t="shared" si="239"/>
        <v>-20.151925009479008</v>
      </c>
      <c r="AU374" s="169">
        <f t="shared" si="240"/>
        <v>36.959172449421878</v>
      </c>
      <c r="AV374" s="225"/>
      <c r="AX374">
        <f t="shared" si="241"/>
        <v>0</v>
      </c>
      <c r="AY374">
        <f t="shared" si="242"/>
        <v>0</v>
      </c>
    </row>
    <row r="375" spans="14:51" x14ac:dyDescent="0.2">
      <c r="N375" s="170">
        <v>57</v>
      </c>
      <c r="O375" s="199">
        <f t="shared" si="208"/>
        <v>37153.522909717351</v>
      </c>
      <c r="P375" s="189" t="str">
        <f t="shared" si="209"/>
        <v>6.8875</v>
      </c>
      <c r="Q375" s="160" t="str">
        <f t="shared" si="210"/>
        <v>1+58.360617314074i</v>
      </c>
      <c r="R375" s="160">
        <f t="shared" si="218"/>
        <v>58.369184106682468</v>
      </c>
      <c r="S375" s="160">
        <f t="shared" si="219"/>
        <v>1.553663160703731</v>
      </c>
      <c r="T375" s="160" t="str">
        <f t="shared" si="211"/>
        <v>1+0.0933769877025184i</v>
      </c>
      <c r="U375" s="160">
        <f t="shared" si="220"/>
        <v>1.0043501689313326</v>
      </c>
      <c r="V375" s="160">
        <f t="shared" si="221"/>
        <v>9.3107005924746161E-2</v>
      </c>
      <c r="W375" s="98" t="str">
        <f t="shared" si="212"/>
        <v>1-0.242495639809172i</v>
      </c>
      <c r="X375" s="160">
        <f t="shared" si="222"/>
        <v>1.0289820869803612</v>
      </c>
      <c r="Y375" s="160">
        <f t="shared" si="223"/>
        <v>-0.23790336065868936</v>
      </c>
      <c r="Z375" s="98" t="str">
        <f t="shared" si="213"/>
        <v>0.971479663954486+0.277973742471201i</v>
      </c>
      <c r="AA375" s="160">
        <f t="shared" si="224"/>
        <v>1.0104662977955112</v>
      </c>
      <c r="AB375" s="160">
        <f t="shared" si="225"/>
        <v>0.27868801555018452</v>
      </c>
      <c r="AC375" s="171" t="str">
        <f t="shared" si="226"/>
        <v>-0.0477015310179029-0.110856455165366i</v>
      </c>
      <c r="AD375" s="190">
        <f t="shared" si="227"/>
        <v>-18.367017450059006</v>
      </c>
      <c r="AE375" s="169">
        <f t="shared" si="228"/>
        <v>-113.28220900031536</v>
      </c>
      <c r="AF375" s="98" t="str">
        <f t="shared" si="214"/>
        <v>-0.0000816326530612245</v>
      </c>
      <c r="AG375" s="98" t="str">
        <f t="shared" si="215"/>
        <v>0.0051870916668749i</v>
      </c>
      <c r="AH375" s="98">
        <f t="shared" si="229"/>
        <v>5.1870916668749004E-3</v>
      </c>
      <c r="AI375" s="98">
        <f t="shared" si="230"/>
        <v>1.5707963267948966</v>
      </c>
      <c r="AJ375" s="98" t="str">
        <f t="shared" si="216"/>
        <v>1+0.57459205799124i</v>
      </c>
      <c r="AK375" s="98">
        <f t="shared" si="231"/>
        <v>1.1533239064142424</v>
      </c>
      <c r="AL375" s="98">
        <f t="shared" si="232"/>
        <v>0.52152764652409966</v>
      </c>
      <c r="AM375" s="98" t="str">
        <f t="shared" si="217"/>
        <v>1+58.0337978571152i</v>
      </c>
      <c r="AN375" s="98">
        <f t="shared" si="233"/>
        <v>58.042412886789158</v>
      </c>
      <c r="AO375" s="98">
        <f t="shared" si="234"/>
        <v>1.5535666936923984</v>
      </c>
      <c r="AP375" s="168" t="str">
        <f t="shared" si="235"/>
        <v>-0.679824823529442+0.406359598259838i</v>
      </c>
      <c r="AQ375" s="98">
        <f t="shared" si="236"/>
        <v>-2.0253169544186136</v>
      </c>
      <c r="AR375" s="169">
        <f t="shared" si="237"/>
        <v>149.13148169544644</v>
      </c>
      <c r="AS375" s="168" t="str">
        <f t="shared" si="238"/>
        <v>0.0774762694918379+0.0559789950890802i</v>
      </c>
      <c r="AT375" s="190">
        <f t="shared" si="239"/>
        <v>-20.392334404477616</v>
      </c>
      <c r="AU375" s="169">
        <f t="shared" si="240"/>
        <v>35.849272695131063</v>
      </c>
      <c r="AV375" s="225"/>
      <c r="AX375">
        <f t="shared" si="241"/>
        <v>0</v>
      </c>
      <c r="AY375">
        <f t="shared" si="242"/>
        <v>0</v>
      </c>
    </row>
    <row r="376" spans="14:51" x14ac:dyDescent="0.2">
      <c r="N376" s="170">
        <v>58</v>
      </c>
      <c r="O376" s="199">
        <f t="shared" si="208"/>
        <v>38018.939632056143</v>
      </c>
      <c r="P376" s="189" t="str">
        <f t="shared" si="209"/>
        <v>6.8875</v>
      </c>
      <c r="Q376" s="160" t="str">
        <f t="shared" si="210"/>
        <v>1+59.7200107226708i</v>
      </c>
      <c r="R376" s="160">
        <f t="shared" si="218"/>
        <v>59.728382538922936</v>
      </c>
      <c r="S376" s="160">
        <f t="shared" si="219"/>
        <v>1.5540530854461971</v>
      </c>
      <c r="T376" s="160" t="str">
        <f t="shared" si="211"/>
        <v>1+0.0955520171562732i</v>
      </c>
      <c r="U376" s="160">
        <f t="shared" si="220"/>
        <v>1.0045547212484907</v>
      </c>
      <c r="V376" s="160">
        <f t="shared" si="221"/>
        <v>9.5262797263663448E-2</v>
      </c>
      <c r="W376" s="98" t="str">
        <f t="shared" si="212"/>
        <v>1-0.248144088875363i</v>
      </c>
      <c r="X376" s="160">
        <f t="shared" si="222"/>
        <v>1.0303278550266337</v>
      </c>
      <c r="Y376" s="160">
        <f t="shared" si="223"/>
        <v>-0.24323116191537997</v>
      </c>
      <c r="Z376" s="98" t="str">
        <f t="shared" si="213"/>
        <v>0.970135541926737+0.284448582708834i</v>
      </c>
      <c r="AA376" s="160">
        <f t="shared" si="224"/>
        <v>1.010976738562539</v>
      </c>
      <c r="AB376" s="160">
        <f t="shared" si="225"/>
        <v>0.28521124185429508</v>
      </c>
      <c r="AC376" s="171" t="str">
        <f t="shared" si="226"/>
        <v>-0.0477541926868608-0.10796665811959i</v>
      </c>
      <c r="AD376" s="190">
        <f t="shared" si="227"/>
        <v>-18.558225300299796</v>
      </c>
      <c r="AE376" s="169">
        <f t="shared" si="228"/>
        <v>-113.86004615928275</v>
      </c>
      <c r="AF376" s="98" t="str">
        <f t="shared" si="214"/>
        <v>-0.0000816326530612245</v>
      </c>
      <c r="AG376" s="98" t="str">
        <f t="shared" si="215"/>
        <v>0.00530791455303097i</v>
      </c>
      <c r="AH376" s="98">
        <f t="shared" si="229"/>
        <v>5.3079145530309704E-3</v>
      </c>
      <c r="AI376" s="98">
        <f t="shared" si="230"/>
        <v>1.5707963267948966</v>
      </c>
      <c r="AJ376" s="98" t="str">
        <f t="shared" si="216"/>
        <v>1+0.587976026362612i</v>
      </c>
      <c r="AK376" s="98">
        <f t="shared" si="231"/>
        <v>1.1600499159851558</v>
      </c>
      <c r="AL376" s="98">
        <f t="shared" si="232"/>
        <v>0.53153142748765903</v>
      </c>
      <c r="AM376" s="98" t="str">
        <f t="shared" si="217"/>
        <v>1+59.3855786626238i</v>
      </c>
      <c r="AN376" s="98">
        <f t="shared" si="233"/>
        <v>59.393997618401471</v>
      </c>
      <c r="AO376" s="98">
        <f t="shared" si="234"/>
        <v>1.5539588130397255</v>
      </c>
      <c r="AP376" s="168" t="str">
        <f t="shared" si="235"/>
        <v>-0.671964381618866+0.410478368059086i</v>
      </c>
      <c r="AQ376" s="98">
        <f t="shared" si="236"/>
        <v>-2.0758826280420783</v>
      </c>
      <c r="AR376" s="169">
        <f t="shared" si="237"/>
        <v>148.58077405072839</v>
      </c>
      <c r="AS376" s="168" t="str">
        <f t="shared" si="238"/>
        <v>0.0764070941882572+0.052947685576704i</v>
      </c>
      <c r="AT376" s="190">
        <f t="shared" si="239"/>
        <v>-20.634107928341873</v>
      </c>
      <c r="AU376" s="169">
        <f t="shared" si="240"/>
        <v>34.720727891445627</v>
      </c>
      <c r="AV376" s="225"/>
      <c r="AX376">
        <f t="shared" si="241"/>
        <v>0</v>
      </c>
      <c r="AY376">
        <f t="shared" si="242"/>
        <v>0</v>
      </c>
    </row>
    <row r="377" spans="14:51" x14ac:dyDescent="0.2">
      <c r="N377" s="170">
        <v>59</v>
      </c>
      <c r="O377" s="199">
        <f t="shared" si="208"/>
        <v>38904.514499428085</v>
      </c>
      <c r="P377" s="189" t="str">
        <f t="shared" si="209"/>
        <v>6.8875</v>
      </c>
      <c r="Q377" s="160" t="str">
        <f t="shared" si="210"/>
        <v>1+61.1110684714405i</v>
      </c>
      <c r="R377" s="160">
        <f t="shared" si="218"/>
        <v>61.119249747694774</v>
      </c>
      <c r="S377" s="160">
        <f t="shared" si="219"/>
        <v>1.5544341393381074</v>
      </c>
      <c r="T377" s="160" t="str">
        <f t="shared" si="211"/>
        <v>1+0.0977777095543048i</v>
      </c>
      <c r="U377" s="160">
        <f t="shared" si="220"/>
        <v>1.0047688691861856</v>
      </c>
      <c r="V377" s="160">
        <f t="shared" si="221"/>
        <v>9.7467884241142361E-2</v>
      </c>
      <c r="W377" s="98" t="str">
        <f t="shared" si="212"/>
        <v>1-0.253924107222052i</v>
      </c>
      <c r="X377" s="160">
        <f t="shared" si="222"/>
        <v>1.0317351657419243</v>
      </c>
      <c r="Y377" s="160">
        <f t="shared" si="223"/>
        <v>-0.24866851683764424</v>
      </c>
      <c r="Z377" s="98" t="str">
        <f t="shared" si="213"/>
        <v>0.968728073379417+0.291074241350143i</v>
      </c>
      <c r="AA377" s="160">
        <f t="shared" si="224"/>
        <v>1.0115128739323878</v>
      </c>
      <c r="AB377" s="160">
        <f t="shared" si="225"/>
        <v>0.29188842097165202</v>
      </c>
      <c r="AC377" s="171" t="str">
        <f t="shared" si="226"/>
        <v>-0.0478007924536821-0.105134008834098i</v>
      </c>
      <c r="AD377" s="190">
        <f t="shared" si="227"/>
        <v>-18.749068262241693</v>
      </c>
      <c r="AE377" s="169">
        <f t="shared" si="228"/>
        <v>-114.4496484330254</v>
      </c>
      <c r="AF377" s="98" t="str">
        <f t="shared" si="214"/>
        <v>-0.0000816326530612245</v>
      </c>
      <c r="AG377" s="98" t="str">
        <f t="shared" si="215"/>
        <v>0.00543155176574163i</v>
      </c>
      <c r="AH377" s="98">
        <f t="shared" si="229"/>
        <v>5.4315517657416296E-3</v>
      </c>
      <c r="AI377" s="98">
        <f t="shared" si="230"/>
        <v>1.5707963267948966</v>
      </c>
      <c r="AJ377" s="98" t="str">
        <f t="shared" si="216"/>
        <v>1+0.601671747405945i</v>
      </c>
      <c r="AK377" s="98">
        <f t="shared" si="231"/>
        <v>1.1670513663187765</v>
      </c>
      <c r="AL377" s="98">
        <f t="shared" si="232"/>
        <v>0.54164781975678711</v>
      </c>
      <c r="AM377" s="98" t="str">
        <f t="shared" si="217"/>
        <v>1+60.7688464880005i</v>
      </c>
      <c r="AN377" s="98">
        <f t="shared" si="233"/>
        <v>60.777073831192062</v>
      </c>
      <c r="AO377" s="98">
        <f t="shared" si="234"/>
        <v>1.5543420116647531</v>
      </c>
      <c r="AP377" s="168" t="str">
        <f t="shared" si="235"/>
        <v>-0.663925981711789+0.414494848298082i</v>
      </c>
      <c r="AQ377" s="98">
        <f t="shared" si="236"/>
        <v>-2.1282039265519623</v>
      </c>
      <c r="AR377" s="169">
        <f t="shared" si="237"/>
        <v>148.02310313373792</v>
      </c>
      <c r="AS377" s="168" t="str">
        <f t="shared" si="238"/>
        <v>0.075313693099071+0.0499880178098574i</v>
      </c>
      <c r="AT377" s="190">
        <f t="shared" si="239"/>
        <v>-20.877272188793654</v>
      </c>
      <c r="AU377" s="169">
        <f t="shared" si="240"/>
        <v>33.573454700712546</v>
      </c>
      <c r="AV377" s="225"/>
      <c r="AX377">
        <f t="shared" si="241"/>
        <v>0</v>
      </c>
      <c r="AY377">
        <f t="shared" si="242"/>
        <v>0</v>
      </c>
    </row>
    <row r="378" spans="14:51" x14ac:dyDescent="0.2">
      <c r="N378" s="170">
        <v>60</v>
      </c>
      <c r="O378" s="199">
        <f t="shared" si="208"/>
        <v>39810.717055349742</v>
      </c>
      <c r="P378" s="189" t="str">
        <f t="shared" si="209"/>
        <v>6.8875</v>
      </c>
      <c r="Q378" s="160" t="str">
        <f t="shared" si="210"/>
        <v>1+62.5345281176143i</v>
      </c>
      <c r="R378" s="160">
        <f t="shared" si="218"/>
        <v>62.542523189368481</v>
      </c>
      <c r="S378" s="160">
        <f t="shared" si="219"/>
        <v>1.554806523976386</v>
      </c>
      <c r="T378" s="160" t="str">
        <f t="shared" si="211"/>
        <v>1+0.100055244988183i</v>
      </c>
      <c r="U378" s="160">
        <f t="shared" si="220"/>
        <v>1.0049930606972595</v>
      </c>
      <c r="V378" s="160">
        <f t="shared" si="221"/>
        <v>9.9723350200023875E-2</v>
      </c>
      <c r="W378" s="98" t="str">
        <f t="shared" si="212"/>
        <v>1-0.259838759491472i</v>
      </c>
      <c r="X378" s="160">
        <f t="shared" si="222"/>
        <v>1.033206746461746</v>
      </c>
      <c r="Y378" s="160">
        <f t="shared" si="223"/>
        <v>-0.25421702179872757</v>
      </c>
      <c r="Z378" s="98" t="str">
        <f t="shared" si="213"/>
        <v>0.967254272883035+0.297854231407037i</v>
      </c>
      <c r="AA378" s="160">
        <f t="shared" si="224"/>
        <v>1.0120760700547986</v>
      </c>
      <c r="AB378" s="160">
        <f t="shared" si="225"/>
        <v>0.29872325084828694</v>
      </c>
      <c r="AC378" s="171" t="str">
        <f t="shared" si="226"/>
        <v>-0.0478414150525616-0.102357021952703i</v>
      </c>
      <c r="AD378" s="190">
        <f t="shared" si="227"/>
        <v>-18.939532928062601</v>
      </c>
      <c r="AE378" s="169">
        <f t="shared" si="228"/>
        <v>-115.05126864337336</v>
      </c>
      <c r="AF378" s="98" t="str">
        <f t="shared" si="214"/>
        <v>-0.0000816326530612245</v>
      </c>
      <c r="AG378" s="98" t="str">
        <f t="shared" si="215"/>
        <v>0.00555806885909356i</v>
      </c>
      <c r="AH378" s="98">
        <f t="shared" si="229"/>
        <v>5.5580688590935604E-3</v>
      </c>
      <c r="AI378" s="98">
        <f t="shared" si="230"/>
        <v>1.5707963267948966</v>
      </c>
      <c r="AJ378" s="98" t="str">
        <f t="shared" si="216"/>
        <v>1+0.615686482773818i</v>
      </c>
      <c r="AK378" s="98">
        <f t="shared" si="231"/>
        <v>1.1743380454836652</v>
      </c>
      <c r="AL378" s="98">
        <f t="shared" si="232"/>
        <v>0.5518739040525481</v>
      </c>
      <c r="AM378" s="98" t="str">
        <f t="shared" si="217"/>
        <v>1+62.1843347601556i</v>
      </c>
      <c r="AN378" s="98">
        <f t="shared" si="233"/>
        <v>62.192374850644647</v>
      </c>
      <c r="AO378" s="98">
        <f t="shared" si="234"/>
        <v>1.5547164922940513</v>
      </c>
      <c r="AP378" s="168" t="str">
        <f t="shared" si="235"/>
        <v>-0.655712322117495+0.418400446441497i</v>
      </c>
      <c r="AQ378" s="98">
        <f t="shared" si="236"/>
        <v>-2.1823200374227936</v>
      </c>
      <c r="AR378" s="169">
        <f t="shared" si="237"/>
        <v>147.458647822214</v>
      </c>
      <c r="AS378" s="168" t="str">
        <f t="shared" si="238"/>
        <v>0.0741964290389351+0.0470998911332536i</v>
      </c>
      <c r="AT378" s="190">
        <f t="shared" si="239"/>
        <v>-21.121852965485392</v>
      </c>
      <c r="AU378" s="169">
        <f t="shared" si="240"/>
        <v>32.407379178840671</v>
      </c>
      <c r="AV378" s="225"/>
      <c r="AX378">
        <f t="shared" si="241"/>
        <v>0</v>
      </c>
      <c r="AY378">
        <f t="shared" si="242"/>
        <v>0</v>
      </c>
    </row>
    <row r="379" spans="14:51" x14ac:dyDescent="0.2">
      <c r="N379" s="170">
        <v>61</v>
      </c>
      <c r="O379" s="199">
        <f t="shared" si="208"/>
        <v>40738.027780411358</v>
      </c>
      <c r="P379" s="189" t="str">
        <f t="shared" si="209"/>
        <v>6.8875</v>
      </c>
      <c r="Q379" s="160" t="str">
        <f t="shared" si="210"/>
        <v>1+63.9911443983385i</v>
      </c>
      <c r="R379" s="160">
        <f t="shared" si="218"/>
        <v>63.998957502517243</v>
      </c>
      <c r="S379" s="160">
        <f t="shared" si="219"/>
        <v>1.5551704363909513</v>
      </c>
      <c r="T379" s="160" t="str">
        <f t="shared" si="211"/>
        <v>1+0.102385831037342i</v>
      </c>
      <c r="U379" s="160">
        <f t="shared" si="220"/>
        <v>1.0052277644380936</v>
      </c>
      <c r="V379" s="160">
        <f t="shared" si="221"/>
        <v>0.10203029917708868</v>
      </c>
      <c r="W379" s="98" t="str">
        <f t="shared" si="212"/>
        <v>1-0.265891181710548i</v>
      </c>
      <c r="X379" s="160">
        <f t="shared" si="222"/>
        <v>1.0347454375407661</v>
      </c>
      <c r="Y379" s="160">
        <f t="shared" si="223"/>
        <v>-0.25987825158876815</v>
      </c>
      <c r="Z379" s="98" t="str">
        <f t="shared" si="213"/>
        <v>0.965711014309141+0.304792147719992i</v>
      </c>
      <c r="AA379" s="160">
        <f t="shared" si="224"/>
        <v>1.0126677720110162</v>
      </c>
      <c r="AB379" s="160">
        <f t="shared" si="225"/>
        <v>0.30571951979795059</v>
      </c>
      <c r="AC379" s="171" t="str">
        <f t="shared" si="226"/>
        <v>-0.0478761314012118-0.0996342420615208i</v>
      </c>
      <c r="AD379" s="190">
        <f t="shared" si="227"/>
        <v>-19.129605623997776</v>
      </c>
      <c r="AE379" s="169">
        <f t="shared" si="228"/>
        <v>-115.66516210587989</v>
      </c>
      <c r="AF379" s="98" t="str">
        <f t="shared" si="214"/>
        <v>-0.0000816326530612245</v>
      </c>
      <c r="AG379" s="98" t="str">
        <f t="shared" si="215"/>
        <v>0.00568753291412434i</v>
      </c>
      <c r="AH379" s="98">
        <f t="shared" si="229"/>
        <v>5.6875329141243399E-3</v>
      </c>
      <c r="AI379" s="98">
        <f t="shared" si="230"/>
        <v>1.5707963267948966</v>
      </c>
      <c r="AJ379" s="98" t="str">
        <f t="shared" si="216"/>
        <v>1+0.630027663264434i</v>
      </c>
      <c r="AK379" s="98">
        <f t="shared" si="231"/>
        <v>1.1819199873419703</v>
      </c>
      <c r="AL379" s="98">
        <f t="shared" si="232"/>
        <v>0.5622065469777765</v>
      </c>
      <c r="AM379" s="98" t="str">
        <f t="shared" si="217"/>
        <v>1+63.6327939897078i</v>
      </c>
      <c r="AN379" s="98">
        <f t="shared" si="233"/>
        <v>63.640651088251708</v>
      </c>
      <c r="AO379" s="98">
        <f t="shared" si="234"/>
        <v>1.5550824530618412</v>
      </c>
      <c r="AP379" s="168" t="str">
        <f t="shared" si="235"/>
        <v>-0.647326599575959+0.422186575782871i</v>
      </c>
      <c r="AQ379" s="98">
        <f t="shared" si="236"/>
        <v>-2.23826949113004</v>
      </c>
      <c r="AR379" s="169">
        <f t="shared" si="237"/>
        <v>146.8875989988444</v>
      </c>
      <c r="AS379" s="168" t="str">
        <f t="shared" si="238"/>
        <v>0.0730557328274734+0.0442832351370038i</v>
      </c>
      <c r="AT379" s="190">
        <f t="shared" si="239"/>
        <v>-21.36787511512782</v>
      </c>
      <c r="AU379" s="169">
        <f t="shared" si="240"/>
        <v>31.222436892964499</v>
      </c>
      <c r="AV379" s="225"/>
      <c r="AX379">
        <f t="shared" si="241"/>
        <v>0</v>
      </c>
      <c r="AY379">
        <f t="shared" si="242"/>
        <v>0</v>
      </c>
    </row>
    <row r="380" spans="14:51" x14ac:dyDescent="0.2">
      <c r="N380" s="170">
        <v>62</v>
      </c>
      <c r="O380" s="199">
        <f t="shared" si="208"/>
        <v>41686.938347033625</v>
      </c>
      <c r="P380" s="189" t="str">
        <f t="shared" si="209"/>
        <v>6.8875</v>
      </c>
      <c r="Q380" s="160" t="str">
        <f t="shared" si="210"/>
        <v>1+65.4816896308458i</v>
      </c>
      <c r="R380" s="160">
        <f t="shared" si="218"/>
        <v>65.489324908036878</v>
      </c>
      <c r="S380" s="160">
        <f t="shared" si="219"/>
        <v>1.555526069147211</v>
      </c>
      <c r="T380" s="160" t="str">
        <f t="shared" si="211"/>
        <v>1+0.104770703409353i</v>
      </c>
      <c r="U380" s="160">
        <f t="shared" si="220"/>
        <v>1.0054734707056625</v>
      </c>
      <c r="V380" s="160">
        <f t="shared" si="221"/>
        <v>0.10438985607249698</v>
      </c>
      <c r="W380" s="98" t="str">
        <f t="shared" si="212"/>
        <v>1-0.272084582953653i</v>
      </c>
      <c r="X380" s="160">
        <f t="shared" si="222"/>
        <v>1.0363541963446008</v>
      </c>
      <c r="Y380" s="160">
        <f t="shared" si="223"/>
        <v>-0.26565375574791117</v>
      </c>
      <c r="Z380" s="98" t="str">
        <f t="shared" si="213"/>
        <v>0.964095024199393+0.311891668864069i</v>
      </c>
      <c r="AA380" s="160">
        <f t="shared" si="224"/>
        <v>1.0132895088733733</v>
      </c>
      <c r="AB380" s="160">
        <f t="shared" si="225"/>
        <v>0.31288110846512368</v>
      </c>
      <c r="AC380" s="171" t="str">
        <f t="shared" si="226"/>
        <v>-0.047904998660906-0.096964243092118i</v>
      </c>
      <c r="AD380" s="190">
        <f t="shared" si="227"/>
        <v>-19.319272427021239</v>
      </c>
      <c r="AE380" s="169">
        <f t="shared" si="228"/>
        <v>-116.29158652835915</v>
      </c>
      <c r="AF380" s="98" t="str">
        <f t="shared" si="214"/>
        <v>-0.0000816326530612245</v>
      </c>
      <c r="AG380" s="98" t="str">
        <f t="shared" si="215"/>
        <v>0.00582001257438957i</v>
      </c>
      <c r="AH380" s="98">
        <f t="shared" si="229"/>
        <v>5.82001257438957E-3</v>
      </c>
      <c r="AI380" s="98">
        <f t="shared" si="230"/>
        <v>1.5707963267948966</v>
      </c>
      <c r="AJ380" s="98" t="str">
        <f t="shared" si="216"/>
        <v>1+0.644702892761515i</v>
      </c>
      <c r="AK380" s="98">
        <f t="shared" si="231"/>
        <v>1.1898074717932585</v>
      </c>
      <c r="AL380" s="98">
        <f t="shared" si="232"/>
        <v>0.57264240148517842</v>
      </c>
      <c r="AM380" s="98" t="str">
        <f t="shared" si="217"/>
        <v>1+65.114992168913i</v>
      </c>
      <c r="AN380" s="98">
        <f t="shared" si="233"/>
        <v>65.122670439391555</v>
      </c>
      <c r="AO380" s="98">
        <f t="shared" si="234"/>
        <v>1.5554400876130439</v>
      </c>
      <c r="AP380" s="168" t="str">
        <f t="shared" si="235"/>
        <v>-0.638772518400736+0.425844689173557i</v>
      </c>
      <c r="AQ380" s="98">
        <f t="shared" si="236"/>
        <v>-2.2960900500916042</v>
      </c>
      <c r="AR380" s="169">
        <f t="shared" si="237"/>
        <v>146.31015953034967</v>
      </c>
      <c r="AS380" s="168" t="str">
        <f t="shared" si="238"/>
        <v>0.071892104599123+0.0415380044901602i</v>
      </c>
      <c r="AT380" s="190">
        <f t="shared" si="239"/>
        <v>-21.615362477112846</v>
      </c>
      <c r="AU380" s="169">
        <f t="shared" si="240"/>
        <v>30.018573001990514</v>
      </c>
      <c r="AV380" s="225"/>
      <c r="AX380">
        <f t="shared" si="241"/>
        <v>0</v>
      </c>
      <c r="AY380">
        <f t="shared" si="242"/>
        <v>0</v>
      </c>
    </row>
    <row r="381" spans="14:51" x14ac:dyDescent="0.2">
      <c r="N381" s="170">
        <v>63</v>
      </c>
      <c r="O381" s="199">
        <f t="shared" si="208"/>
        <v>42657.951880159271</v>
      </c>
      <c r="P381" s="189" t="str">
        <f t="shared" si="209"/>
        <v>6.8875</v>
      </c>
      <c r="Q381" s="160" t="str">
        <f t="shared" si="210"/>
        <v>1+67.0069541219478i</v>
      </c>
      <c r="R381" s="160">
        <f t="shared" si="218"/>
        <v>67.014415618587734</v>
      </c>
      <c r="S381" s="160">
        <f t="shared" si="219"/>
        <v>1.5558736104463251</v>
      </c>
      <c r="T381" s="160" t="str">
        <f t="shared" si="211"/>
        <v>1+0.107211126595116i</v>
      </c>
      <c r="U381" s="160">
        <f t="shared" si="220"/>
        <v>1.0057306924151186</v>
      </c>
      <c r="V381" s="160">
        <f t="shared" si="221"/>
        <v>0.10680316680226982</v>
      </c>
      <c r="W381" s="98" t="str">
        <f t="shared" si="212"/>
        <v>1-0.278422247044104i</v>
      </c>
      <c r="X381" s="160">
        <f t="shared" si="222"/>
        <v>1.0380361013226314</v>
      </c>
      <c r="Y381" s="160">
        <f t="shared" si="223"/>
        <v>-0.27154505469427576</v>
      </c>
      <c r="Z381" s="98" t="str">
        <f t="shared" si="213"/>
        <v>0.962402874822108+0.319156559099351i</v>
      </c>
      <c r="AA381" s="160">
        <f t="shared" si="224"/>
        <v>1.0139428991230204</v>
      </c>
      <c r="AB381" s="160">
        <f t="shared" si="225"/>
        <v>0.32021199177228515</v>
      </c>
      <c r="AC381" s="171" t="str">
        <f t="shared" si="226"/>
        <v>-0.0479280602625925-0.0943456277535471i</v>
      </c>
      <c r="AD381" s="190">
        <f t="shared" si="227"/>
        <v>-19.50851918458611</v>
      </c>
      <c r="AE381" s="169">
        <f t="shared" si="228"/>
        <v>-116.93080189761501</v>
      </c>
      <c r="AF381" s="98" t="str">
        <f t="shared" si="214"/>
        <v>-0.0000816326530612245</v>
      </c>
      <c r="AG381" s="98" t="str">
        <f t="shared" si="215"/>
        <v>0.00595557808235871i</v>
      </c>
      <c r="AH381" s="98">
        <f t="shared" si="229"/>
        <v>5.9555780823587097E-3</v>
      </c>
      <c r="AI381" s="98">
        <f t="shared" si="230"/>
        <v>1.5707963267948966</v>
      </c>
      <c r="AJ381" s="98" t="str">
        <f t="shared" si="216"/>
        <v>1+0.659719952265989i</v>
      </c>
      <c r="AK381" s="98">
        <f t="shared" si="231"/>
        <v>1.1980110247480358</v>
      </c>
      <c r="AL381" s="98">
        <f t="shared" si="232"/>
        <v>0.58317790822619331</v>
      </c>
      <c r="AM381" s="98" t="str">
        <f t="shared" si="217"/>
        <v>1+66.6317151788649i</v>
      </c>
      <c r="AN381" s="98">
        <f t="shared" si="233"/>
        <v>66.63921869047816</v>
      </c>
      <c r="AO381" s="98">
        <f t="shared" si="234"/>
        <v>1.5557895852040833</v>
      </c>
      <c r="AP381" s="168" t="str">
        <f t="shared" si="235"/>
        <v>-0.630054297037778+0.429366314247948i</v>
      </c>
      <c r="AQ381" s="98">
        <f t="shared" si="236"/>
        <v>-2.3558185958583819</v>
      </c>
      <c r="AR381" s="169">
        <f t="shared" si="237"/>
        <v>145.72654419597441</v>
      </c>
      <c r="AS381" s="168" t="str">
        <f t="shared" si="238"/>
        <v>0.0707061147710814+0.0388641735888461i</v>
      </c>
      <c r="AT381" s="190">
        <f t="shared" si="239"/>
        <v>-21.864337780444494</v>
      </c>
      <c r="AU381" s="169">
        <f t="shared" si="240"/>
        <v>28.795742298359396</v>
      </c>
      <c r="AV381" s="225"/>
      <c r="AX381">
        <f t="shared" si="241"/>
        <v>0</v>
      </c>
      <c r="AY381">
        <f t="shared" si="242"/>
        <v>0</v>
      </c>
    </row>
    <row r="382" spans="14:51" x14ac:dyDescent="0.2">
      <c r="N382" s="170">
        <v>64</v>
      </c>
      <c r="O382" s="199">
        <f t="shared" si="208"/>
        <v>43651.583224016598</v>
      </c>
      <c r="P382" s="189" t="str">
        <f t="shared" si="209"/>
        <v>6.8875</v>
      </c>
      <c r="Q382" s="160" t="str">
        <f t="shared" si="210"/>
        <v>1+68.567746587067i</v>
      </c>
      <c r="R382" s="160">
        <f t="shared" si="218"/>
        <v>68.57503825757766</v>
      </c>
      <c r="S382" s="160">
        <f t="shared" si="219"/>
        <v>1.5562132442232757</v>
      </c>
      <c r="T382" s="160" t="str">
        <f t="shared" si="211"/>
        <v>1+0.109708394539307i</v>
      </c>
      <c r="U382" s="160">
        <f t="shared" si="220"/>
        <v>1.0059999661194787</v>
      </c>
      <c r="V382" s="160">
        <f t="shared" si="221"/>
        <v>0.10927139843207964</v>
      </c>
      <c r="W382" s="98" t="str">
        <f t="shared" si="212"/>
        <v>1-0.284907534295292i</v>
      </c>
      <c r="X382" s="160">
        <f t="shared" si="222"/>
        <v>1.0397943561580929</v>
      </c>
      <c r="Y382" s="160">
        <f t="shared" si="223"/>
        <v>-0.27755363564336161</v>
      </c>
      <c r="Z382" s="98" t="str">
        <f t="shared" si="213"/>
        <v>0.960630976901586+0.326590670366803i</v>
      </c>
      <c r="AA382" s="160">
        <f t="shared" si="224"/>
        <v>1.0146296564528032</v>
      </c>
      <c r="AB382" s="160">
        <f t="shared" si="225"/>
        <v>0.32771624084090406</v>
      </c>
      <c r="AC382" s="171" t="str">
        <f t="shared" si="226"/>
        <v>-0.0479453458991311-0.0917770269949734i</v>
      </c>
      <c r="AD382" s="190">
        <f t="shared" si="227"/>
        <v>-19.697331537703931</v>
      </c>
      <c r="AE382" s="169">
        <f t="shared" si="228"/>
        <v>-117.58307035365783</v>
      </c>
      <c r="AF382" s="98" t="str">
        <f t="shared" si="214"/>
        <v>-0.0000816326530612245</v>
      </c>
      <c r="AG382" s="98" t="str">
        <f t="shared" si="215"/>
        <v>0.00609430131665852i</v>
      </c>
      <c r="AH382" s="98">
        <f t="shared" si="229"/>
        <v>6.0943013166585196E-3</v>
      </c>
      <c r="AI382" s="98">
        <f t="shared" si="230"/>
        <v>1.5707963267948966</v>
      </c>
      <c r="AJ382" s="98" t="str">
        <f t="shared" si="216"/>
        <v>1+0.675086804021579i</v>
      </c>
      <c r="AK382" s="98">
        <f t="shared" si="231"/>
        <v>1.2065414178402951</v>
      </c>
      <c r="AL382" s="98">
        <f t="shared" si="232"/>
        <v>0.59380929781598557</v>
      </c>
      <c r="AM382" s="98" t="str">
        <f t="shared" si="217"/>
        <v>1+68.1837672061795i</v>
      </c>
      <c r="AN382" s="98">
        <f t="shared" si="233"/>
        <v>68.19109993559627</v>
      </c>
      <c r="AO382" s="98">
        <f t="shared" si="234"/>
        <v>1.5561311308014876</v>
      </c>
      <c r="AP382" s="168" t="str">
        <f t="shared" si="235"/>
        <v>-0.621176671833707+0.432743089931604i</v>
      </c>
      <c r="AQ382" s="98">
        <f t="shared" si="236"/>
        <v>-2.4174910151488147</v>
      </c>
      <c r="AR382" s="169">
        <f t="shared" si="237"/>
        <v>145.13697956336253</v>
      </c>
      <c r="AS382" s="168" t="str">
        <f t="shared" si="238"/>
        <v>0.0694984046420792+0.0362617310473003i</v>
      </c>
      <c r="AT382" s="190">
        <f t="shared" si="239"/>
        <v>-22.114822552852743</v>
      </c>
      <c r="AU382" s="169">
        <f t="shared" si="240"/>
        <v>27.55390920970471</v>
      </c>
      <c r="AV382" s="225"/>
      <c r="AX382">
        <f t="shared" si="241"/>
        <v>0</v>
      </c>
      <c r="AY382">
        <f t="shared" si="242"/>
        <v>0</v>
      </c>
    </row>
    <row r="383" spans="14:51" x14ac:dyDescent="0.2">
      <c r="N383" s="170">
        <v>65</v>
      </c>
      <c r="O383" s="199">
        <f t="shared" si="208"/>
        <v>44668.359215096389</v>
      </c>
      <c r="P383" s="189" t="str">
        <f t="shared" si="209"/>
        <v>6.8875</v>
      </c>
      <c r="Q383" s="160" t="str">
        <f t="shared" si="210"/>
        <v>1+70.1648945790285i</v>
      </c>
      <c r="R383" s="160">
        <f t="shared" si="218"/>
        <v>70.172020287905241</v>
      </c>
      <c r="S383" s="160">
        <f t="shared" si="219"/>
        <v>1.5565451502427905</v>
      </c>
      <c r="T383" s="160" t="str">
        <f t="shared" si="211"/>
        <v>1+0.112263831326446i</v>
      </c>
      <c r="U383" s="160">
        <f t="shared" si="220"/>
        <v>1.0062818530730309</v>
      </c>
      <c r="V383" s="160">
        <f t="shared" si="221"/>
        <v>0.11179573929052423</v>
      </c>
      <c r="W383" s="98" t="str">
        <f t="shared" si="212"/>
        <v>1-0.291543883292362i</v>
      </c>
      <c r="X383" s="160">
        <f t="shared" si="222"/>
        <v>1.041632293991114</v>
      </c>
      <c r="Y383" s="160">
        <f t="shared" si="223"/>
        <v>-0.28368094831627028</v>
      </c>
      <c r="Z383" s="98" t="str">
        <f t="shared" si="213"/>
        <v>0.958775572004775+0.334197944330625i</v>
      </c>
      <c r="AA383" s="160">
        <f t="shared" si="224"/>
        <v>1.0153515959843167</v>
      </c>
      <c r="AB383" s="160">
        <f t="shared" si="225"/>
        <v>0.3353980248741037</v>
      </c>
      <c r="AC383" s="171" t="str">
        <f t="shared" si="226"/>
        <v>-0.0479568714837171-0.0892570995007665i</v>
      </c>
      <c r="AD383" s="190">
        <f t="shared" si="227"/>
        <v>-19.885694947661278</v>
      </c>
      <c r="AE383" s="169">
        <f t="shared" si="228"/>
        <v>-118.24865605067774</v>
      </c>
      <c r="AF383" s="98" t="str">
        <f t="shared" si="214"/>
        <v>-0.0000816326530612245</v>
      </c>
      <c r="AG383" s="98" t="str">
        <f t="shared" si="215"/>
        <v>0.00623625583018404i</v>
      </c>
      <c r="AH383" s="98">
        <f t="shared" si="229"/>
        <v>6.23625583018404E-3</v>
      </c>
      <c r="AI383" s="98">
        <f t="shared" si="230"/>
        <v>1.5707963267948966</v>
      </c>
      <c r="AJ383" s="98" t="str">
        <f t="shared" si="216"/>
        <v>1+0.690811595736495i</v>
      </c>
      <c r="AK383" s="98">
        <f t="shared" si="231"/>
        <v>1.215409667891449</v>
      </c>
      <c r="AL383" s="98">
        <f t="shared" si="232"/>
        <v>0.6045325940441697</v>
      </c>
      <c r="AM383" s="98" t="str">
        <f t="shared" si="217"/>
        <v>1+69.771971169386i</v>
      </c>
      <c r="AN383" s="98">
        <f t="shared" si="233"/>
        <v>69.779137002843711</v>
      </c>
      <c r="AO383" s="98">
        <f t="shared" si="234"/>
        <v>1.5564649051783306</v>
      </c>
      <c r="AP383" s="168" t="str">
        <f t="shared" si="235"/>
        <v>-0.612144897825325+0.43596680399038i</v>
      </c>
      <c r="AQ383" s="98">
        <f t="shared" si="236"/>
        <v>-2.4811420853664741</v>
      </c>
      <c r="AR383" s="169">
        <f t="shared" si="237"/>
        <v>144.54170381012167</v>
      </c>
      <c r="AS383" s="168" t="str">
        <f t="shared" si="238"/>
        <v>0.0682696865972228+0.033730674063948i</v>
      </c>
      <c r="AT383" s="190">
        <f t="shared" si="239"/>
        <v>-22.36683703302775</v>
      </c>
      <c r="AU383" s="169">
        <f t="shared" si="240"/>
        <v>26.29304775944393</v>
      </c>
      <c r="AV383" s="225"/>
      <c r="AX383">
        <f t="shared" si="241"/>
        <v>0</v>
      </c>
      <c r="AY383">
        <f t="shared" si="242"/>
        <v>0</v>
      </c>
    </row>
    <row r="384" spans="14:51" x14ac:dyDescent="0.2">
      <c r="N384" s="170">
        <v>66</v>
      </c>
      <c r="O384" s="199">
        <f t="shared" ref="O384:O418" si="243">10^(4+(N384/100))</f>
        <v>45708.818961487581</v>
      </c>
      <c r="P384" s="189" t="str">
        <f t="shared" si="209"/>
        <v>6.8875</v>
      </c>
      <c r="Q384" s="160" t="str">
        <f t="shared" si="210"/>
        <v>1+71.7992449268375i</v>
      </c>
      <c r="R384" s="160">
        <f t="shared" si="218"/>
        <v>71.806208450690391</v>
      </c>
      <c r="S384" s="160">
        <f t="shared" si="219"/>
        <v>1.5568695041931595</v>
      </c>
      <c r="T384" s="160" t="str">
        <f t="shared" si="211"/>
        <v>1+0.11487879188294i</v>
      </c>
      <c r="U384" s="160">
        <f t="shared" si="220"/>
        <v>1.0065769403401232</v>
      </c>
      <c r="V384" s="160">
        <f t="shared" si="221"/>
        <v>0.11437739905991781</v>
      </c>
      <c r="W384" s="98" t="str">
        <f t="shared" si="212"/>
        <v>1-0.298334812715391i</v>
      </c>
      <c r="X384" s="160">
        <f t="shared" si="222"/>
        <v>1.0435533817097846</v>
      </c>
      <c r="Y384" s="160">
        <f t="shared" si="223"/>
        <v>-0.28992840043503476</v>
      </c>
      <c r="Z384" s="98" t="str">
        <f t="shared" si="213"/>
        <v>0.956832724569131+0.341982414468161i</v>
      </c>
      <c r="AA384" s="160">
        <f t="shared" si="224"/>
        <v>1.0161106409303367</v>
      </c>
      <c r="AB384" s="160">
        <f t="shared" si="225"/>
        <v>0.34326161298715324</v>
      </c>
      <c r="AC384" s="171" t="str">
        <f t="shared" si="226"/>
        <v>-0.0479626390745754-0.0867845312201486i</v>
      </c>
      <c r="AD384" s="190">
        <f t="shared" si="227"/>
        <v>-20.073594726687869</v>
      </c>
      <c r="AE384" s="169">
        <f t="shared" si="228"/>
        <v>-118.92782500399954</v>
      </c>
      <c r="AF384" s="98" t="str">
        <f t="shared" si="214"/>
        <v>-0.0000816326530612245</v>
      </c>
      <c r="AG384" s="98" t="str">
        <f t="shared" si="215"/>
        <v>0.00638151688909733i</v>
      </c>
      <c r="AH384" s="98">
        <f t="shared" si="229"/>
        <v>6.3815168890973299E-3</v>
      </c>
      <c r="AI384" s="98">
        <f t="shared" si="230"/>
        <v>1.5707963267948966</v>
      </c>
      <c r="AJ384" s="98" t="str">
        <f t="shared" si="216"/>
        <v>1+0.706902664903438i</v>
      </c>
      <c r="AK384" s="98">
        <f t="shared" si="231"/>
        <v>1.2246270361410376</v>
      </c>
      <c r="AL384" s="98">
        <f t="shared" si="232"/>
        <v>0.61534361805433313</v>
      </c>
      <c r="AM384" s="98" t="str">
        <f t="shared" si="217"/>
        <v>1+71.3971691552473i</v>
      </c>
      <c r="AN384" s="98">
        <f t="shared" si="233"/>
        <v>71.40417189060453</v>
      </c>
      <c r="AO384" s="98">
        <f t="shared" si="234"/>
        <v>1.5567910850085604</v>
      </c>
      <c r="AP384" s="168" t="str">
        <f t="shared" si="235"/>
        <v>-0.602964746384566+0.439029431351604i</v>
      </c>
      <c r="AQ384" s="98">
        <f t="shared" si="236"/>
        <v>-2.5468053602789285</v>
      </c>
      <c r="AR384" s="169">
        <f t="shared" si="237"/>
        <v>143.94096648975923</v>
      </c>
      <c r="AS384" s="168" t="str">
        <f t="shared" si="238"/>
        <v>0.0670207438972332+0.0312710026982273i</v>
      </c>
      <c r="AT384" s="190">
        <f t="shared" si="239"/>
        <v>-22.620400086966796</v>
      </c>
      <c r="AU384" s="169">
        <f t="shared" si="240"/>
        <v>25.013141485759718</v>
      </c>
      <c r="AV384" s="225"/>
      <c r="AX384">
        <f t="shared" si="241"/>
        <v>0</v>
      </c>
      <c r="AY384">
        <f t="shared" si="242"/>
        <v>0</v>
      </c>
    </row>
    <row r="385" spans="14:51" x14ac:dyDescent="0.2">
      <c r="N385" s="170">
        <v>67</v>
      </c>
      <c r="O385" s="199">
        <f t="shared" si="243"/>
        <v>46773.514128719893</v>
      </c>
      <c r="P385" s="189" t="str">
        <f t="shared" si="209"/>
        <v>6.8875</v>
      </c>
      <c r="Q385" s="160" t="str">
        <f t="shared" si="210"/>
        <v>1+73.4716641846825i</v>
      </c>
      <c r="R385" s="160">
        <f t="shared" si="218"/>
        <v>73.478469214231438</v>
      </c>
      <c r="S385" s="160">
        <f t="shared" si="219"/>
        <v>1.5571864777779936</v>
      </c>
      <c r="T385" s="160" t="str">
        <f t="shared" si="211"/>
        <v>1+0.117554662695492i</v>
      </c>
      <c r="U385" s="160">
        <f t="shared" si="220"/>
        <v>1.006885841951038</v>
      </c>
      <c r="V385" s="160">
        <f t="shared" si="221"/>
        <v>0.11701760884253365</v>
      </c>
      <c r="W385" s="98" t="str">
        <f t="shared" si="212"/>
        <v>1-0.305283923205052i</v>
      </c>
      <c r="X385" s="160">
        <f t="shared" si="222"/>
        <v>1.0455612243037078</v>
      </c>
      <c r="Y385" s="160">
        <f t="shared" si="223"/>
        <v>-0.29629735300439625</v>
      </c>
      <c r="Z385" s="98" t="str">
        <f t="shared" si="213"/>
        <v>0.954798313554761+0.349948208208522i</v>
      </c>
      <c r="AA385" s="160">
        <f t="shared" si="224"/>
        <v>1.0169088297361619</v>
      </c>
      <c r="AB385" s="160">
        <f t="shared" si="225"/>
        <v>0.35131137597005008</v>
      </c>
      <c r="AC385" s="171" t="str">
        <f t="shared" si="226"/>
        <v>-0.0479626367660404-0.0843580349337032i</v>
      </c>
      <c r="AD385" s="190">
        <f t="shared" si="227"/>
        <v>-20.261016072908753</v>
      </c>
      <c r="AE385" s="169">
        <f t="shared" si="228"/>
        <v>-119.62084492219854</v>
      </c>
      <c r="AF385" s="98" t="str">
        <f t="shared" si="214"/>
        <v>-0.0000816326530612245</v>
      </c>
      <c r="AG385" s="98" t="str">
        <f t="shared" si="215"/>
        <v>0.00653016151273457i</v>
      </c>
      <c r="AH385" s="98">
        <f t="shared" si="229"/>
        <v>6.5301615127345697E-3</v>
      </c>
      <c r="AI385" s="98">
        <f t="shared" si="230"/>
        <v>1.5707963267948966</v>
      </c>
      <c r="AJ385" s="98" t="str">
        <f t="shared" si="216"/>
        <v>1+0.72336854322028i</v>
      </c>
      <c r="AK385" s="98">
        <f t="shared" si="231"/>
        <v>1.2342050272627438</v>
      </c>
      <c r="AL385" s="98">
        <f t="shared" si="232"/>
        <v>0.62623799350832587</v>
      </c>
      <c r="AM385" s="98" t="str">
        <f t="shared" si="217"/>
        <v>1+73.0602228652483i</v>
      </c>
      <c r="AN385" s="98">
        <f t="shared" si="233"/>
        <v>73.067066213991055</v>
      </c>
      <c r="AO385" s="98">
        <f t="shared" si="234"/>
        <v>1.5571098429592543</v>
      </c>
      <c r="AP385" s="168" t="str">
        <f t="shared" si="235"/>
        <v>-0.593642499579523+0.441923172903565i</v>
      </c>
      <c r="AQ385" s="98">
        <f t="shared" si="236"/>
        <v>-2.614513056569026</v>
      </c>
      <c r="AR385" s="169">
        <f t="shared" si="237"/>
        <v>143.33502824107555</v>
      </c>
      <c r="AS385" s="168" t="str">
        <f t="shared" si="238"/>
        <v>0.0657524300340288+0.0288827140971905i</v>
      </c>
      <c r="AT385" s="190">
        <f t="shared" si="239"/>
        <v>-22.875529129477783</v>
      </c>
      <c r="AU385" s="169">
        <f t="shared" si="240"/>
        <v>23.714183318876994</v>
      </c>
      <c r="AV385" s="225"/>
      <c r="AX385">
        <f t="shared" si="241"/>
        <v>0</v>
      </c>
      <c r="AY385">
        <f t="shared" si="242"/>
        <v>0</v>
      </c>
    </row>
    <row r="386" spans="14:51" x14ac:dyDescent="0.2">
      <c r="N386" s="170">
        <v>68</v>
      </c>
      <c r="O386" s="199">
        <f t="shared" si="243"/>
        <v>47863.009232263823</v>
      </c>
      <c r="P386" s="189" t="str">
        <f t="shared" si="209"/>
        <v>6.8875</v>
      </c>
      <c r="Q386" s="160" t="str">
        <f t="shared" si="210"/>
        <v>1+75.1830390913903i</v>
      </c>
      <c r="R386" s="160">
        <f t="shared" si="218"/>
        <v>75.189689233414981</v>
      </c>
      <c r="S386" s="160">
        <f t="shared" si="219"/>
        <v>1.5574962388059603</v>
      </c>
      <c r="T386" s="160" t="str">
        <f t="shared" si="211"/>
        <v>1+0.120292862546224i</v>
      </c>
      <c r="U386" s="160">
        <f t="shared" si="220"/>
        <v>1.0072092001066932</v>
      </c>
      <c r="V386" s="160">
        <f t="shared" si="221"/>
        <v>0.1197176212000489</v>
      </c>
      <c r="W386" s="98" t="str">
        <f t="shared" si="212"/>
        <v>1-0.312394899271705i</v>
      </c>
      <c r="X386" s="160">
        <f t="shared" si="222"/>
        <v>1.0476595692738069</v>
      </c>
      <c r="Y386" s="160">
        <f t="shared" si="223"/>
        <v>-0.30278911538045877</v>
      </c>
      <c r="Z386" s="98" t="str">
        <f t="shared" si="213"/>
        <v>0.952668023703145+0.358099549120986i</v>
      </c>
      <c r="AA386" s="160">
        <f t="shared" si="224"/>
        <v>1.0177483237358387</v>
      </c>
      <c r="AB386" s="160">
        <f t="shared" si="225"/>
        <v>0.35955178796415177</v>
      </c>
      <c r="AC386" s="171" t="str">
        <f t="shared" si="226"/>
        <v>-0.0479568385462005-0.0819763498593255i</v>
      </c>
      <c r="AD386" s="190">
        <f t="shared" si="227"/>
        <v>-20.447944109926741</v>
      </c>
      <c r="AE386" s="169">
        <f t="shared" si="228"/>
        <v>-120.32798502350114</v>
      </c>
      <c r="AF386" s="98" t="str">
        <f t="shared" si="214"/>
        <v>-0.0000816326530612245</v>
      </c>
      <c r="AG386" s="98" t="str">
        <f t="shared" si="215"/>
        <v>0.00668226851444277i</v>
      </c>
      <c r="AH386" s="98">
        <f t="shared" si="229"/>
        <v>6.6822685144427704E-3</v>
      </c>
      <c r="AI386" s="98">
        <f t="shared" si="230"/>
        <v>1.5707963267948966</v>
      </c>
      <c r="AJ386" s="98" t="str">
        <f t="shared" si="216"/>
        <v>1+0.740217961113648i</v>
      </c>
      <c r="AK386" s="98">
        <f t="shared" si="231"/>
        <v>1.2441553881872014</v>
      </c>
      <c r="AL386" s="98">
        <f t="shared" si="232"/>
        <v>0.63721115274338691</v>
      </c>
      <c r="AM386" s="98" t="str">
        <f t="shared" si="217"/>
        <v>1+74.7620140724785i</v>
      </c>
      <c r="AN386" s="98">
        <f t="shared" si="233"/>
        <v>74.768701661681078</v>
      </c>
      <c r="AO386" s="98">
        <f t="shared" si="234"/>
        <v>1.557421347780845</v>
      </c>
      <c r="AP386" s="168" t="str">
        <f t="shared" si="235"/>
        <v>-0.584184941142354+0.444640494457239i</v>
      </c>
      <c r="AQ386" s="98">
        <f t="shared" si="236"/>
        <v>-2.6842959419989745</v>
      </c>
      <c r="AR386" s="169">
        <f t="shared" si="237"/>
        <v>142.72416044055674</v>
      </c>
      <c r="AS386" s="168" t="str">
        <f t="shared" si="238"/>
        <v>0.0644656676387356+0.0265657967138465i</v>
      </c>
      <c r="AT386" s="190">
        <f t="shared" si="239"/>
        <v>-23.13224005192572</v>
      </c>
      <c r="AU386" s="169">
        <f t="shared" si="240"/>
        <v>22.396175417055574</v>
      </c>
      <c r="AV386" s="225"/>
      <c r="AX386">
        <f t="shared" si="241"/>
        <v>0</v>
      </c>
      <c r="AY386">
        <f t="shared" si="242"/>
        <v>0</v>
      </c>
    </row>
    <row r="387" spans="14:51" x14ac:dyDescent="0.2">
      <c r="N387" s="170">
        <v>69</v>
      </c>
      <c r="O387" s="199">
        <f t="shared" si="243"/>
        <v>48977.881936844598</v>
      </c>
      <c r="P387" s="189" t="str">
        <f t="shared" si="209"/>
        <v>6.8875</v>
      </c>
      <c r="Q387" s="160" t="str">
        <f t="shared" si="210"/>
        <v>1+76.9342770405895i</v>
      </c>
      <c r="R387" s="160">
        <f t="shared" si="218"/>
        <v>76.940775819835466</v>
      </c>
      <c r="S387" s="160">
        <f t="shared" si="219"/>
        <v>1.5577989512785433</v>
      </c>
      <c r="T387" s="160" t="str">
        <f t="shared" si="211"/>
        <v>1+0.123094843264943i</v>
      </c>
      <c r="U387" s="160">
        <f t="shared" si="220"/>
        <v>1.0075476864339576</v>
      </c>
      <c r="V387" s="160">
        <f t="shared" si="221"/>
        <v>0.12247871016387424</v>
      </c>
      <c r="W387" s="98" t="str">
        <f t="shared" si="212"/>
        <v>1-0.319671511248987i</v>
      </c>
      <c r="X387" s="160">
        <f t="shared" si="222"/>
        <v>1.0498523110915225</v>
      </c>
      <c r="Y387" s="160">
        <f t="shared" si="223"/>
        <v>-0.30940494012805098</v>
      </c>
      <c r="Z387" s="98" t="str">
        <f t="shared" si="213"/>
        <v>0.950437336383895+0.366440759154402i</v>
      </c>
      <c r="AA387" s="160">
        <f t="shared" si="224"/>
        <v>1.0186314153618903</v>
      </c>
      <c r="AB387" s="160">
        <f t="shared" si="225"/>
        <v>0.36798742803251688</v>
      </c>
      <c r="AC387" s="171" t="str">
        <f t="shared" si="226"/>
        <v>-0.047945204121363-0.0796382413004203i</v>
      </c>
      <c r="AD387" s="190">
        <f t="shared" si="227"/>
        <v>-20.634363931400902</v>
      </c>
      <c r="AE387" s="169">
        <f t="shared" si="228"/>
        <v>-121.04951583554278</v>
      </c>
      <c r="AF387" s="98" t="str">
        <f t="shared" si="214"/>
        <v>-0.0000816326530612245</v>
      </c>
      <c r="AG387" s="98" t="str">
        <f t="shared" si="215"/>
        <v>0.00683791854336761i</v>
      </c>
      <c r="AH387" s="98">
        <f t="shared" si="229"/>
        <v>6.8379185433676097E-3</v>
      </c>
      <c r="AI387" s="98">
        <f t="shared" si="230"/>
        <v>1.5707963267948966</v>
      </c>
      <c r="AJ387" s="98" t="str">
        <f t="shared" si="216"/>
        <v>1+0.757459852367943i</v>
      </c>
      <c r="AK387" s="98">
        <f t="shared" si="231"/>
        <v>1.2544901067562335</v>
      </c>
      <c r="AL387" s="98">
        <f t="shared" si="232"/>
        <v>0.64825834392205361</v>
      </c>
      <c r="AM387" s="98" t="str">
        <f t="shared" si="217"/>
        <v>1+76.5034450891622i</v>
      </c>
      <c r="AN387" s="98">
        <f t="shared" si="233"/>
        <v>76.509980463403963</v>
      </c>
      <c r="AO387" s="98">
        <f t="shared" si="234"/>
        <v>1.5577257643953577</v>
      </c>
      <c r="AP387" s="168" t="str">
        <f t="shared" si="235"/>
        <v>-0.574599343968656+0.447174165535658i</v>
      </c>
      <c r="AQ387" s="98">
        <f t="shared" si="236"/>
        <v>-2.7561832259459349</v>
      </c>
      <c r="AR387" s="169">
        <f t="shared" si="237"/>
        <v>142.10864479777013</v>
      </c>
      <c r="AS387" s="168" t="str">
        <f t="shared" si="238"/>
        <v>0.0631614469328213+0.0243202245616317i</v>
      </c>
      <c r="AT387" s="190">
        <f t="shared" si="239"/>
        <v>-23.390547157346838</v>
      </c>
      <c r="AU387" s="169">
        <f t="shared" si="240"/>
        <v>21.059128962227323</v>
      </c>
      <c r="AV387" s="225"/>
      <c r="AX387">
        <f t="shared" si="241"/>
        <v>0</v>
      </c>
      <c r="AY387">
        <f t="shared" si="242"/>
        <v>0</v>
      </c>
    </row>
    <row r="388" spans="14:51" x14ac:dyDescent="0.2">
      <c r="N388" s="170">
        <v>70</v>
      </c>
      <c r="O388" s="199">
        <f t="shared" si="243"/>
        <v>50118.723362727294</v>
      </c>
      <c r="P388" s="189" t="str">
        <f t="shared" si="209"/>
        <v>6.8875</v>
      </c>
      <c r="Q388" s="160" t="str">
        <f t="shared" si="210"/>
        <v>1+78.7263065618215i</v>
      </c>
      <c r="R388" s="160">
        <f t="shared" si="218"/>
        <v>78.732657422862957</v>
      </c>
      <c r="S388" s="160">
        <f t="shared" si="219"/>
        <v>1.5580947754758627</v>
      </c>
      <c r="T388" s="160" t="str">
        <f t="shared" si="211"/>
        <v>1+0.125962090498914i</v>
      </c>
      <c r="U388" s="160">
        <f t="shared" si="220"/>
        <v>1.0079020032934038</v>
      </c>
      <c r="V388" s="160">
        <f t="shared" si="221"/>
        <v>0.12530217121383228</v>
      </c>
      <c r="W388" s="98" t="str">
        <f t="shared" si="212"/>
        <v>1-0.327117617292887i</v>
      </c>
      <c r="X388" s="160">
        <f t="shared" si="222"/>
        <v>1.0521434956997908</v>
      </c>
      <c r="Y388" s="160">
        <f t="shared" si="223"/>
        <v>-0.31614601766995731</v>
      </c>
      <c r="Z388" s="98" t="str">
        <f t="shared" si="213"/>
        <v>0.948101520010133+0.37497626092874i</v>
      </c>
      <c r="AA388" s="160">
        <f t="shared" si="224"/>
        <v>1.0195605369499268</v>
      </c>
      <c r="AB388" s="160">
        <f t="shared" si="225"/>
        <v>0.37662298160080887</v>
      </c>
      <c r="AC388" s="171" t="str">
        <f t="shared" si="226"/>
        <v>-0.047927678707722-0.0773425003394777i</v>
      </c>
      <c r="AD388" s="190">
        <f t="shared" si="227"/>
        <v>-20.820260650998307</v>
      </c>
      <c r="AE388" s="169">
        <f t="shared" si="228"/>
        <v>-121.78570897748881</v>
      </c>
      <c r="AF388" s="98" t="str">
        <f t="shared" si="214"/>
        <v>-0.0000816326530612245</v>
      </c>
      <c r="AG388" s="98" t="str">
        <f t="shared" si="215"/>
        <v>0.0069971941272147i</v>
      </c>
      <c r="AH388" s="98">
        <f t="shared" si="229"/>
        <v>6.9971941272146997E-3</v>
      </c>
      <c r="AI388" s="98">
        <f t="shared" si="230"/>
        <v>1.5707963267948966</v>
      </c>
      <c r="AJ388" s="98" t="str">
        <f t="shared" si="216"/>
        <v>1+0.775103358862132i</v>
      </c>
      <c r="AK388" s="98">
        <f t="shared" si="231"/>
        <v>1.2652214102359156</v>
      </c>
      <c r="AL388" s="98">
        <f t="shared" si="232"/>
        <v>0.65937463916591577</v>
      </c>
      <c r="AM388" s="98" t="str">
        <f t="shared" si="217"/>
        <v>1+78.2854392450753i</v>
      </c>
      <c r="AN388" s="98">
        <f t="shared" si="233"/>
        <v>78.291825868313836</v>
      </c>
      <c r="AO388" s="98">
        <f t="shared" si="234"/>
        <v>1.5580232539827004</v>
      </c>
      <c r="AP388" s="168" t="str">
        <f t="shared" si="235"/>
        <v>-0.5648934541097+0.449517297641242i</v>
      </c>
      <c r="AQ388" s="98">
        <f t="shared" si="236"/>
        <v>-2.8302024530825847</v>
      </c>
      <c r="AR388" s="169">
        <f t="shared" si="237"/>
        <v>141.48877289427932</v>
      </c>
      <c r="AS388" s="168" t="str">
        <f t="shared" si="238"/>
        <v>0.0618408237180839+0.0221459515513353i</v>
      </c>
      <c r="AT388" s="190">
        <f t="shared" si="239"/>
        <v>-23.650463104080892</v>
      </c>
      <c r="AU388" s="169">
        <f t="shared" si="240"/>
        <v>19.70306391679048</v>
      </c>
      <c r="AV388" s="225"/>
      <c r="AX388">
        <f t="shared" si="241"/>
        <v>0</v>
      </c>
      <c r="AY388">
        <f t="shared" si="242"/>
        <v>0</v>
      </c>
    </row>
    <row r="389" spans="14:51" x14ac:dyDescent="0.2">
      <c r="N389" s="170">
        <v>71</v>
      </c>
      <c r="O389" s="199">
        <f t="shared" si="243"/>
        <v>51286.138399136544</v>
      </c>
      <c r="P389" s="189" t="str">
        <f t="shared" si="209"/>
        <v>6.8875</v>
      </c>
      <c r="Q389" s="160" t="str">
        <f t="shared" si="210"/>
        <v>1+80.5600778128585i</v>
      </c>
      <c r="R389" s="160">
        <f t="shared" si="218"/>
        <v>80.566284121919239</v>
      </c>
      <c r="S389" s="160">
        <f t="shared" si="219"/>
        <v>1.5583838680405997</v>
      </c>
      <c r="T389" s="160" t="str">
        <f t="shared" si="211"/>
        <v>1+0.128896124500574i</v>
      </c>
      <c r="U389" s="160">
        <f t="shared" si="220"/>
        <v>1.0082728851413527</v>
      </c>
      <c r="V389" s="160">
        <f t="shared" si="221"/>
        <v>0.12818932122255755</v>
      </c>
      <c r="W389" s="98" t="str">
        <f t="shared" si="212"/>
        <v>1-0.33473716542739i</v>
      </c>
      <c r="X389" s="160">
        <f t="shared" si="222"/>
        <v>1.0545373250475127</v>
      </c>
      <c r="Y389" s="160">
        <f t="shared" si="223"/>
        <v>-0.32301347073283182</v>
      </c>
      <c r="Z389" s="98" t="str">
        <f t="shared" si="213"/>
        <v>0.945655620002161+0.38371058008002i</v>
      </c>
      <c r="AA389" s="160">
        <f t="shared" si="224"/>
        <v>1.0205382701824646</v>
      </c>
      <c r="AB389" s="160">
        <f t="shared" si="225"/>
        <v>0.38546324174268376</v>
      </c>
      <c r="AC389" s="171" t="str">
        <f t="shared" si="226"/>
        <v>-0.047904192790745-0.0750879435804428i</v>
      </c>
      <c r="AD389" s="190">
        <f t="shared" si="227"/>
        <v>-21.005619458112399</v>
      </c>
      <c r="AE389" s="169">
        <f t="shared" si="228"/>
        <v>-122.53683692344983</v>
      </c>
      <c r="AF389" s="98" t="str">
        <f t="shared" si="214"/>
        <v>-0.0000816326530612245</v>
      </c>
      <c r="AG389" s="98" t="str">
        <f t="shared" si="215"/>
        <v>0.00716017971600685i</v>
      </c>
      <c r="AH389" s="98">
        <f t="shared" si="229"/>
        <v>7.1601797160068502E-3</v>
      </c>
      <c r="AI389" s="98">
        <f t="shared" si="230"/>
        <v>1.5707963267948966</v>
      </c>
      <c r="AJ389" s="98" t="str">
        <f t="shared" si="216"/>
        <v>1+0.793157835416896i</v>
      </c>
      <c r="AK389" s="98">
        <f t="shared" si="231"/>
        <v>1.2763617637187412</v>
      </c>
      <c r="AL389" s="98">
        <f t="shared" si="232"/>
        <v>0.67055494365535673</v>
      </c>
      <c r="AM389" s="98" t="str">
        <f t="shared" si="217"/>
        <v>1+80.1089413771065i</v>
      </c>
      <c r="AN389" s="98">
        <f t="shared" si="233"/>
        <v>80.115182634508713</v>
      </c>
      <c r="AO389" s="98">
        <f t="shared" si="234"/>
        <v>1.5583139740650462</v>
      </c>
      <c r="AP389" s="168" t="str">
        <f t="shared" si="235"/>
        <v>-0.555075471258397+0.451663381641265i</v>
      </c>
      <c r="AQ389" s="98">
        <f t="shared" si="236"/>
        <v>-2.9063794009788069</v>
      </c>
      <c r="AR389" s="169">
        <f t="shared" si="237"/>
        <v>140.86484566710132</v>
      </c>
      <c r="AS389" s="168" t="str">
        <f t="shared" si="238"/>
        <v>0.0605049169066072+0.0200429059580752i</v>
      </c>
      <c r="AT389" s="190">
        <f t="shared" si="239"/>
        <v>-23.911998859091206</v>
      </c>
      <c r="AU389" s="169">
        <f t="shared" si="240"/>
        <v>18.328008743651491</v>
      </c>
      <c r="AV389" s="225"/>
      <c r="AX389">
        <f t="shared" si="241"/>
        <v>0</v>
      </c>
      <c r="AY389">
        <f t="shared" si="242"/>
        <v>0</v>
      </c>
    </row>
    <row r="390" spans="14:51" x14ac:dyDescent="0.2">
      <c r="N390" s="170">
        <v>72</v>
      </c>
      <c r="O390" s="199">
        <f t="shared" si="243"/>
        <v>52480.746024977314</v>
      </c>
      <c r="P390" s="189" t="str">
        <f t="shared" si="209"/>
        <v>6.8875</v>
      </c>
      <c r="Q390" s="160" t="str">
        <f t="shared" si="210"/>
        <v>1+82.4365630834903i</v>
      </c>
      <c r="R390" s="160">
        <f t="shared" si="218"/>
        <v>82.442628130223241</v>
      </c>
      <c r="S390" s="160">
        <f t="shared" si="219"/>
        <v>1.5586663820600615</v>
      </c>
      <c r="T390" s="160" t="str">
        <f t="shared" si="211"/>
        <v>1+0.131898500933584i</v>
      </c>
      <c r="U390" s="160">
        <f t="shared" si="220"/>
        <v>1.0086610999481078</v>
      </c>
      <c r="V390" s="160">
        <f t="shared" si="221"/>
        <v>0.13114149836278671</v>
      </c>
      <c r="W390" s="98" t="str">
        <f t="shared" si="212"/>
        <v>1-0.342534195637771i</v>
      </c>
      <c r="X390" s="160">
        <f t="shared" si="222"/>
        <v>1.0570381616484879</v>
      </c>
      <c r="Y390" s="160">
        <f t="shared" si="223"/>
        <v>-0.33000834859631356</v>
      </c>
      <c r="Z390" s="98" t="str">
        <f t="shared" si="213"/>
        <v>0.943094448278137+0.392648347659867i</v>
      </c>
      <c r="AA390" s="160">
        <f t="shared" si="224"/>
        <v>1.0215673562193868</v>
      </c>
      <c r="AB390" s="160">
        <f t="shared" si="225"/>
        <v>0.39451311028026415</v>
      </c>
      <c r="AC390" s="171" t="str">
        <f t="shared" si="226"/>
        <v>-0.0478746618529931-0.0728734129436251i</v>
      </c>
      <c r="AD390" s="190">
        <f t="shared" si="227"/>
        <v>-21.190425679752735</v>
      </c>
      <c r="AE390" s="169">
        <f t="shared" si="228"/>
        <v>-123.30317274604667</v>
      </c>
      <c r="AF390" s="98" t="str">
        <f t="shared" si="214"/>
        <v>-0.0000816326530612245</v>
      </c>
      <c r="AG390" s="98" t="str">
        <f t="shared" si="215"/>
        <v>0.00732696172686061i</v>
      </c>
      <c r="AH390" s="98">
        <f t="shared" si="229"/>
        <v>7.3269617268606098E-3</v>
      </c>
      <c r="AI390" s="98">
        <f t="shared" si="230"/>
        <v>1.5707963267948966</v>
      </c>
      <c r="AJ390" s="98" t="str">
        <f t="shared" si="216"/>
        <v>1+0.811632854754681i</v>
      </c>
      <c r="AK390" s="98">
        <f t="shared" si="231"/>
        <v>1.2879238684476786</v>
      </c>
      <c r="AL390" s="98">
        <f t="shared" si="232"/>
        <v>0.68179400566812021</v>
      </c>
      <c r="AM390" s="98" t="str">
        <f t="shared" si="217"/>
        <v>1+81.9749183302227i</v>
      </c>
      <c r="AN390" s="98">
        <f t="shared" si="233"/>
        <v>81.981017529954343</v>
      </c>
      <c r="AO390" s="98">
        <f t="shared" si="234"/>
        <v>1.558598078589349</v>
      </c>
      <c r="AP390" s="168" t="str">
        <f t="shared" si="235"/>
        <v>-0.545154025771385+0.453606323906084i</v>
      </c>
      <c r="AQ390" s="98">
        <f t="shared" si="236"/>
        <v>-2.9847379823964584</v>
      </c>
      <c r="AR390" s="169">
        <f t="shared" si="237"/>
        <v>140.23717283826733</v>
      </c>
      <c r="AS390" s="168" t="str">
        <f t="shared" si="238"/>
        <v>0.0591549055974508+0.0180109850665347i</v>
      </c>
      <c r="AT390" s="190">
        <f t="shared" si="239"/>
        <v>-24.175163662149188</v>
      </c>
      <c r="AU390" s="169">
        <f t="shared" si="240"/>
        <v>16.9340000922206</v>
      </c>
      <c r="AV390" s="225"/>
      <c r="AX390">
        <f t="shared" si="241"/>
        <v>0</v>
      </c>
      <c r="AY390">
        <f t="shared" si="242"/>
        <v>0</v>
      </c>
    </row>
    <row r="391" spans="14:51" x14ac:dyDescent="0.2">
      <c r="N391" s="170">
        <v>73</v>
      </c>
      <c r="O391" s="199">
        <f t="shared" si="243"/>
        <v>53703.179637025423</v>
      </c>
      <c r="P391" s="189" t="str">
        <f t="shared" si="209"/>
        <v>6.8875</v>
      </c>
      <c r="Q391" s="160" t="str">
        <f t="shared" si="210"/>
        <v>1+84.356757311046i</v>
      </c>
      <c r="R391" s="160">
        <f t="shared" si="218"/>
        <v>84.362684310272584</v>
      </c>
      <c r="S391" s="160">
        <f t="shared" si="219"/>
        <v>1.5589424671464283</v>
      </c>
      <c r="T391" s="160" t="str">
        <f t="shared" si="211"/>
        <v>1+0.134970811697674i</v>
      </c>
      <c r="U391" s="160">
        <f t="shared" si="220"/>
        <v>1.0090674506742991</v>
      </c>
      <c r="V391" s="160">
        <f t="shared" si="221"/>
        <v>0.13416006197459243</v>
      </c>
      <c r="W391" s="98" t="str">
        <f t="shared" si="212"/>
        <v>1-0.350512842012656i</v>
      </c>
      <c r="X391" s="160">
        <f t="shared" si="222"/>
        <v>1.0596505331550536</v>
      </c>
      <c r="Y391" s="160">
        <f t="shared" si="223"/>
        <v>-0.33713162115375311</v>
      </c>
      <c r="Z391" s="98" t="str">
        <f t="shared" si="213"/>
        <v>0.94041257224945+0.40179430259096i</v>
      </c>
      <c r="AA391" s="160">
        <f t="shared" si="224"/>
        <v>1.0226507065657282</v>
      </c>
      <c r="AB391" s="160">
        <f t="shared" si="225"/>
        <v>0.40377759866665636</v>
      </c>
      <c r="AC391" s="171" t="str">
        <f t="shared" si="226"/>
        <v>-0.0478389860713151-0.0706977755172458i</v>
      </c>
      <c r="AD391" s="190">
        <f t="shared" si="227"/>
        <v>-21.374664849021098</v>
      </c>
      <c r="AE391" s="169">
        <f t="shared" si="228"/>
        <v>-124.08498983888461</v>
      </c>
      <c r="AF391" s="98" t="str">
        <f t="shared" si="214"/>
        <v>-0.0000816326530612245</v>
      </c>
      <c r="AG391" s="98" t="str">
        <f t="shared" si="215"/>
        <v>0.00749762858980577i</v>
      </c>
      <c r="AH391" s="98">
        <f t="shared" si="229"/>
        <v>7.4976285898057703E-3</v>
      </c>
      <c r="AI391" s="98">
        <f t="shared" si="230"/>
        <v>1.5707963267948966</v>
      </c>
      <c r="AJ391" s="98" t="str">
        <f t="shared" si="216"/>
        <v>1+0.830538212575289i</v>
      </c>
      <c r="AK391" s="98">
        <f t="shared" si="231"/>
        <v>1.299920660097283</v>
      </c>
      <c r="AL391" s="98">
        <f t="shared" si="232"/>
        <v>0.69308642752024441</v>
      </c>
      <c r="AM391" s="98" t="str">
        <f t="shared" si="217"/>
        <v>1+83.8843594701042i</v>
      </c>
      <c r="AN391" s="98">
        <f t="shared" si="233"/>
        <v>83.89031984507902</v>
      </c>
      <c r="AO391" s="98">
        <f t="shared" si="234"/>
        <v>1.5588757180080302</v>
      </c>
      <c r="AP391" s="168" t="str">
        <f t="shared" si="235"/>
        <v>-0.535138152312415+0.455340480834721i</v>
      </c>
      <c r="AQ391" s="98">
        <f t="shared" si="236"/>
        <v>-3.0653001530350377</v>
      </c>
      <c r="AR391" s="169">
        <f t="shared" si="237"/>
        <v>139.60607229257619</v>
      </c>
      <c r="AS391" s="168" t="str">
        <f t="shared" si="238"/>
        <v>0.0577920257126708+0.0160500500425387i</v>
      </c>
      <c r="AT391" s="190">
        <f t="shared" si="239"/>
        <v>-24.439965002056137</v>
      </c>
      <c r="AU391" s="169">
        <f t="shared" si="240"/>
        <v>15.521082453691582</v>
      </c>
      <c r="AV391" s="225"/>
      <c r="AX391">
        <f t="shared" si="241"/>
        <v>0</v>
      </c>
      <c r="AY391">
        <f t="shared" si="242"/>
        <v>0</v>
      </c>
    </row>
    <row r="392" spans="14:51" x14ac:dyDescent="0.2">
      <c r="N392" s="170">
        <v>74</v>
      </c>
      <c r="O392" s="199">
        <f t="shared" si="243"/>
        <v>54954.087385762505</v>
      </c>
      <c r="P392" s="189" t="str">
        <f t="shared" si="209"/>
        <v>6.8875</v>
      </c>
      <c r="Q392" s="160" t="str">
        <f t="shared" si="210"/>
        <v>1+86.3216786079215i</v>
      </c>
      <c r="R392" s="160">
        <f t="shared" si="218"/>
        <v>86.327470701331748</v>
      </c>
      <c r="S392" s="160">
        <f t="shared" si="219"/>
        <v>1.5592122695152182</v>
      </c>
      <c r="T392" s="160" t="str">
        <f t="shared" si="211"/>
        <v>1+0.138114685772674i</v>
      </c>
      <c r="U392" s="160">
        <f t="shared" si="220"/>
        <v>1.0094927768072859</v>
      </c>
      <c r="V392" s="160">
        <f t="shared" si="221"/>
        <v>0.13724639238937308</v>
      </c>
      <c r="W392" s="98" t="str">
        <f t="shared" si="212"/>
        <v>1-0.358677334935962i</v>
      </c>
      <c r="X392" s="160">
        <f t="shared" si="222"/>
        <v>1.0623791369359454</v>
      </c>
      <c r="Y392" s="160">
        <f t="shared" si="223"/>
        <v>-0.34438417279496591</v>
      </c>
      <c r="Z392" s="98" t="str">
        <f t="shared" si="213"/>
        <v>0.937604303297479+0.411153294179661i</v>
      </c>
      <c r="AA392" s="160">
        <f t="shared" si="224"/>
        <v>1.0237914147309197</v>
      </c>
      <c r="AB392" s="160">
        <f t="shared" si="225"/>
        <v>0.41326182861343319</v>
      </c>
      <c r="AC392" s="171" t="str">
        <f t="shared" si="226"/>
        <v>-0.0477970499846433-0.068559923470084i</v>
      </c>
      <c r="AD392" s="190">
        <f t="shared" si="227"/>
        <v>-21.558322780596498</v>
      </c>
      <c r="AE392" s="169">
        <f t="shared" si="228"/>
        <v>-124.88256161659321</v>
      </c>
      <c r="AF392" s="98" t="str">
        <f t="shared" si="214"/>
        <v>-0.0000816326530612245</v>
      </c>
      <c r="AG392" s="98" t="str">
        <f t="shared" si="215"/>
        <v>0.00767227079467206i</v>
      </c>
      <c r="AH392" s="98">
        <f t="shared" si="229"/>
        <v>7.6722707946720601E-3</v>
      </c>
      <c r="AI392" s="98">
        <f t="shared" si="230"/>
        <v>1.5707963267948966</v>
      </c>
      <c r="AJ392" s="98" t="str">
        <f t="shared" si="216"/>
        <v>1+0.849883932749675i</v>
      </c>
      <c r="AK392" s="98">
        <f t="shared" si="231"/>
        <v>1.3123653070490906</v>
      </c>
      <c r="AL392" s="98">
        <f t="shared" si="232"/>
        <v>0.70442667736364151</v>
      </c>
      <c r="AM392" s="98" t="str">
        <f t="shared" si="217"/>
        <v>1+85.8382772077172i</v>
      </c>
      <c r="AN392" s="98">
        <f t="shared" si="233"/>
        <v>85.844101917306489</v>
      </c>
      <c r="AO392" s="98">
        <f t="shared" si="234"/>
        <v>1.5591470393578746</v>
      </c>
      <c r="AP392" s="168" t="str">
        <f t="shared" si="235"/>
        <v>-0.525037260245646+0.456860691407818i</v>
      </c>
      <c r="AQ392" s="98">
        <f t="shared" si="236"/>
        <v>-3.1480858254626725</v>
      </c>
      <c r="AR392" s="169">
        <f t="shared" si="237"/>
        <v>138.97186940616351</v>
      </c>
      <c r="AS392" s="168" t="str">
        <f t="shared" si="238"/>
        <v>0.056417566211171+0.0141599210781459i</v>
      </c>
      <c r="AT392" s="190">
        <f t="shared" si="239"/>
        <v>-24.706408606059163</v>
      </c>
      <c r="AU392" s="169">
        <f t="shared" si="240"/>
        <v>14.089307789570309</v>
      </c>
      <c r="AV392" s="225"/>
      <c r="AX392">
        <f t="shared" si="241"/>
        <v>0</v>
      </c>
      <c r="AY392">
        <f t="shared" si="242"/>
        <v>0</v>
      </c>
    </row>
    <row r="393" spans="14:51" x14ac:dyDescent="0.2">
      <c r="N393" s="170">
        <v>75</v>
      </c>
      <c r="O393" s="199">
        <f t="shared" si="243"/>
        <v>56234.132519034953</v>
      </c>
      <c r="P393" s="189" t="str">
        <f t="shared" si="209"/>
        <v>6.8875</v>
      </c>
      <c r="Q393" s="160" t="str">
        <f t="shared" si="210"/>
        <v>1+88.3323688013975i</v>
      </c>
      <c r="R393" s="160">
        <f t="shared" si="218"/>
        <v>88.338029059211536</v>
      </c>
      <c r="S393" s="160">
        <f t="shared" si="219"/>
        <v>1.55947593206201</v>
      </c>
      <c r="T393" s="160" t="str">
        <f t="shared" si="211"/>
        <v>1+0.141331790082236i</v>
      </c>
      <c r="U393" s="160">
        <f t="shared" si="220"/>
        <v>1.0099379559595971</v>
      </c>
      <c r="V393" s="160">
        <f t="shared" si="221"/>
        <v>0.14040189070733625</v>
      </c>
      <c r="W393" s="98" t="str">
        <f t="shared" si="212"/>
        <v>1-0.367032003329906i</v>
      </c>
      <c r="X393" s="160">
        <f t="shared" si="222"/>
        <v>1.0652288446471792</v>
      </c>
      <c r="Y393" s="160">
        <f t="shared" si="223"/>
        <v>-0.35176679612365153</v>
      </c>
      <c r="Z393" s="98" t="str">
        <f t="shared" si="213"/>
        <v>0.934663684707265+0.420730284687195i</v>
      </c>
      <c r="AA393" s="160">
        <f t="shared" si="224"/>
        <v>1.0249927687371896</v>
      </c>
      <c r="AB393" s="160">
        <f t="shared" si="225"/>
        <v>0.42297103242167877</v>
      </c>
      <c r="AC393" s="171" t="str">
        <f t="shared" si="226"/>
        <v>-0.0477487221339591-0.0664587740300582i</v>
      </c>
      <c r="AD393" s="190">
        <f t="shared" si="227"/>
        <v>-21.741385653656536</v>
      </c>
      <c r="AE393" s="169">
        <f t="shared" si="228"/>
        <v>-125.69616119097346</v>
      </c>
      <c r="AF393" s="98" t="str">
        <f t="shared" si="214"/>
        <v>-0.0000816326530612245</v>
      </c>
      <c r="AG393" s="98" t="str">
        <f t="shared" si="215"/>
        <v>0.00785098093906822i</v>
      </c>
      <c r="AH393" s="98">
        <f t="shared" si="229"/>
        <v>7.8509809390682195E-3</v>
      </c>
      <c r="AI393" s="98">
        <f t="shared" si="230"/>
        <v>1.5707963267948966</v>
      </c>
      <c r="AJ393" s="98" t="str">
        <f t="shared" si="216"/>
        <v>1+0.86968027263475i</v>
      </c>
      <c r="AK393" s="98">
        <f t="shared" si="231"/>
        <v>1.3252712087003373</v>
      </c>
      <c r="AL393" s="98">
        <f t="shared" si="232"/>
        <v>0.71580910178560764</v>
      </c>
      <c r="AM393" s="98" t="str">
        <f t="shared" si="217"/>
        <v>1+87.8377075361097i</v>
      </c>
      <c r="AN393" s="98">
        <f t="shared" si="233"/>
        <v>87.843399667813088</v>
      </c>
      <c r="AO393" s="98">
        <f t="shared" si="234"/>
        <v>1.5594121863371739</v>
      </c>
      <c r="AP393" s="168" t="str">
        <f t="shared" si="235"/>
        <v>-0.514861100950678+0.458162307419295i</v>
      </c>
      <c r="AQ393" s="98">
        <f t="shared" si="236"/>
        <v>-3.2331127899330103</v>
      </c>
      <c r="AR393" s="169">
        <f t="shared" si="237"/>
        <v>138.33489632902271</v>
      </c>
      <c r="AS393" s="168" t="str">
        <f t="shared" si="238"/>
        <v>0.0550328649047472+0.0123403728557306i</v>
      </c>
      <c r="AT393" s="190">
        <f t="shared" si="239"/>
        <v>-24.974498443589543</v>
      </c>
      <c r="AU393" s="169">
        <f t="shared" si="240"/>
        <v>12.638735138049192</v>
      </c>
      <c r="AV393" s="225"/>
      <c r="AX393">
        <f t="shared" si="241"/>
        <v>0</v>
      </c>
      <c r="AY393">
        <f t="shared" si="242"/>
        <v>0</v>
      </c>
    </row>
    <row r="394" spans="14:51" x14ac:dyDescent="0.2">
      <c r="N394" s="170">
        <v>76</v>
      </c>
      <c r="O394" s="199">
        <f t="shared" si="243"/>
        <v>57543.993733715732</v>
      </c>
      <c r="P394" s="189" t="str">
        <f t="shared" si="209"/>
        <v>6.8875</v>
      </c>
      <c r="Q394" s="160" t="str">
        <f t="shared" si="210"/>
        <v>1+90.3898939860293i</v>
      </c>
      <c r="R394" s="160">
        <f t="shared" si="218"/>
        <v>90.395425408621307</v>
      </c>
      <c r="S394" s="160">
        <f t="shared" si="219"/>
        <v>1.5597335944374573</v>
      </c>
      <c r="T394" s="160" t="str">
        <f t="shared" si="211"/>
        <v>1+0.144623830377647i</v>
      </c>
      <c r="U394" s="160">
        <f t="shared" si="220"/>
        <v>1.010403905531398</v>
      </c>
      <c r="V394" s="160">
        <f t="shared" si="221"/>
        <v>0.14362797852491943</v>
      </c>
      <c r="W394" s="98" t="str">
        <f t="shared" si="212"/>
        <v>1-0.37558127695026i</v>
      </c>
      <c r="X394" s="160">
        <f t="shared" si="222"/>
        <v>1.0682047067840452</v>
      </c>
      <c r="Y394" s="160">
        <f t="shared" si="223"/>
        <v>-0.35928018552440827</v>
      </c>
      <c r="Z394" s="98" t="str">
        <f t="shared" si="213"/>
        <v>0.931584479032522+0.430530351960693i</v>
      </c>
      <c r="AA394" s="160">
        <f t="shared" si="224"/>
        <v>1.0262582645385583</v>
      </c>
      <c r="AB394" s="160">
        <f t="shared" si="225"/>
        <v>0.43291055297028391</v>
      </c>
      <c r="AC394" s="171" t="str">
        <f t="shared" si="226"/>
        <v>-0.0476938546764074-0.0643932695339782i</v>
      </c>
      <c r="AD394" s="190">
        <f t="shared" si="227"/>
        <v>-21.923840102663448</v>
      </c>
      <c r="AE394" s="169">
        <f t="shared" si="228"/>
        <v>-126.52606102166018</v>
      </c>
      <c r="AF394" s="98" t="str">
        <f t="shared" si="214"/>
        <v>-0.0000816326530612245</v>
      </c>
      <c r="AG394" s="98" t="str">
        <f t="shared" si="215"/>
        <v>0.00803385377747828i</v>
      </c>
      <c r="AH394" s="98">
        <f t="shared" si="229"/>
        <v>8.0338537774782802E-3</v>
      </c>
      <c r="AI394" s="98">
        <f t="shared" si="230"/>
        <v>1.5707963267948966</v>
      </c>
      <c r="AJ394" s="98" t="str">
        <f t="shared" si="216"/>
        <v>1+0.889937728511956i</v>
      </c>
      <c r="AK394" s="98">
        <f t="shared" si="231"/>
        <v>1.338651993846429</v>
      </c>
      <c r="AL394" s="98">
        <f t="shared" si="232"/>
        <v>0.72722793914681771</v>
      </c>
      <c r="AM394" s="98" t="str">
        <f t="shared" si="217"/>
        <v>1+89.8837105797075i</v>
      </c>
      <c r="AN394" s="98">
        <f t="shared" si="233"/>
        <v>89.889273150786025</v>
      </c>
      <c r="AO394" s="98">
        <f t="shared" si="234"/>
        <v>1.5596712993811563</v>
      </c>
      <c r="AP394" s="168" t="str">
        <f t="shared" si="235"/>
        <v>-0.504619732273328+0.459241221054982i</v>
      </c>
      <c r="AQ394" s="98">
        <f t="shared" si="236"/>
        <v>-3.3203966427461791</v>
      </c>
      <c r="AR394" s="169">
        <f t="shared" si="237"/>
        <v>137.695491225116</v>
      </c>
      <c r="AS394" s="168" t="str">
        <f t="shared" si="238"/>
        <v>0.0536393039063984+0.0105911303740281i</v>
      </c>
      <c r="AT394" s="190">
        <f t="shared" si="239"/>
        <v>-25.244236745409637</v>
      </c>
      <c r="AU394" s="169">
        <f t="shared" si="240"/>
        <v>11.169430203455784</v>
      </c>
      <c r="AV394" s="225"/>
      <c r="AX394">
        <f t="shared" si="241"/>
        <v>0</v>
      </c>
      <c r="AY394">
        <f t="shared" si="242"/>
        <v>0</v>
      </c>
    </row>
    <row r="395" spans="14:51" x14ac:dyDescent="0.2">
      <c r="N395" s="170">
        <v>77</v>
      </c>
      <c r="O395" s="199">
        <f t="shared" si="243"/>
        <v>58884.365535558936</v>
      </c>
      <c r="P395" s="189" t="str">
        <f t="shared" si="209"/>
        <v>6.8875</v>
      </c>
      <c r="Q395" s="160" t="str">
        <f t="shared" si="210"/>
        <v>1+92.495345088904i</v>
      </c>
      <c r="R395" s="160">
        <f t="shared" si="218"/>
        <v>92.500750608389325</v>
      </c>
      <c r="S395" s="160">
        <f t="shared" si="219"/>
        <v>1.5599853931206344</v>
      </c>
      <c r="T395" s="160" t="str">
        <f t="shared" si="211"/>
        <v>1+0.147992552142246i</v>
      </c>
      <c r="U395" s="160">
        <f t="shared" si="220"/>
        <v>1.0108915844389919</v>
      </c>
      <c r="V395" s="160">
        <f t="shared" si="221"/>
        <v>0.14692609760850719</v>
      </c>
      <c r="W395" s="98" t="str">
        <f t="shared" si="212"/>
        <v>1-0.384329688735058i</v>
      </c>
      <c r="X395" s="160">
        <f t="shared" si="222"/>
        <v>1.0713119572016296</v>
      </c>
      <c r="Y395" s="160">
        <f t="shared" si="223"/>
        <v>-0.36692493059673087</v>
      </c>
      <c r="Z395" s="98" t="str">
        <f t="shared" si="213"/>
        <v>0.928360154865179+0.440558692125544i</v>
      </c>
      <c r="AA395" s="160">
        <f t="shared" si="224"/>
        <v>1.0275916204157509</v>
      </c>
      <c r="AB395" s="160">
        <f t="shared" si="225"/>
        <v>0.44308584331004192</v>
      </c>
      <c r="AC395" s="171" t="str">
        <f t="shared" si="226"/>
        <v>-0.0476322829760192-0.0623623775541025i</v>
      </c>
      <c r="AD395" s="190">
        <f t="shared" si="227"/>
        <v>-22.105673316439372</v>
      </c>
      <c r="AE395" s="169">
        <f t="shared" si="228"/>
        <v>-127.37253253955787</v>
      </c>
      <c r="AF395" s="98" t="str">
        <f t="shared" si="214"/>
        <v>-0.0000816326530612245</v>
      </c>
      <c r="AG395" s="98" t="str">
        <f t="shared" si="215"/>
        <v>0.00822098627150179i</v>
      </c>
      <c r="AH395" s="98">
        <f t="shared" si="229"/>
        <v>8.2209862715017894E-3</v>
      </c>
      <c r="AI395" s="98">
        <f t="shared" si="230"/>
        <v>1.5707963267948966</v>
      </c>
      <c r="AJ395" s="98" t="str">
        <f t="shared" si="216"/>
        <v>1+0.910667041152536i</v>
      </c>
      <c r="AK395" s="98">
        <f t="shared" si="231"/>
        <v>1.3525215191787208</v>
      </c>
      <c r="AL395" s="98">
        <f t="shared" si="232"/>
        <v>0.73867733358624321</v>
      </c>
      <c r="AM395" s="98" t="str">
        <f t="shared" si="217"/>
        <v>1+91.9773711564062i</v>
      </c>
      <c r="AN395" s="98">
        <f t="shared" si="233"/>
        <v>91.982807115478394</v>
      </c>
      <c r="AO395" s="98">
        <f t="shared" si="234"/>
        <v>1.5599245157357333</v>
      </c>
      <c r="AP395" s="168" t="str">
        <f t="shared" si="235"/>
        <v>-0.494323480366337+0.460093889509216i</v>
      </c>
      <c r="AQ395" s="98">
        <f t="shared" si="236"/>
        <v>-3.4099507227605357</v>
      </c>
      <c r="AR395" s="169">
        <f t="shared" si="237"/>
        <v>137.05399747417735</v>
      </c>
      <c r="AS395" s="168" t="str">
        <f t="shared" si="238"/>
        <v>0.0522383047464093+0.00891186517582319i</v>
      </c>
      <c r="AT395" s="190">
        <f t="shared" si="239"/>
        <v>-25.515624039199906</v>
      </c>
      <c r="AU395" s="169">
        <f t="shared" si="240"/>
        <v>9.681464934619461</v>
      </c>
      <c r="AV395" s="225"/>
      <c r="AX395">
        <f t="shared" si="241"/>
        <v>0</v>
      </c>
      <c r="AY395">
        <f t="shared" si="242"/>
        <v>0</v>
      </c>
    </row>
    <row r="396" spans="14:51" x14ac:dyDescent="0.2">
      <c r="N396" s="170">
        <v>78</v>
      </c>
      <c r="O396" s="199">
        <f t="shared" si="243"/>
        <v>60255.95860743591</v>
      </c>
      <c r="P396" s="189" t="str">
        <f t="shared" si="209"/>
        <v>6.8875</v>
      </c>
      <c r="Q396" s="160" t="str">
        <f t="shared" si="210"/>
        <v>1+94.6498384480658i</v>
      </c>
      <c r="R396" s="160">
        <f t="shared" si="218"/>
        <v>94.655120929852245</v>
      </c>
      <c r="S396" s="160">
        <f t="shared" si="219"/>
        <v>1.5602314614907451</v>
      </c>
      <c r="T396" s="160" t="str">
        <f t="shared" si="211"/>
        <v>1+0.151439741516905i</v>
      </c>
      <c r="U396" s="160">
        <f t="shared" si="220"/>
        <v>1.0114019949113739</v>
      </c>
      <c r="V396" s="160">
        <f t="shared" si="221"/>
        <v>0.15029770951055005</v>
      </c>
      <c r="W396" s="98" t="str">
        <f t="shared" si="212"/>
        <v>1-0.393281877208029i</v>
      </c>
      <c r="X396" s="160">
        <f t="shared" si="222"/>
        <v>1.074556017590647</v>
      </c>
      <c r="Y396" s="160">
        <f t="shared" si="223"/>
        <v>-0.37470150947600128</v>
      </c>
      <c r="Z396" s="98" t="str">
        <f t="shared" si="213"/>
        <v>0.924983872981384+0.450820622340445i</v>
      </c>
      <c r="AA396" s="160">
        <f t="shared" si="224"/>
        <v>1.0289967924163161</v>
      </c>
      <c r="AB396" s="160">
        <f t="shared" si="225"/>
        <v>0.45350246580631814</v>
      </c>
      <c r="AC396" s="171" t="str">
        <f t="shared" si="226"/>
        <v>-0.0475638251740734-0.0603650911075411i</v>
      </c>
      <c r="AD396" s="190">
        <f t="shared" si="227"/>
        <v>-22.286873145947009</v>
      </c>
      <c r="AE396" s="169">
        <f t="shared" si="228"/>
        <v>-128.23584574114426</v>
      </c>
      <c r="AF396" s="98" t="str">
        <f t="shared" si="214"/>
        <v>-0.0000816326530612245</v>
      </c>
      <c r="AG396" s="98" t="str">
        <f t="shared" si="215"/>
        <v>0.00841247764126408i</v>
      </c>
      <c r="AH396" s="98">
        <f t="shared" si="229"/>
        <v>8.4124776412640798E-3</v>
      </c>
      <c r="AI396" s="98">
        <f t="shared" si="230"/>
        <v>1.5707963267948966</v>
      </c>
      <c r="AJ396" s="98" t="str">
        <f t="shared" si="216"/>
        <v>1+0.931879201512442i</v>
      </c>
      <c r="AK396" s="98">
        <f t="shared" si="231"/>
        <v>1.3668938679398144</v>
      </c>
      <c r="AL396" s="98">
        <f t="shared" si="232"/>
        <v>0.75015134961388441</v>
      </c>
      <c r="AM396" s="98" t="str">
        <f t="shared" si="217"/>
        <v>1+94.1197993527566i</v>
      </c>
      <c r="AN396" s="98">
        <f t="shared" si="233"/>
        <v>94.125111581358354</v>
      </c>
      <c r="AO396" s="98">
        <f t="shared" si="234"/>
        <v>1.5601719695296066</v>
      </c>
      <c r="AP396" s="168" t="str">
        <f t="shared" si="235"/>
        <v>-0.483982899211755+0.460717356358521i</v>
      </c>
      <c r="AQ396" s="98">
        <f t="shared" si="236"/>
        <v>-3.5017860566008907</v>
      </c>
      <c r="AR396" s="169">
        <f t="shared" si="237"/>
        <v>136.41076283974147</v>
      </c>
      <c r="AS396" s="168" t="str">
        <f t="shared" si="238"/>
        <v>0.0508313231967567+0.00730219201291151i</v>
      </c>
      <c r="AT396" s="190">
        <f t="shared" si="239"/>
        <v>-25.788659202547898</v>
      </c>
      <c r="AU396" s="169">
        <f t="shared" si="240"/>
        <v>8.1749170985972306</v>
      </c>
      <c r="AV396" s="225"/>
      <c r="AX396">
        <f t="shared" si="241"/>
        <v>0</v>
      </c>
      <c r="AY396">
        <f t="shared" si="242"/>
        <v>0</v>
      </c>
    </row>
    <row r="397" spans="14:51" x14ac:dyDescent="0.2">
      <c r="N397" s="170">
        <v>79</v>
      </c>
      <c r="O397" s="199">
        <f t="shared" si="243"/>
        <v>61659.500186148245</v>
      </c>
      <c r="P397" s="189" t="str">
        <f t="shared" si="209"/>
        <v>6.8875</v>
      </c>
      <c r="Q397" s="160" t="str">
        <f t="shared" si="210"/>
        <v>1+96.854516404411i</v>
      </c>
      <c r="R397" s="160">
        <f t="shared" si="218"/>
        <v>96.859678648714919</v>
      </c>
      <c r="S397" s="160">
        <f t="shared" si="219"/>
        <v>1.5604719298972332</v>
      </c>
      <c r="T397" s="160" t="str">
        <f t="shared" si="211"/>
        <v>1+0.154967226247058i</v>
      </c>
      <c r="U397" s="160">
        <f t="shared" si="220"/>
        <v>1.0119361843568531</v>
      </c>
      <c r="V397" s="160">
        <f t="shared" si="221"/>
        <v>0.15374429512401089</v>
      </c>
      <c r="W397" s="98" t="str">
        <f t="shared" si="212"/>
        <v>1-0.402442588937996i</v>
      </c>
      <c r="X397" s="160">
        <f t="shared" si="222"/>
        <v>1.0779425018947517</v>
      </c>
      <c r="Y397" s="160">
        <f t="shared" si="223"/>
        <v>-0.38261028206412229</v>
      </c>
      <c r="Z397" s="98" t="str">
        <f t="shared" si="213"/>
        <v>0.921448471834595+0.461321583616625i</v>
      </c>
      <c r="AA397" s="160">
        <f t="shared" si="224"/>
        <v>1.0304779909133728</v>
      </c>
      <c r="AB397" s="160">
        <f t="shared" si="225"/>
        <v>0.46416609076694665</v>
      </c>
      <c r="AC397" s="171" t="str">
        <f t="shared" si="226"/>
        <v>-0.0474882817427882-0.058400428954951i</v>
      </c>
      <c r="AD397" s="190">
        <f t="shared" si="227"/>
        <v>-22.467428221176466</v>
      </c>
      <c r="AE397" s="169">
        <f t="shared" si="228"/>
        <v>-129.11626875154286</v>
      </c>
      <c r="AF397" s="98" t="str">
        <f t="shared" si="214"/>
        <v>-0.0000816326530612245</v>
      </c>
      <c r="AG397" s="98" t="str">
        <f t="shared" si="215"/>
        <v>0.00860842941802404i</v>
      </c>
      <c r="AH397" s="98">
        <f t="shared" si="229"/>
        <v>8.6084294180240398E-3</v>
      </c>
      <c r="AI397" s="98">
        <f t="shared" si="230"/>
        <v>1.5707963267948966</v>
      </c>
      <c r="AJ397" s="98" t="str">
        <f t="shared" si="216"/>
        <v>1+0.953585456559865i</v>
      </c>
      <c r="AK397" s="98">
        <f t="shared" si="231"/>
        <v>1.3817833487788476</v>
      </c>
      <c r="AL397" s="98">
        <f t="shared" si="232"/>
        <v>0.76164398720545357</v>
      </c>
      <c r="AM397" s="98" t="str">
        <f t="shared" si="217"/>
        <v>1+96.3121311125463i</v>
      </c>
      <c r="AN397" s="98">
        <f t="shared" si="233"/>
        <v>96.317322426655466</v>
      </c>
      <c r="AO397" s="98">
        <f t="shared" si="234"/>
        <v>1.560413791844764</v>
      </c>
      <c r="AP397" s="168" t="str">
        <f t="shared" si="235"/>
        <v>-0.473608728150705+0.461109269444639i</v>
      </c>
      <c r="AQ397" s="98">
        <f t="shared" si="236"/>
        <v>-3.5959113130405824</v>
      </c>
      <c r="AR397" s="169">
        <f t="shared" si="237"/>
        <v>135.76613860832182</v>
      </c>
      <c r="AS397" s="168" t="str">
        <f t="shared" si="238"/>
        <v>0.0494198438489353+0.00576166597921169i</v>
      </c>
      <c r="AT397" s="190">
        <f t="shared" si="239"/>
        <v>-26.06333953421704</v>
      </c>
      <c r="AU397" s="169">
        <f t="shared" si="240"/>
        <v>6.6498698567789374</v>
      </c>
      <c r="AV397" s="225"/>
      <c r="AX397">
        <f t="shared" si="241"/>
        <v>0</v>
      </c>
      <c r="AY397">
        <f t="shared" si="242"/>
        <v>0</v>
      </c>
    </row>
    <row r="398" spans="14:51" x14ac:dyDescent="0.2">
      <c r="N398" s="170">
        <v>80</v>
      </c>
      <c r="O398" s="199">
        <f t="shared" si="243"/>
        <v>63095.734448019342</v>
      </c>
      <c r="P398" s="189" t="str">
        <f t="shared" si="209"/>
        <v>6.8875</v>
      </c>
      <c r="Q398" s="160" t="str">
        <f t="shared" si="210"/>
        <v>1+99.110547907375i</v>
      </c>
      <c r="R398" s="160">
        <f t="shared" si="218"/>
        <v>99.115592650702922</v>
      </c>
      <c r="S398" s="160">
        <f t="shared" si="219"/>
        <v>1.5607069257283257</v>
      </c>
      <c r="T398" s="160" t="str">
        <f t="shared" si="211"/>
        <v>1+0.1585768766518i</v>
      </c>
      <c r="U398" s="160">
        <f t="shared" si="220"/>
        <v>1.0124952473017541</v>
      </c>
      <c r="V398" s="160">
        <f t="shared" si="221"/>
        <v>0.15726735417089235</v>
      </c>
      <c r="W398" s="98" t="str">
        <f t="shared" si="212"/>
        <v>1-0.411816681055575i</v>
      </c>
      <c r="X398" s="160">
        <f t="shared" si="222"/>
        <v>1.0814772206549841</v>
      </c>
      <c r="Y398" s="160">
        <f t="shared" si="223"/>
        <v>-0.39065148319529319</v>
      </c>
      <c r="Z398" s="98" t="str">
        <f t="shared" si="213"/>
        <v>0.91774645236498+0.472067143702751i</v>
      </c>
      <c r="AA398" s="160">
        <f t="shared" si="224"/>
        <v>1.032039698360572</v>
      </c>
      <c r="AB398" s="160">
        <f t="shared" si="225"/>
        <v>0.47508249448536843</v>
      </c>
      <c r="AC398" s="171" t="str">
        <f t="shared" si="226"/>
        <v>-0.0474054350267986-0.0564674359953491i</v>
      </c>
      <c r="AD398" s="190">
        <f t="shared" si="227"/>
        <v>-22.647328077518445</v>
      </c>
      <c r="AE398" s="169">
        <f t="shared" si="228"/>
        <v>-130.01406735406434</v>
      </c>
      <c r="AF398" s="98" t="str">
        <f t="shared" si="214"/>
        <v>-0.0000816326530612245</v>
      </c>
      <c r="AG398" s="98" t="str">
        <f t="shared" si="215"/>
        <v>0.00880894549800749i</v>
      </c>
      <c r="AH398" s="98">
        <f t="shared" si="229"/>
        <v>8.8089454980074897E-3</v>
      </c>
      <c r="AI398" s="98">
        <f t="shared" si="230"/>
        <v>1.5707963267948966</v>
      </c>
      <c r="AJ398" s="98" t="str">
        <f t="shared" si="216"/>
        <v>1+0.975797315238552i</v>
      </c>
      <c r="AK398" s="98">
        <f t="shared" si="231"/>
        <v>1.3972044948491849</v>
      </c>
      <c r="AL398" s="98">
        <f t="shared" si="232"/>
        <v>0.77314919730736786</v>
      </c>
      <c r="AM398" s="98" t="str">
        <f t="shared" si="217"/>
        <v>1+98.5555288390938i</v>
      </c>
      <c r="AN398" s="98">
        <f t="shared" si="233"/>
        <v>98.560601990620214</v>
      </c>
      <c r="AO398" s="98">
        <f t="shared" si="234"/>
        <v>1.5606501107854023</v>
      </c>
      <c r="AP398" s="168" t="str">
        <f t="shared" si="235"/>
        <v>-0.463211847775769+0.461267895056927i</v>
      </c>
      <c r="AQ398" s="98">
        <f t="shared" si="236"/>
        <v>-3.6923327669600603</v>
      </c>
      <c r="AR398" s="169">
        <f t="shared" si="237"/>
        <v>135.12047870498836</v>
      </c>
      <c r="AS398" s="168" t="str">
        <f t="shared" si="238"/>
        <v>0.048005374494214+0.00428978013749632i</v>
      </c>
      <c r="AT398" s="190">
        <f t="shared" si="239"/>
        <v>-26.339660844478502</v>
      </c>
      <c r="AU398" s="169">
        <f t="shared" si="240"/>
        <v>5.1064113509240086</v>
      </c>
      <c r="AV398" s="225"/>
      <c r="AX398">
        <f t="shared" si="241"/>
        <v>0</v>
      </c>
      <c r="AY398">
        <f t="shared" si="242"/>
        <v>0</v>
      </c>
    </row>
    <row r="399" spans="14:51" x14ac:dyDescent="0.2">
      <c r="N399" s="170">
        <v>81</v>
      </c>
      <c r="O399" s="199">
        <f t="shared" si="243"/>
        <v>64565.422903465682</v>
      </c>
      <c r="P399" s="189" t="str">
        <f t="shared" si="209"/>
        <v>6.8875</v>
      </c>
      <c r="Q399" s="160" t="str">
        <f t="shared" si="210"/>
        <v>1+101.419129134723i</v>
      </c>
      <c r="R399" s="160">
        <f t="shared" si="218"/>
        <v>101.42405905131987</v>
      </c>
      <c r="S399" s="160">
        <f t="shared" si="219"/>
        <v>1.5609365734780463</v>
      </c>
      <c r="T399" s="160" t="str">
        <f t="shared" si="211"/>
        <v>1+0.162270606615557i</v>
      </c>
      <c r="U399" s="160">
        <f t="shared" si="220"/>
        <v>1.013080327403203</v>
      </c>
      <c r="V399" s="160">
        <f t="shared" si="221"/>
        <v>0.16086840462036808</v>
      </c>
      <c r="W399" s="98" t="str">
        <f t="shared" si="212"/>
        <v>1-0.421409123828489i</v>
      </c>
      <c r="X399" s="160">
        <f t="shared" si="222"/>
        <v>1.0851661852665215</v>
      </c>
      <c r="Y399" s="160">
        <f t="shared" si="223"/>
        <v>-0.39882521576524999</v>
      </c>
      <c r="Z399" s="98" t="str">
        <f t="shared" si="213"/>
        <v>0.913869962092905+0.483063000037018i</v>
      </c>
      <c r="AA399" s="160">
        <f t="shared" si="224"/>
        <v>1.0336866883250708</v>
      </c>
      <c r="AB399" s="160">
        <f t="shared" si="225"/>
        <v>0.4862575566218621</v>
      </c>
      <c r="AC399" s="171" t="str">
        <f t="shared" si="226"/>
        <v>-0.047315048777759-0.0545651837642517i</v>
      </c>
      <c r="AD399" s="190">
        <f t="shared" si="227"/>
        <v>-22.826563291972278</v>
      </c>
      <c r="AE399" s="169">
        <f t="shared" si="228"/>
        <v>-130.92950448367401</v>
      </c>
      <c r="AF399" s="98" t="str">
        <f t="shared" si="214"/>
        <v>-0.0000816326530612245</v>
      </c>
      <c r="AG399" s="98" t="str">
        <f t="shared" si="215"/>
        <v>0.00901413219749418i</v>
      </c>
      <c r="AH399" s="98">
        <f t="shared" si="229"/>
        <v>9.0141321974941801E-3</v>
      </c>
      <c r="AI399" s="98">
        <f t="shared" si="230"/>
        <v>1.5707963267948966</v>
      </c>
      <c r="AJ399" s="98" t="str">
        <f t="shared" si="216"/>
        <v>1+0.998526554569986i</v>
      </c>
      <c r="AK399" s="98">
        <f t="shared" si="231"/>
        <v>1.4131720631902567</v>
      </c>
      <c r="AL399" s="98">
        <f t="shared" si="232"/>
        <v>0.78466089765550673</v>
      </c>
      <c r="AM399" s="98" t="str">
        <f t="shared" si="217"/>
        <v>1+100.851182011569i</v>
      </c>
      <c r="AN399" s="98">
        <f t="shared" si="233"/>
        <v>100.85613968981075</v>
      </c>
      <c r="AO399" s="98">
        <f t="shared" si="234"/>
        <v>1.5608810515453109</v>
      </c>
      <c r="AP399" s="168" t="str">
        <f t="shared" si="235"/>
        <v>-0.452803234566038+0.461192128245745i</v>
      </c>
      <c r="AQ399" s="98">
        <f t="shared" si="236"/>
        <v>-3.7910542732021564</v>
      </c>
      <c r="AR399" s="169">
        <f t="shared" si="237"/>
        <v>134.47413879088097</v>
      </c>
      <c r="AS399" s="168" t="str">
        <f t="shared" si="238"/>
        <v>0.0465894403585746+0.00288596365927752i</v>
      </c>
      <c r="AT399" s="190">
        <f t="shared" si="239"/>
        <v>-26.617617565174424</v>
      </c>
      <c r="AU399" s="169">
        <f t="shared" si="240"/>
        <v>3.5446343072069331</v>
      </c>
      <c r="AV399" s="225"/>
      <c r="AX399">
        <f t="shared" si="241"/>
        <v>0</v>
      </c>
      <c r="AY399">
        <f t="shared" si="242"/>
        <v>0</v>
      </c>
    </row>
    <row r="400" spans="14:51" x14ac:dyDescent="0.2">
      <c r="N400" s="170">
        <v>82</v>
      </c>
      <c r="O400" s="199">
        <f t="shared" si="243"/>
        <v>66069.344800759733</v>
      </c>
      <c r="P400" s="189" t="str">
        <f t="shared" si="209"/>
        <v>6.8875</v>
      </c>
      <c r="Q400" s="160" t="str">
        <f t="shared" si="210"/>
        <v>1+103.781484126779i</v>
      </c>
      <c r="R400" s="160">
        <f t="shared" si="218"/>
        <v>103.78630183004346</v>
      </c>
      <c r="S400" s="160">
        <f t="shared" si="219"/>
        <v>1.5611609948117262</v>
      </c>
      <c r="T400" s="160" t="str">
        <f t="shared" si="211"/>
        <v>1+0.166050374602846i</v>
      </c>
      <c r="U400" s="160">
        <f t="shared" si="220"/>
        <v>1.013692619537967</v>
      </c>
      <c r="V400" s="160">
        <f t="shared" si="221"/>
        <v>0.16454898203184587</v>
      </c>
      <c r="W400" s="98" t="str">
        <f t="shared" si="212"/>
        <v>1-0.431225003296866i</v>
      </c>
      <c r="X400" s="160">
        <f t="shared" si="222"/>
        <v>1.0890156121325267</v>
      </c>
      <c r="Y400" s="160">
        <f t="shared" si="223"/>
        <v>-0.40713144385522609</v>
      </c>
      <c r="Z400" s="98" t="str">
        <f t="shared" si="213"/>
        <v>0.909810778462775+0.494314982767999i</v>
      </c>
      <c r="AA400" s="160">
        <f t="shared" si="224"/>
        <v>1.0354240458845678</v>
      </c>
      <c r="AB400" s="160">
        <f t="shared" si="225"/>
        <v>0.49769725683814819</v>
      </c>
      <c r="AC400" s="171" t="str">
        <f t="shared" si="226"/>
        <v>-0.0472168676884188-0.0526927710426649i</v>
      </c>
      <c r="AD400" s="190">
        <f t="shared" si="227"/>
        <v>-23.005125629499361</v>
      </c>
      <c r="AE400" s="169">
        <f t="shared" si="228"/>
        <v>-131.86283968159438</v>
      </c>
      <c r="AF400" s="98" t="str">
        <f t="shared" si="214"/>
        <v>-0.0000816326530612245</v>
      </c>
      <c r="AG400" s="98" t="str">
        <f t="shared" si="215"/>
        <v>0.00922409830918811i</v>
      </c>
      <c r="AH400" s="98">
        <f t="shared" si="229"/>
        <v>9.2240983091881092E-3</v>
      </c>
      <c r="AI400" s="98">
        <f t="shared" si="230"/>
        <v>1.5707963267948966</v>
      </c>
      <c r="AJ400" s="98" t="str">
        <f t="shared" si="216"/>
        <v>1+1.02178522589771i</v>
      </c>
      <c r="AK400" s="98">
        <f t="shared" si="231"/>
        <v>1.4297010344344143</v>
      </c>
      <c r="AL400" s="98">
        <f t="shared" si="232"/>
        <v>0.79617298880752752</v>
      </c>
      <c r="AM400" s="98" t="str">
        <f t="shared" si="217"/>
        <v>1+103.200307815669i</v>
      </c>
      <c r="AN400" s="98">
        <f t="shared" si="233"/>
        <v>103.20515264873568</v>
      </c>
      <c r="AO400" s="98">
        <f t="shared" si="234"/>
        <v>1.561106736473745</v>
      </c>
      <c r="AP400" s="168" t="str">
        <f t="shared" si="235"/>
        <v>-0.442393914663864+0.460881499143282i</v>
      </c>
      <c r="AQ400" s="98">
        <f t="shared" si="236"/>
        <v>-3.8920772505590846</v>
      </c>
      <c r="AR400" s="169">
        <f t="shared" si="237"/>
        <v>133.82747534839933</v>
      </c>
      <c r="AS400" s="168" t="str">
        <f t="shared" si="238"/>
        <v>0.0451735782470024+0.00154958049096277i</v>
      </c>
      <c r="AT400" s="190">
        <f t="shared" si="239"/>
        <v>-26.897202880058448</v>
      </c>
      <c r="AU400" s="169">
        <f t="shared" si="240"/>
        <v>1.9646356668049469</v>
      </c>
      <c r="AV400" s="225"/>
      <c r="AX400">
        <f t="shared" si="241"/>
        <v>0</v>
      </c>
      <c r="AY400">
        <f t="shared" si="242"/>
        <v>0</v>
      </c>
    </row>
    <row r="401" spans="14:51" x14ac:dyDescent="0.2">
      <c r="N401" s="170">
        <v>83</v>
      </c>
      <c r="O401" s="199">
        <f t="shared" si="243"/>
        <v>67608.297539198305</v>
      </c>
      <c r="P401" s="189" t="str">
        <f t="shared" si="209"/>
        <v>6.8875</v>
      </c>
      <c r="Q401" s="160" t="str">
        <f t="shared" si="210"/>
        <v>1+106.198865435429i</v>
      </c>
      <c r="R401" s="160">
        <f t="shared" si="218"/>
        <v>106.20357347929662</v>
      </c>
      <c r="S401" s="160">
        <f t="shared" si="219"/>
        <v>1.5613803086300515</v>
      </c>
      <c r="T401" s="160" t="str">
        <f t="shared" si="211"/>
        <v>1+0.169918184696687i</v>
      </c>
      <c r="U401" s="160">
        <f t="shared" si="220"/>
        <v>1.0143333719693035</v>
      </c>
      <c r="V401" s="160">
        <f t="shared" si="221"/>
        <v>0.16831063881812053</v>
      </c>
      <c r="W401" s="98" t="str">
        <f t="shared" si="212"/>
        <v>1-0.441269523969928i</v>
      </c>
      <c r="X401" s="160">
        <f t="shared" si="222"/>
        <v>1.0930319266996031</v>
      </c>
      <c r="Y401" s="160">
        <f t="shared" si="223"/>
        <v>-0.41556998588482885</v>
      </c>
      <c r="Z401" s="98" t="str">
        <f t="shared" si="213"/>
        <v>0.905560291401885+0.505829057845875i</v>
      </c>
      <c r="AA401" s="160">
        <f t="shared" si="224"/>
        <v>1.0372571894786329</v>
      </c>
      <c r="AB401" s="160">
        <f t="shared" si="225"/>
        <v>0.50940767059259473</v>
      </c>
      <c r="AC401" s="171" t="str">
        <f t="shared" si="226"/>
        <v>-0.0471106169336623-0.0508493245847307i</v>
      </c>
      <c r="AD401" s="190">
        <f t="shared" si="227"/>
        <v>-23.183008199782687</v>
      </c>
      <c r="AE401" s="169">
        <f t="shared" si="228"/>
        <v>-132.81432850796489</v>
      </c>
      <c r="AF401" s="98" t="str">
        <f t="shared" si="214"/>
        <v>-0.0000816326530612245</v>
      </c>
      <c r="AG401" s="98" t="str">
        <f t="shared" si="215"/>
        <v>0.00943895515990094i</v>
      </c>
      <c r="AH401" s="98">
        <f t="shared" si="229"/>
        <v>9.4389551599009403E-3</v>
      </c>
      <c r="AI401" s="98">
        <f t="shared" si="230"/>
        <v>1.5707963267948966</v>
      </c>
      <c r="AJ401" s="98" t="str">
        <f t="shared" si="216"/>
        <v>1+1.04558566127714i</v>
      </c>
      <c r="AK401" s="98">
        <f t="shared" si="231"/>
        <v>1.4468066128782913</v>
      </c>
      <c r="AL401" s="98">
        <f t="shared" si="232"/>
        <v>0.80767937028598669</v>
      </c>
      <c r="AM401" s="98" t="str">
        <f t="shared" si="217"/>
        <v>1+105.604151788991i</v>
      </c>
      <c r="AN401" s="98">
        <f t="shared" si="233"/>
        <v>105.6088863451947</v>
      </c>
      <c r="AO401" s="98">
        <f t="shared" si="234"/>
        <v>1.5613272851398288</v>
      </c>
      <c r="AP401" s="168" t="str">
        <f t="shared" si="235"/>
        <v>-0.431994917205599+0.460336175215473i</v>
      </c>
      <c r="AQ401" s="98">
        <f t="shared" si="236"/>
        <v>-3.9954006760350458</v>
      </c>
      <c r="AR401" s="169">
        <f t="shared" si="237"/>
        <v>133.18084475995997</v>
      </c>
      <c r="AS401" s="168" t="str">
        <f t="shared" si="238"/>
        <v>0.0437593306533872+0.000279928552657974i</v>
      </c>
      <c r="AT401" s="190">
        <f t="shared" si="239"/>
        <v>-27.17840887581773</v>
      </c>
      <c r="AU401" s="169">
        <f t="shared" si="240"/>
        <v>0.36651625199510512</v>
      </c>
      <c r="AV401" s="225"/>
      <c r="AX401">
        <f t="shared" si="241"/>
        <v>0</v>
      </c>
      <c r="AY401">
        <f t="shared" si="242"/>
        <v>0</v>
      </c>
    </row>
    <row r="402" spans="14:51" x14ac:dyDescent="0.2">
      <c r="N402" s="170">
        <v>84</v>
      </c>
      <c r="O402" s="199">
        <f t="shared" si="243"/>
        <v>69183.097091893651</v>
      </c>
      <c r="P402" s="189" t="str">
        <f t="shared" si="209"/>
        <v>6.8875</v>
      </c>
      <c r="Q402" s="160" t="str">
        <f t="shared" si="210"/>
        <v>1+108.672554788241i</v>
      </c>
      <c r="R402" s="160">
        <f t="shared" si="218"/>
        <v>108.67715566853617</v>
      </c>
      <c r="S402" s="160">
        <f t="shared" si="219"/>
        <v>1.5615946311316735</v>
      </c>
      <c r="T402" s="160" t="str">
        <f t="shared" si="211"/>
        <v>1+0.173876087661186i</v>
      </c>
      <c r="U402" s="160">
        <f t="shared" si="220"/>
        <v>1.0150038885937138</v>
      </c>
      <c r="V402" s="160">
        <f t="shared" si="221"/>
        <v>0.17215494342351953</v>
      </c>
      <c r="W402" s="98" t="str">
        <f t="shared" si="212"/>
        <v>1-0.45154801158549i</v>
      </c>
      <c r="X402" s="160">
        <f t="shared" si="222"/>
        <v>1.0972217673591833</v>
      </c>
      <c r="Y402" s="160">
        <f t="shared" si="223"/>
        <v>-0.42414050783093177</v>
      </c>
      <c r="Z402" s="98" t="str">
        <f t="shared" si="213"/>
        <v>0.901109485057306+0.517611330185658i</v>
      </c>
      <c r="AA402" s="160">
        <f t="shared" si="224"/>
        <v>1.0391918943086544</v>
      </c>
      <c r="AB402" s="160">
        <f t="shared" si="225"/>
        <v>0.52139496399470397</v>
      </c>
      <c r="AC402" s="171" t="str">
        <f t="shared" si="226"/>
        <v>-0.0469960017272998-0.0490339999720406i</v>
      </c>
      <c r="AD402" s="190">
        <f t="shared" si="227"/>
        <v>-23.36020562459116</v>
      </c>
      <c r="AE402" s="169">
        <f t="shared" si="228"/>
        <v>-133.7842219091722</v>
      </c>
      <c r="AF402" s="98" t="str">
        <f t="shared" si="214"/>
        <v>-0.0000816326530612245</v>
      </c>
      <c r="AG402" s="98" t="str">
        <f t="shared" si="215"/>
        <v>0.00965881666957888i</v>
      </c>
      <c r="AH402" s="98">
        <f t="shared" si="229"/>
        <v>9.6588166695788808E-3</v>
      </c>
      <c r="AI402" s="98">
        <f t="shared" si="230"/>
        <v>1.5707963267948966</v>
      </c>
      <c r="AJ402" s="98" t="str">
        <f t="shared" si="216"/>
        <v>1+1.06994048001413i</v>
      </c>
      <c r="AK402" s="98">
        <f t="shared" si="231"/>
        <v>1.4645042269562991</v>
      </c>
      <c r="AL402" s="98">
        <f t="shared" si="232"/>
        <v>0.81917395672810089</v>
      </c>
      <c r="AM402" s="98" t="str">
        <f t="shared" si="217"/>
        <v>1+108.063988481427i</v>
      </c>
      <c r="AN402" s="98">
        <f t="shared" si="233"/>
        <v>108.06861527064177</v>
      </c>
      <c r="AO402" s="98">
        <f t="shared" si="234"/>
        <v>1.5615428143955121</v>
      </c>
      <c r="AP402" s="168" t="str">
        <f t="shared" si="235"/>
        <v>-0.421617227625415+0.459556959417171i</v>
      </c>
      <c r="AQ402" s="98">
        <f t="shared" si="236"/>
        <v>-4.1010210894378707</v>
      </c>
      <c r="AR402" s="169">
        <f t="shared" si="237"/>
        <v>132.5346023862908</v>
      </c>
      <c r="AS402" s="168" t="str">
        <f t="shared" si="238"/>
        <v>0.042348239892956-0.00092376053096558i</v>
      </c>
      <c r="AT402" s="190">
        <f t="shared" si="239"/>
        <v>-27.461226714029028</v>
      </c>
      <c r="AU402" s="169">
        <f t="shared" si="240"/>
        <v>-1.2496195228814264</v>
      </c>
      <c r="AV402" s="225"/>
      <c r="AX402">
        <f t="shared" si="241"/>
        <v>0</v>
      </c>
      <c r="AY402">
        <f t="shared" si="242"/>
        <v>0</v>
      </c>
    </row>
    <row r="403" spans="14:51" x14ac:dyDescent="0.2">
      <c r="N403" s="170">
        <v>85</v>
      </c>
      <c r="O403" s="199">
        <f t="shared" si="243"/>
        <v>70794.578438413781</v>
      </c>
      <c r="P403" s="189" t="str">
        <f t="shared" ref="P403:P466" si="244">COMPLEX(Adc,0)</f>
        <v>6.8875</v>
      </c>
      <c r="Q403" s="160" t="str">
        <f t="shared" ref="Q403:Q466" si="245">IMSUM(COMPLEX(1,0),IMDIV(COMPLEX(0,2*PI()*O403),COMPLEX(wp_lf,0)))</f>
        <v>1+111.203863768054i</v>
      </c>
      <c r="R403" s="160">
        <f t="shared" si="218"/>
        <v>111.20835992381109</v>
      </c>
      <c r="S403" s="160">
        <f t="shared" si="219"/>
        <v>1.5618040758744172</v>
      </c>
      <c r="T403" s="160" t="str">
        <f t="shared" ref="T403:T466" si="246">IMSUM(COMPLEX(1,0),IMDIV(COMPLEX(0,2*PI()*O403),COMPLEX(wz_esr,0)))</f>
        <v>1+0.177926182028886i</v>
      </c>
      <c r="U403" s="160">
        <f t="shared" si="220"/>
        <v>1.0157055312694601</v>
      </c>
      <c r="V403" s="160">
        <f t="shared" si="221"/>
        <v>0.17608347941181318</v>
      </c>
      <c r="W403" s="98" t="str">
        <f t="shared" ref="W403:W466" si="247">IMSUB(COMPLEX(1,0),IMDIV(COMPLEX(0,2*PI()*O403),COMPLEX(wz_rhp,0)))</f>
        <v>1-0.46206591593374i</v>
      </c>
      <c r="X403" s="160">
        <f t="shared" si="222"/>
        <v>1.1015919891991255</v>
      </c>
      <c r="Y403" s="160">
        <f t="shared" si="223"/>
        <v>-0.43284251655256228</v>
      </c>
      <c r="Z403" s="98" t="str">
        <f t="shared" ref="Z403:Z466" si="248">IF(Dc_Mode_Loop="CCM",IMSUM(COMPLEX(1,0),IMDIV(COMPLEX(0,2*PI()*O403),COMPLEX(Q*(wsl/2),0)),IMDIV(IMPOWER(COMPLEX(0,2*PI()*O403),2),IMPOWER(COMPLEX(wsl/2,0),2))),COMPLEX(1,0))</f>
        <v>0.896448918672051+0.529668046904103i</v>
      </c>
      <c r="AA403" s="160">
        <f t="shared" si="224"/>
        <v>1.041234317384659</v>
      </c>
      <c r="AB403" s="160">
        <f t="shared" si="225"/>
        <v>0.53366538760873117</v>
      </c>
      <c r="AC403" s="171" t="str">
        <f t="shared" si="226"/>
        <v>-0.0468727069048532-0.0472459826027318i</v>
      </c>
      <c r="AD403" s="190">
        <f t="shared" si="227"/>
        <v>-23.536714215872525</v>
      </c>
      <c r="AE403" s="169">
        <f t="shared" si="228"/>
        <v>-134.7727655361351</v>
      </c>
      <c r="AF403" s="98" t="str">
        <f t="shared" ref="AF403:AF466" si="249">COMPLEX(Adc_ea,0)</f>
        <v>-0.0000816326530612245</v>
      </c>
      <c r="AG403" s="98" t="str">
        <f t="shared" ref="AG403:AG466" si="250">COMPLEX(0,2*PI()*O403*wp0_ea)</f>
        <v>0.0098837994117046i</v>
      </c>
      <c r="AH403" s="98">
        <f t="shared" si="229"/>
        <v>9.8837994117045996E-3</v>
      </c>
      <c r="AI403" s="98">
        <f t="shared" si="230"/>
        <v>1.5707963267948966</v>
      </c>
      <c r="AJ403" s="98" t="str">
        <f t="shared" ref="AJ403:AJ466" si="251">IMSUM(COMPLEX(1,0),IMDIV(COMPLEX(0,2*PI()*O403),COMPLEX(wp1_ea,0)))</f>
        <v>1+1.09486259535596i</v>
      </c>
      <c r="AK403" s="98">
        <f t="shared" si="231"/>
        <v>1.4828095301519979</v>
      </c>
      <c r="AL403" s="98">
        <f t="shared" si="232"/>
        <v>0.83065069393806712</v>
      </c>
      <c r="AM403" s="98" t="str">
        <f t="shared" ref="AM403:AM466" si="252">IMSUM(COMPLEX(1,0),IMDIV(COMPLEX(0,2*PI()*O403),COMPLEX(wz_ea,0)))</f>
        <v>1+110.581122130952i</v>
      </c>
      <c r="AN403" s="98">
        <f t="shared" si="233"/>
        <v>110.58564360594245</v>
      </c>
      <c r="AO403" s="98">
        <f t="shared" si="234"/>
        <v>1.5617534384371177</v>
      </c>
      <c r="AP403" s="168" t="str">
        <f t="shared" si="235"/>
        <v>-0.411271741351697+0.458545284272071i</v>
      </c>
      <c r="AQ403" s="98">
        <f t="shared" si="236"/>
        <v>-4.2089326082588183</v>
      </c>
      <c r="AR403" s="169">
        <f t="shared" si="237"/>
        <v>131.88910165022696</v>
      </c>
      <c r="AS403" s="168" t="str">
        <f t="shared" si="238"/>
        <v>0.0409418423139097-0.00206232117538989i</v>
      </c>
      <c r="AT403" s="190">
        <f t="shared" si="239"/>
        <v>-27.745646824131335</v>
      </c>
      <c r="AU403" s="169">
        <f t="shared" si="240"/>
        <v>-2.8836638859081321</v>
      </c>
      <c r="AV403" s="225"/>
      <c r="AX403">
        <f t="shared" si="241"/>
        <v>0</v>
      </c>
      <c r="AY403">
        <f t="shared" si="242"/>
        <v>0</v>
      </c>
    </row>
    <row r="404" spans="14:51" x14ac:dyDescent="0.2">
      <c r="N404" s="170">
        <v>86</v>
      </c>
      <c r="O404" s="199">
        <f t="shared" si="243"/>
        <v>72443.596007499116</v>
      </c>
      <c r="P404" s="189" t="str">
        <f t="shared" si="244"/>
        <v>6.8875</v>
      </c>
      <c r="Q404" s="160" t="str">
        <f t="shared" si="245"/>
        <v>1+113.794134508393i</v>
      </c>
      <c r="R404" s="160">
        <f t="shared" ref="R404:R467" si="253">IMABS(Q404)</f>
        <v>113.79852832314765</v>
      </c>
      <c r="S404" s="160">
        <f t="shared" ref="S404:S467" si="254">IMARGUMENT(Q404)</f>
        <v>1.5620087538351126</v>
      </c>
      <c r="T404" s="160" t="str">
        <f t="shared" si="246"/>
        <v>1+0.182070615213429i</v>
      </c>
      <c r="U404" s="160">
        <f t="shared" ref="U404:U467" si="255">IMABS(T404)</f>
        <v>1.0164397222286212</v>
      </c>
      <c r="V404" s="160">
        <f t="shared" ref="V404:V467" si="256">IMARGUMENT(T404)</f>
        <v>0.18009784445840188</v>
      </c>
      <c r="W404" s="98" t="str">
        <f t="shared" si="247"/>
        <v>1-0.472828813746785i</v>
      </c>
      <c r="X404" s="160">
        <f t="shared" ref="X404:X467" si="257">IMABS(W404)</f>
        <v>1.1061496675898754</v>
      </c>
      <c r="Y404" s="160">
        <f t="shared" ref="Y404:Y467" si="258">IMARGUMENT(W404)</f>
        <v>-0.44167535326452678</v>
      </c>
      <c r="Z404" s="98" t="str">
        <f t="shared" si="248"/>
        <v>0.891568706559964+0.542005600632004i</v>
      </c>
      <c r="AA404" s="160">
        <f t="shared" ref="AA404:AA467" si="259">IMABS(Z404)</f>
        <v>1.0433910243209239</v>
      </c>
      <c r="AB404" s="160">
        <f t="shared" ref="AB404:AB467" si="260">IMARGUMENT(Z404)</f>
        <v>0.54622526908704794</v>
      </c>
      <c r="AC404" s="171" t="str">
        <f t="shared" ref="AC404:AC467" si="261">(IMDIV(IMPRODUCT(P404,T404,W404),IMPRODUCT(Q404,Z404)))</f>
        <v>-0.046740396544194-0.0454844888234667i</v>
      </c>
      <c r="AD404" s="190">
        <f t="shared" ref="AD404:AD467" si="262">20*LOG(IMABS(AC404))</f>
        <v>-23.712532164609389</v>
      </c>
      <c r="AE404" s="169">
        <f t="shared" ref="AE404:AE467" si="263">(180/PI())*IMARGUMENT(AC404)</f>
        <v>-135.78019900946359</v>
      </c>
      <c r="AF404" s="98" t="str">
        <f t="shared" si="249"/>
        <v>-0.0000816326530612245</v>
      </c>
      <c r="AG404" s="98" t="str">
        <f t="shared" si="250"/>
        <v>0.010114022675106i</v>
      </c>
      <c r="AH404" s="98">
        <f t="shared" ref="AH404:AH467" si="264">IMABS(AG404)</f>
        <v>1.0114022675105999E-2</v>
      </c>
      <c r="AI404" s="98">
        <f t="shared" ref="AI404:AI467" si="265">IMARGUMENT(AG404)</f>
        <v>1.5707963267948966</v>
      </c>
      <c r="AJ404" s="98" t="str">
        <f t="shared" si="251"/>
        <v>1+1.12036522133808i</v>
      </c>
      <c r="AK404" s="98">
        <f t="shared" ref="AK404:AK467" si="266">IMABS(AJ404)</f>
        <v>1.5017384023803628</v>
      </c>
      <c r="AL404" s="98">
        <f t="shared" ref="AL404:AL467" si="267">IMARGUMENT(AJ404)</f>
        <v>0.84210357473882325</v>
      </c>
      <c r="AM404" s="98" t="str">
        <f t="shared" si="252"/>
        <v>1+113.156887355146i</v>
      </c>
      <c r="AN404" s="98">
        <f t="shared" ref="AN404:AN467" si="268">IMABS(AM404)</f>
        <v>113.16130591286581</v>
      </c>
      <c r="AO404" s="98">
        <f t="shared" ref="AO404:AO467" si="269">IMARGUMENT(AM404)</f>
        <v>1.5619592688655068</v>
      </c>
      <c r="AP404" s="168" t="str">
        <f t="shared" ref="AP404:AP467" si="270">IMPRODUCT(AF404,IMDIV(AM404,IMPRODUCT(AG404,AJ404)))</f>
        <v>-0.400969218309547+0.457303201947484i</v>
      </c>
      <c r="AQ404" s="98">
        <f t="shared" ref="AQ404:AQ467" si="271">20*LOG(IMABS(AP404))</f>
        <v>-4.3191269527079763</v>
      </c>
      <c r="AR404" s="169">
        <f t="shared" ref="AR404:AR467" si="272">(180/PI())*IMARGUMENT(AP404)</f>
        <v>131.24469313191926</v>
      </c>
      <c r="AS404" s="168" t="str">
        <f t="shared" ref="AS404:AS467" si="273">IMPRODUCT(AC404,AP404)</f>
        <v>0.0395416626437196-0.00313665307120026i</v>
      </c>
      <c r="AT404" s="190">
        <f t="shared" ref="AT404:AT467" si="274">20*LOG(IMABS(AS404))</f>
        <v>-28.031659117317361</v>
      </c>
      <c r="AU404" s="169">
        <f t="shared" ref="AU404:AU467" si="275">(180/PI())*IMARGUMENT(AS404)</f>
        <v>-4.5355058775443249</v>
      </c>
      <c r="AV404" s="225"/>
      <c r="AX404">
        <f t="shared" ref="AX404:AX467" si="276">SUM((AT405&lt;0)*(AT404&gt;0))*O404</f>
        <v>0</v>
      </c>
      <c r="AY404">
        <f t="shared" ref="AY404:AY467" si="277">IF(AX404&gt;0,AU404,0)</f>
        <v>0</v>
      </c>
    </row>
    <row r="405" spans="14:51" x14ac:dyDescent="0.2">
      <c r="N405" s="170">
        <v>87</v>
      </c>
      <c r="O405" s="199">
        <f t="shared" si="243"/>
        <v>74131.024130091857</v>
      </c>
      <c r="P405" s="189" t="str">
        <f t="shared" si="244"/>
        <v>6.8875</v>
      </c>
      <c r="Q405" s="160" t="str">
        <f t="shared" si="245"/>
        <v>1+116.444740405092i</v>
      </c>
      <c r="R405" s="160">
        <f t="shared" si="253"/>
        <v>116.44903420814303</v>
      </c>
      <c r="S405" s="160">
        <f t="shared" si="254"/>
        <v>1.5622087734680881</v>
      </c>
      <c r="T405" s="160" t="str">
        <f t="shared" si="246"/>
        <v>1+0.186311584648148i</v>
      </c>
      <c r="U405" s="160">
        <f t="shared" si="255"/>
        <v>1.0172079465743984</v>
      </c>
      <c r="V405" s="160">
        <f t="shared" si="256"/>
        <v>0.18419964924116916</v>
      </c>
      <c r="W405" s="98" t="str">
        <f t="shared" si="247"/>
        <v>1-0.483842411655508i</v>
      </c>
      <c r="X405" s="160">
        <f t="shared" si="257"/>
        <v>1.1109021015897926</v>
      </c>
      <c r="Y405" s="160">
        <f t="shared" si="258"/>
        <v>-0.45063818720516707</v>
      </c>
      <c r="Z405" s="98" t="str">
        <f t="shared" si="248"/>
        <v>0.886458497136854+0.554630532903651i</v>
      </c>
      <c r="AA405" s="160">
        <f t="shared" si="259"/>
        <v>1.0456690179856711</v>
      </c>
      <c r="AB405" s="160">
        <f t="shared" si="260"/>
        <v>0.55908100450447673</v>
      </c>
      <c r="AC405" s="171" t="str">
        <f t="shared" si="261"/>
        <v>-0.0465987136376905-0.0437487672122124i</v>
      </c>
      <c r="AD405" s="190">
        <f t="shared" si="262"/>
        <v>-23.887659740367255</v>
      </c>
      <c r="AE405" s="169">
        <f t="shared" si="263"/>
        <v>-136.80675512704454</v>
      </c>
      <c r="AF405" s="98" t="str">
        <f t="shared" si="249"/>
        <v>-0.0000816326530612245</v>
      </c>
      <c r="AG405" s="98" t="str">
        <f t="shared" si="250"/>
        <v>0.0103496085272046i</v>
      </c>
      <c r="AH405" s="98">
        <f t="shared" si="264"/>
        <v>1.0349608527204599E-2</v>
      </c>
      <c r="AI405" s="98">
        <f t="shared" si="265"/>
        <v>1.5707963267948966</v>
      </c>
      <c r="AJ405" s="98" t="str">
        <f t="shared" si="251"/>
        <v>1+1.14646187979033i</v>
      </c>
      <c r="AK405" s="98">
        <f t="shared" si="266"/>
        <v>1.5213069518714417</v>
      </c>
      <c r="AL405" s="98">
        <f t="shared" si="267"/>
        <v>0.85352665452267995</v>
      </c>
      <c r="AM405" s="98" t="str">
        <f t="shared" si="252"/>
        <v>1+115.792649858824i</v>
      </c>
      <c r="AN405" s="98">
        <f t="shared" si="268"/>
        <v>115.79696784168492</v>
      </c>
      <c r="AO405" s="98">
        <f t="shared" si="269"/>
        <v>1.5621604147448951</v>
      </c>
      <c r="AP405" s="168" t="str">
        <f t="shared" si="270"/>
        <v>-0.390720238630487+0.455833370441542i</v>
      </c>
      <c r="AQ405" s="98">
        <f t="shared" si="271"/>
        <v>-4.4315934806826744</v>
      </c>
      <c r="AR405" s="169">
        <f t="shared" si="272"/>
        <v>130.60172368121857</v>
      </c>
      <c r="AS405" s="168" t="str">
        <f t="shared" si="273"/>
        <v>0.0381492085233974-0.00414771993076345i</v>
      </c>
      <c r="AT405" s="190">
        <f t="shared" si="274"/>
        <v>-28.319253221049919</v>
      </c>
      <c r="AU405" s="169">
        <f t="shared" si="275"/>
        <v>-6.2050314458259406</v>
      </c>
      <c r="AV405" s="225"/>
      <c r="AX405">
        <f t="shared" si="276"/>
        <v>0</v>
      </c>
      <c r="AY405">
        <f t="shared" si="277"/>
        <v>0</v>
      </c>
    </row>
    <row r="406" spans="14:51" x14ac:dyDescent="0.2">
      <c r="N406" s="170">
        <v>88</v>
      </c>
      <c r="O406" s="199">
        <f t="shared" si="243"/>
        <v>75857.757502918481</v>
      </c>
      <c r="P406" s="189" t="str">
        <f t="shared" si="244"/>
        <v>6.8875</v>
      </c>
      <c r="Q406" s="160" t="str">
        <f t="shared" si="245"/>
        <v>1+119.157086844482i</v>
      </c>
      <c r="R406" s="160">
        <f t="shared" si="253"/>
        <v>119.16128291212469</v>
      </c>
      <c r="S406" s="160">
        <f t="shared" si="254"/>
        <v>1.5624042407623451</v>
      </c>
      <c r="T406" s="160" t="str">
        <f t="shared" si="246"/>
        <v>1+0.190651338951172i</v>
      </c>
      <c r="U406" s="160">
        <f t="shared" si="255"/>
        <v>1.0180117548652741</v>
      </c>
      <c r="V406" s="160">
        <f t="shared" si="256"/>
        <v>0.18839051622416464</v>
      </c>
      <c r="W406" s="98" t="str">
        <f t="shared" si="247"/>
        <v>1-0.4951125492153i</v>
      </c>
      <c r="X406" s="160">
        <f t="shared" si="257"/>
        <v>1.1158568171546352</v>
      </c>
      <c r="Y406" s="160">
        <f t="shared" si="258"/>
        <v>-0.45973000954607324</v>
      </c>
      <c r="Z406" s="98" t="str">
        <f t="shared" si="248"/>
        <v>0.881107450963397+0.567549537625245i</v>
      </c>
      <c r="AA406" s="160">
        <f t="shared" si="259"/>
        <v>1.0480757691130183</v>
      </c>
      <c r="AB406" s="160">
        <f t="shared" si="260"/>
        <v>0.57223904825528393</v>
      </c>
      <c r="AC406" s="171" t="str">
        <f t="shared" si="261"/>
        <v>-0.0464472798314931-0.0420381000193831i</v>
      </c>
      <c r="AD406" s="190">
        <f t="shared" si="262"/>
        <v>-24.062099501338071</v>
      </c>
      <c r="AE406" s="169">
        <f t="shared" si="263"/>
        <v>-137.85265900919839</v>
      </c>
      <c r="AF406" s="98" t="str">
        <f t="shared" si="249"/>
        <v>-0.0000816326530612245</v>
      </c>
      <c r="AG406" s="98" t="str">
        <f t="shared" si="250"/>
        <v>0.0105906818787376i</v>
      </c>
      <c r="AH406" s="98">
        <f t="shared" si="264"/>
        <v>1.0590681878737599E-2</v>
      </c>
      <c r="AI406" s="98">
        <f t="shared" si="265"/>
        <v>1.5707963267948966</v>
      </c>
      <c r="AJ406" s="98" t="str">
        <f t="shared" si="251"/>
        <v>1+1.17316640750647i</v>
      </c>
      <c r="AK406" s="98">
        <f t="shared" si="266"/>
        <v>1.5415315175829643</v>
      </c>
      <c r="AL406" s="98">
        <f t="shared" si="267"/>
        <v>0.86491406640382562</v>
      </c>
      <c r="AM406" s="98" t="str">
        <f t="shared" si="252"/>
        <v>1+118.489807158153i</v>
      </c>
      <c r="AN406" s="98">
        <f t="shared" si="268"/>
        <v>118.49402685526509</v>
      </c>
      <c r="AO406" s="98">
        <f t="shared" si="269"/>
        <v>1.5623569826603465</v>
      </c>
      <c r="AP406" s="168" t="str">
        <f t="shared" si="270"/>
        <v>-0.380535159952047+0.454139036045547i</v>
      </c>
      <c r="AQ406" s="98">
        <f t="shared" si="271"/>
        <v>-4.5463192323599344</v>
      </c>
      <c r="AR406" s="169">
        <f t="shared" si="272"/>
        <v>129.96053555279465</v>
      </c>
      <c r="AS406" s="168" t="str">
        <f t="shared" si="273"/>
        <v>0.0367659652800036-0.00509654777465595i</v>
      </c>
      <c r="AT406" s="190">
        <f t="shared" si="274"/>
        <v>-28.60841873369802</v>
      </c>
      <c r="AU406" s="169">
        <f t="shared" si="275"/>
        <v>-7.8921234564037226</v>
      </c>
      <c r="AV406" s="225"/>
      <c r="AX406">
        <f t="shared" si="276"/>
        <v>0</v>
      </c>
      <c r="AY406">
        <f t="shared" si="277"/>
        <v>0</v>
      </c>
    </row>
    <row r="407" spans="14:51" x14ac:dyDescent="0.2">
      <c r="N407" s="170">
        <v>89</v>
      </c>
      <c r="O407" s="199">
        <f t="shared" si="243"/>
        <v>77624.711662869129</v>
      </c>
      <c r="P407" s="189" t="str">
        <f t="shared" si="244"/>
        <v>6.8875</v>
      </c>
      <c r="Q407" s="160" t="str">
        <f t="shared" si="245"/>
        <v>1+121.932611948548i</v>
      </c>
      <c r="R407" s="160">
        <f t="shared" si="253"/>
        <v>121.93671250527953</v>
      </c>
      <c r="S407" s="160">
        <f t="shared" si="254"/>
        <v>1.5625952592974492</v>
      </c>
      <c r="T407" s="160" t="str">
        <f t="shared" si="246"/>
        <v>1+0.195092179117676i</v>
      </c>
      <c r="U407" s="160">
        <f t="shared" si="255"/>
        <v>1.0188527657875222</v>
      </c>
      <c r="V407" s="160">
        <f t="shared" si="256"/>
        <v>0.19267207832814859</v>
      </c>
      <c r="W407" s="98" t="str">
        <f t="shared" si="247"/>
        <v>1-0.506645202002276i</v>
      </c>
      <c r="X407" s="160">
        <f t="shared" si="257"/>
        <v>1.1210215701367781</v>
      </c>
      <c r="Y407" s="160">
        <f t="shared" si="258"/>
        <v>-0.46894962759378833</v>
      </c>
      <c r="Z407" s="98" t="str">
        <f t="shared" si="248"/>
        <v>0.875504217753232+0.580769464624095i</v>
      </c>
      <c r="AA407" s="160">
        <f t="shared" si="259"/>
        <v>1.0506192489876893</v>
      </c>
      <c r="AB407" s="160">
        <f t="shared" si="260"/>
        <v>0.58570590136504297</v>
      </c>
      <c r="AC407" s="171" t="str">
        <f t="shared" si="261"/>
        <v>-0.0462856952497369-0.0403518047742887i</v>
      </c>
      <c r="AD407" s="190">
        <f t="shared" si="262"/>
        <v>-24.235856514540441</v>
      </c>
      <c r="AE407" s="169">
        <f t="shared" si="263"/>
        <v>-138.91812717615582</v>
      </c>
      <c r="AF407" s="98" t="str">
        <f t="shared" si="249"/>
        <v>-0.0000816326530612245</v>
      </c>
      <c r="AG407" s="98" t="str">
        <f t="shared" si="250"/>
        <v>0.0108373705499869i</v>
      </c>
      <c r="AH407" s="98">
        <f t="shared" si="264"/>
        <v>1.08373705499869E-2</v>
      </c>
      <c r="AI407" s="98">
        <f t="shared" si="265"/>
        <v>1.5707963267948966</v>
      </c>
      <c r="AJ407" s="98" t="str">
        <f t="shared" si="251"/>
        <v>1+1.20049296358055i</v>
      </c>
      <c r="AK407" s="98">
        <f t="shared" si="266"/>
        <v>1.5624286721660003</v>
      </c>
      <c r="AL407" s="98">
        <f t="shared" si="267"/>
        <v>0.8762600358802346</v>
      </c>
      <c r="AM407" s="98" t="str">
        <f t="shared" si="252"/>
        <v>1+121.249789321636i</v>
      </c>
      <c r="AN407" s="98">
        <f t="shared" si="268"/>
        <v>121.25391297001973</v>
      </c>
      <c r="AO407" s="98">
        <f t="shared" si="269"/>
        <v>1.5625490767739754</v>
      </c>
      <c r="AP407" s="168" t="str">
        <f t="shared" si="270"/>
        <v>-0.370424076666171+0.452224012286319i</v>
      </c>
      <c r="AQ407" s="98">
        <f t="shared" si="271"/>
        <v>-4.6632889840191378</v>
      </c>
      <c r="AR407" s="169">
        <f t="shared" si="272"/>
        <v>129.3214655692926</v>
      </c>
      <c r="AS407" s="168" t="str">
        <f t="shared" si="273"/>
        <v>0.0353933909837586-0.00598422279196835i</v>
      </c>
      <c r="AT407" s="190">
        <f t="shared" si="274"/>
        <v>-28.899145498559591</v>
      </c>
      <c r="AU407" s="169">
        <f t="shared" si="275"/>
        <v>-9.5966616068632078</v>
      </c>
      <c r="AV407" s="225"/>
      <c r="AX407">
        <f t="shared" si="276"/>
        <v>0</v>
      </c>
      <c r="AY407">
        <f t="shared" si="277"/>
        <v>0</v>
      </c>
    </row>
    <row r="408" spans="14:51" x14ac:dyDescent="0.2">
      <c r="N408" s="170">
        <v>90</v>
      </c>
      <c r="O408" s="199">
        <f t="shared" si="243"/>
        <v>79432.823472428237</v>
      </c>
      <c r="P408" s="189" t="str">
        <f t="shared" si="244"/>
        <v>6.8875</v>
      </c>
      <c r="Q408" s="160" t="str">
        <f t="shared" si="245"/>
        <v>1+124.772787337438i</v>
      </c>
      <c r="R408" s="160">
        <f t="shared" si="253"/>
        <v>124.7767945571352</v>
      </c>
      <c r="S408" s="160">
        <f t="shared" si="254"/>
        <v>1.5627819302981651</v>
      </c>
      <c r="T408" s="160" t="str">
        <f t="shared" si="246"/>
        <v>1+0.1996364597399i</v>
      </c>
      <c r="U408" s="160">
        <f t="shared" si="255"/>
        <v>1.0197326689174377</v>
      </c>
      <c r="V408" s="160">
        <f t="shared" si="256"/>
        <v>0.19704597748185781</v>
      </c>
      <c r="W408" s="98" t="str">
        <f t="shared" si="247"/>
        <v>1-0.518446484781597i</v>
      </c>
      <c r="X408" s="160">
        <f t="shared" si="257"/>
        <v>1.1264043490604938</v>
      </c>
      <c r="Y408" s="160">
        <f t="shared" si="258"/>
        <v>-0.47829565933542373</v>
      </c>
      <c r="Z408" s="98" t="str">
        <f t="shared" si="248"/>
        <v>0.869636912297481+0.594297323280483i</v>
      </c>
      <c r="AA408" s="160">
        <f t="shared" si="259"/>
        <v>1.0533079643146364</v>
      </c>
      <c r="AB408" s="160">
        <f t="shared" si="260"/>
        <v>0.59948809806038339</v>
      </c>
      <c r="AC408" s="171" t="str">
        <f t="shared" si="261"/>
        <v>-0.0461135384237617-0.0386892360629515i</v>
      </c>
      <c r="AD408" s="190">
        <f t="shared" si="262"/>
        <v>-24.408938585671503</v>
      </c>
      <c r="AE408" s="169">
        <f t="shared" si="263"/>
        <v>-140.00336655218422</v>
      </c>
      <c r="AF408" s="98" t="str">
        <f t="shared" si="249"/>
        <v>-0.0000816326530612245</v>
      </c>
      <c r="AG408" s="98" t="str">
        <f t="shared" si="250"/>
        <v>0.0110898053385515i</v>
      </c>
      <c r="AH408" s="98">
        <f t="shared" si="264"/>
        <v>1.1089805338551501E-2</v>
      </c>
      <c r="AI408" s="98">
        <f t="shared" si="265"/>
        <v>1.5707963267948966</v>
      </c>
      <c r="AJ408" s="98" t="str">
        <f t="shared" si="251"/>
        <v>1+1.22845603691434i</v>
      </c>
      <c r="AK408" s="98">
        <f t="shared" si="266"/>
        <v>1.5840152255048832</v>
      </c>
      <c r="AL408" s="98">
        <f t="shared" si="267"/>
        <v>0.88755889491847262</v>
      </c>
      <c r="AM408" s="98" t="str">
        <f t="shared" si="252"/>
        <v>1+124.074059728348i</v>
      </c>
      <c r="AN408" s="98">
        <f t="shared" si="268"/>
        <v>124.07808951411877</v>
      </c>
      <c r="AO408" s="98">
        <f t="shared" si="269"/>
        <v>1.5627367988798846</v>
      </c>
      <c r="AP408" s="168" t="str">
        <f t="shared" si="270"/>
        <v>-0.360396781445869+0.450092655591498i</v>
      </c>
      <c r="AQ408" s="98">
        <f t="shared" si="271"/>
        <v>-4.7824853106310012</v>
      </c>
      <c r="AR408" s="169">
        <f t="shared" si="272"/>
        <v>128.68484431747802</v>
      </c>
      <c r="AS408" s="168" t="str">
        <f t="shared" si="273"/>
        <v>0.0340329118313843-0.00681188881418432i</v>
      </c>
      <c r="AT408" s="190">
        <f t="shared" si="274"/>
        <v>-29.191423896302506</v>
      </c>
      <c r="AU408" s="169">
        <f t="shared" si="275"/>
        <v>-11.318522234706203</v>
      </c>
      <c r="AV408" s="225"/>
      <c r="AX408">
        <f t="shared" si="276"/>
        <v>0</v>
      </c>
      <c r="AY408">
        <f t="shared" si="277"/>
        <v>0</v>
      </c>
    </row>
    <row r="409" spans="14:51" x14ac:dyDescent="0.2">
      <c r="N409" s="170">
        <v>91</v>
      </c>
      <c r="O409" s="199">
        <f t="shared" si="243"/>
        <v>81283.051616410012</v>
      </c>
      <c r="P409" s="189" t="str">
        <f t="shared" si="244"/>
        <v>6.8875</v>
      </c>
      <c r="Q409" s="160" t="str">
        <f t="shared" si="245"/>
        <v>1+127.679118909737i</v>
      </c>
      <c r="R409" s="160">
        <f t="shared" si="253"/>
        <v>127.68303491680781</v>
      </c>
      <c r="S409" s="160">
        <f t="shared" si="254"/>
        <v>1.5629643526878605</v>
      </c>
      <c r="T409" s="160" t="str">
        <f t="shared" si="246"/>
        <v>1+0.204286590255579i</v>
      </c>
      <c r="U409" s="160">
        <f t="shared" si="255"/>
        <v>1.0206532275745033</v>
      </c>
      <c r="V409" s="160">
        <f t="shared" si="256"/>
        <v>0.20151386304772179</v>
      </c>
      <c r="W409" s="98" t="str">
        <f t="shared" si="247"/>
        <v>1-0.530522654749598i</v>
      </c>
      <c r="X409" s="160">
        <f t="shared" si="257"/>
        <v>1.1320133776606005</v>
      </c>
      <c r="Y409" s="160">
        <f t="shared" si="258"/>
        <v>-0.48776652838168555</v>
      </c>
      <c r="Z409" s="98" t="str">
        <f t="shared" si="248"/>
        <v>0.863493089254629+0.608140286244128i</v>
      </c>
      <c r="AA409" s="160">
        <f t="shared" si="259"/>
        <v>1.0561509943864997</v>
      </c>
      <c r="AB409" s="160">
        <f t="shared" si="260"/>
        <v>0.61359219043093505</v>
      </c>
      <c r="AC409" s="171" t="str">
        <f t="shared" si="261"/>
        <v>-0.0459303663489273-0.0370497874821112i</v>
      </c>
      <c r="AD409" s="190">
        <f t="shared" si="262"/>
        <v>-24.581356497919376</v>
      </c>
      <c r="AE409" s="169">
        <f t="shared" si="263"/>
        <v>-141.10857339029809</v>
      </c>
      <c r="AF409" s="98" t="str">
        <f t="shared" si="249"/>
        <v>-0.0000816326530612245</v>
      </c>
      <c r="AG409" s="98" t="str">
        <f t="shared" si="250"/>
        <v>0.0113481200886974i</v>
      </c>
      <c r="AH409" s="98">
        <f t="shared" si="264"/>
        <v>1.13481200886974E-2</v>
      </c>
      <c r="AI409" s="98">
        <f t="shared" si="265"/>
        <v>1.5707963267948966</v>
      </c>
      <c r="AJ409" s="98" t="str">
        <f t="shared" si="251"/>
        <v>1+1.25707045389943i</v>
      </c>
      <c r="AK409" s="98">
        <f t="shared" si="266"/>
        <v>1.6063082288486599</v>
      </c>
      <c r="AL409" s="98">
        <f t="shared" si="267"/>
        <v>0.89880509538123121</v>
      </c>
      <c r="AM409" s="98" t="str">
        <f t="shared" si="252"/>
        <v>1+126.964115843842i</v>
      </c>
      <c r="AN409" s="98">
        <f t="shared" si="268"/>
        <v>126.96805390336787</v>
      </c>
      <c r="AO409" s="98">
        <f t="shared" si="269"/>
        <v>1.5629202484578668</v>
      </c>
      <c r="AP409" s="168" t="str">
        <f t="shared" si="270"/>
        <v>-0.350462729346795+0.447749837954818i</v>
      </c>
      <c r="AQ409" s="98">
        <f t="shared" si="271"/>
        <v>-4.9038886566701665</v>
      </c>
      <c r="AR409" s="169">
        <f t="shared" si="272"/>
        <v>128.05099538197578</v>
      </c>
      <c r="AS409" s="168" t="str">
        <f t="shared" si="273"/>
        <v>0.032685917891919-0.00758074444723821i</v>
      </c>
      <c r="AT409" s="190">
        <f t="shared" si="274"/>
        <v>-29.485245154589542</v>
      </c>
      <c r="AU409" s="169">
        <f t="shared" si="275"/>
        <v>-13.057578008322311</v>
      </c>
      <c r="AV409" s="225"/>
      <c r="AX409">
        <f t="shared" si="276"/>
        <v>0</v>
      </c>
      <c r="AY409">
        <f t="shared" si="277"/>
        <v>0</v>
      </c>
    </row>
    <row r="410" spans="14:51" x14ac:dyDescent="0.2">
      <c r="N410" s="170">
        <v>92</v>
      </c>
      <c r="O410" s="199">
        <f t="shared" si="243"/>
        <v>83176.377110267174</v>
      </c>
      <c r="P410" s="189" t="str">
        <f t="shared" si="244"/>
        <v>6.8875</v>
      </c>
      <c r="Q410" s="160" t="str">
        <f t="shared" si="245"/>
        <v>1+130.653147640915i</v>
      </c>
      <c r="R410" s="160">
        <f t="shared" si="253"/>
        <v>130.65697451142339</v>
      </c>
      <c r="S410" s="160">
        <f t="shared" si="254"/>
        <v>1.563142623140708</v>
      </c>
      <c r="T410" s="160" t="str">
        <f t="shared" si="246"/>
        <v>1+0.209045036225464i</v>
      </c>
      <c r="U410" s="160">
        <f t="shared" si="255"/>
        <v>1.0216162817665475</v>
      </c>
      <c r="V410" s="160">
        <f t="shared" si="256"/>
        <v>0.20607739011566681</v>
      </c>
      <c r="W410" s="98" t="str">
        <f t="shared" si="247"/>
        <v>1-0.542880114851446i</v>
      </c>
      <c r="X410" s="160">
        <f t="shared" si="257"/>
        <v>1.1378571171729424</v>
      </c>
      <c r="Y410" s="160">
        <f t="shared" si="258"/>
        <v>-0.49736045936193563</v>
      </c>
      <c r="Z410" s="98" t="str">
        <f t="shared" si="248"/>
        <v>0.857059716752286+0.622305693237228i</v>
      </c>
      <c r="AA410" s="160">
        <f t="shared" si="259"/>
        <v>1.059158030661608</v>
      </c>
      <c r="AB410" s="160">
        <f t="shared" si="260"/>
        <v>0.628024731009864</v>
      </c>
      <c r="AC410" s="171" t="str">
        <f t="shared" si="261"/>
        <v>-0.0457357146942295-0.0354328937726196i</v>
      </c>
      <c r="AD410" s="190">
        <f t="shared" si="262"/>
        <v>-24.753124258830294</v>
      </c>
      <c r="AE410" s="169">
        <f t="shared" si="263"/>
        <v>-142.23393211110331</v>
      </c>
      <c r="AF410" s="98" t="str">
        <f t="shared" si="249"/>
        <v>-0.0000816326530612245</v>
      </c>
      <c r="AG410" s="98" t="str">
        <f t="shared" si="250"/>
        <v>0.0116124517623245i</v>
      </c>
      <c r="AH410" s="98">
        <f t="shared" si="264"/>
        <v>1.16124517623245E-2</v>
      </c>
      <c r="AI410" s="98">
        <f t="shared" si="265"/>
        <v>1.5707963267948966</v>
      </c>
      <c r="AJ410" s="98" t="str">
        <f t="shared" si="251"/>
        <v>1+1.28635138627847i</v>
      </c>
      <c r="AK410" s="98">
        <f t="shared" si="266"/>
        <v>1.6293249795484452</v>
      </c>
      <c r="AL410" s="98">
        <f t="shared" si="267"/>
        <v>0.90999322172516972</v>
      </c>
      <c r="AM410" s="98" t="str">
        <f t="shared" si="252"/>
        <v>1+129.921490014126i</v>
      </c>
      <c r="AN410" s="98">
        <f t="shared" si="268"/>
        <v>129.92533843515915</v>
      </c>
      <c r="AO410" s="98">
        <f t="shared" si="269"/>
        <v>1.5630995227258984</v>
      </c>
      <c r="AP410" s="168" t="str">
        <f t="shared" si="270"/>
        <v>-0.34063100474253+0.445200916906816i</v>
      </c>
      <c r="AQ410" s="98">
        <f t="shared" si="271"/>
        <v>-5.0274774145587724</v>
      </c>
      <c r="AR410" s="169">
        <f t="shared" si="272"/>
        <v>127.42023462074246</v>
      </c>
      <c r="AS410" s="168" t="str">
        <f t="shared" si="273"/>
        <v>0.0313537592451451-0.00829203991055676i</v>
      </c>
      <c r="AT410" s="190">
        <f t="shared" si="274"/>
        <v>-29.780601673389079</v>
      </c>
      <c r="AU410" s="169">
        <f t="shared" si="275"/>
        <v>-14.81369749036088</v>
      </c>
      <c r="AV410" s="225"/>
      <c r="AX410">
        <f t="shared" si="276"/>
        <v>0</v>
      </c>
      <c r="AY410">
        <f t="shared" si="277"/>
        <v>0</v>
      </c>
    </row>
    <row r="411" spans="14:51" x14ac:dyDescent="0.2">
      <c r="N411" s="170">
        <v>93</v>
      </c>
      <c r="O411" s="199">
        <f t="shared" si="243"/>
        <v>85113.803820237721</v>
      </c>
      <c r="P411" s="189" t="str">
        <f t="shared" si="244"/>
        <v>6.8875</v>
      </c>
      <c r="Q411" s="160" t="str">
        <f t="shared" si="245"/>
        <v>1+133.696450400371i</v>
      </c>
      <c r="R411" s="160">
        <f t="shared" si="253"/>
        <v>133.70019016313651</v>
      </c>
      <c r="S411" s="160">
        <f t="shared" si="254"/>
        <v>1.563316836132711</v>
      </c>
      <c r="T411" s="160" t="str">
        <f t="shared" si="246"/>
        <v>1+0.213914320640593i</v>
      </c>
      <c r="U411" s="160">
        <f t="shared" si="255"/>
        <v>1.0226237512277554</v>
      </c>
      <c r="V411" s="160">
        <f t="shared" si="256"/>
        <v>0.21073821765852341</v>
      </c>
      <c r="W411" s="98" t="str">
        <f t="shared" si="247"/>
        <v>1-0.555525417176056i</v>
      </c>
      <c r="X411" s="160">
        <f t="shared" si="257"/>
        <v>1.143944268366528</v>
      </c>
      <c r="Y411" s="160">
        <f t="shared" si="258"/>
        <v>-0.50707547382654727</v>
      </c>
      <c r="Z411" s="98" t="str">
        <f t="shared" si="248"/>
        <v>0.850323148744837+0.636801054946072i</v>
      </c>
      <c r="AA411" s="160">
        <f t="shared" si="259"/>
        <v>1.0623394188637474</v>
      </c>
      <c r="AB411" s="160">
        <f t="shared" si="260"/>
        <v>0.64279225309261323</v>
      </c>
      <c r="AC411" s="171" t="str">
        <f t="shared" si="261"/>
        <v>-0.0455290981926338-0.0338380331333288i</v>
      </c>
      <c r="AD411" s="190">
        <f t="shared" si="262"/>
        <v>-24.924259354088729</v>
      </c>
      <c r="AE411" s="169">
        <f t="shared" si="263"/>
        <v>-143.37961404897604</v>
      </c>
      <c r="AF411" s="98" t="str">
        <f t="shared" si="249"/>
        <v>-0.0000816326530612245</v>
      </c>
      <c r="AG411" s="98" t="str">
        <f t="shared" si="250"/>
        <v>0.011882940511585i</v>
      </c>
      <c r="AH411" s="98">
        <f t="shared" si="264"/>
        <v>1.1882940511585E-2</v>
      </c>
      <c r="AI411" s="98">
        <f t="shared" si="265"/>
        <v>1.5707963267948966</v>
      </c>
      <c r="AJ411" s="98" t="str">
        <f t="shared" si="251"/>
        <v>1+1.31631435918939i</v>
      </c>
      <c r="AK411" s="98">
        <f t="shared" si="266"/>
        <v>1.6530830264110072</v>
      </c>
      <c r="AL411" s="98">
        <f t="shared" si="267"/>
        <v>0.92111800290443502</v>
      </c>
      <c r="AM411" s="98" t="str">
        <f t="shared" si="252"/>
        <v>1+132.947750278129i</v>
      </c>
      <c r="AN411" s="98">
        <f t="shared" si="268"/>
        <v>132.95151110091135</v>
      </c>
      <c r="AO411" s="98">
        <f t="shared" si="269"/>
        <v>1.5632747166914485</v>
      </c>
      <c r="AP411" s="168" t="str">
        <f t="shared" si="270"/>
        <v>-0.330910291313177+0.442451703120166i</v>
      </c>
      <c r="AQ411" s="98">
        <f t="shared" si="271"/>
        <v>-5.1532280100844101</v>
      </c>
      <c r="AR411" s="169">
        <f t="shared" si="272"/>
        <v>126.7928694859861</v>
      </c>
      <c r="AS411" s="168" t="str">
        <f t="shared" si="273"/>
        <v>0.0300377425362286-0.00894707363524133i</v>
      </c>
      <c r="AT411" s="190">
        <f t="shared" si="274"/>
        <v>-30.077487364173152</v>
      </c>
      <c r="AU411" s="169">
        <f t="shared" si="275"/>
        <v>-16.586744562989967</v>
      </c>
      <c r="AV411" s="225"/>
      <c r="AX411">
        <f t="shared" si="276"/>
        <v>0</v>
      </c>
      <c r="AY411">
        <f t="shared" si="277"/>
        <v>0</v>
      </c>
    </row>
    <row r="412" spans="14:51" x14ac:dyDescent="0.2">
      <c r="N412" s="170">
        <v>94</v>
      </c>
      <c r="O412" s="199">
        <f t="shared" si="243"/>
        <v>87096.358995608127</v>
      </c>
      <c r="P412" s="189" t="str">
        <f t="shared" si="244"/>
        <v>6.8875</v>
      </c>
      <c r="Q412" s="160" t="str">
        <f t="shared" si="245"/>
        <v>1+136.810640787511i</v>
      </c>
      <c r="R412" s="160">
        <f t="shared" si="253"/>
        <v>136.81429542518345</v>
      </c>
      <c r="S412" s="160">
        <f t="shared" si="254"/>
        <v>1.5634870839915809</v>
      </c>
      <c r="T412" s="160" t="str">
        <f t="shared" si="246"/>
        <v>1+0.218897025260018i</v>
      </c>
      <c r="U412" s="160">
        <f t="shared" si="255"/>
        <v>1.0236776385501858</v>
      </c>
      <c r="V412" s="160">
        <f t="shared" si="256"/>
        <v>0.21549800654252166</v>
      </c>
      <c r="W412" s="98" t="str">
        <f t="shared" si="247"/>
        <v>1-0.568465266430101i</v>
      </c>
      <c r="X412" s="160">
        <f t="shared" si="257"/>
        <v>1.150283773308763</v>
      </c>
      <c r="Y412" s="160">
        <f t="shared" si="258"/>
        <v>-0.51690938671200481</v>
      </c>
      <c r="Z412" s="98" t="str">
        <f t="shared" si="248"/>
        <v>0.84326909606835+0.651634057003307i</v>
      </c>
      <c r="AA412" s="160">
        <f t="shared" si="259"/>
        <v>1.0657062037121305</v>
      </c>
      <c r="AB412" s="160">
        <f t="shared" si="260"/>
        <v>0.65790124860831234</v>
      </c>
      <c r="AC412" s="171" t="str">
        <f t="shared" si="261"/>
        <v>-0.0453100112428405-0.0322647297139488i</v>
      </c>
      <c r="AD412" s="190">
        <f t="shared" si="262"/>
        <v>-25.094783006802981</v>
      </c>
      <c r="AE412" s="169">
        <f t="shared" si="263"/>
        <v>-144.54577609850173</v>
      </c>
      <c r="AF412" s="98" t="str">
        <f t="shared" si="249"/>
        <v>-0.0000816326530612245</v>
      </c>
      <c r="AG412" s="98" t="str">
        <f t="shared" si="250"/>
        <v>0.012159729753194i</v>
      </c>
      <c r="AH412" s="98">
        <f t="shared" si="264"/>
        <v>1.2159729753194E-2</v>
      </c>
      <c r="AI412" s="98">
        <f t="shared" si="265"/>
        <v>1.5707963267948966</v>
      </c>
      <c r="AJ412" s="98" t="str">
        <f t="shared" si="251"/>
        <v>1+1.34697525939704i</v>
      </c>
      <c r="AK412" s="98">
        <f t="shared" si="266"/>
        <v>1.6776001756758741</v>
      </c>
      <c r="AL412" s="98">
        <f t="shared" si="267"/>
        <v>0.93217432342405604</v>
      </c>
      <c r="AM412" s="98" t="str">
        <f t="shared" si="252"/>
        <v>1+136.044501199101i</v>
      </c>
      <c r="AN412" s="98">
        <f t="shared" si="268"/>
        <v>136.04817641744486</v>
      </c>
      <c r="AO412" s="98">
        <f t="shared" si="269"/>
        <v>1.5634459232016342</v>
      </c>
      <c r="AP412" s="168" t="str">
        <f t="shared" si="270"/>
        <v>-0.3213088452644+0.439508425996377i</v>
      </c>
      <c r="AQ412" s="98">
        <f t="shared" si="271"/>
        <v>-5.2811149940991111</v>
      </c>
      <c r="AR412" s="169">
        <f t="shared" si="272"/>
        <v>126.16919839372682</v>
      </c>
      <c r="AS412" s="168" t="str">
        <f t="shared" si="273"/>
        <v>0.0287391279631302-0.00954718867606211i</v>
      </c>
      <c r="AT412" s="190">
        <f t="shared" si="274"/>
        <v>-30.375898000902101</v>
      </c>
      <c r="AU412" s="169">
        <f t="shared" si="275"/>
        <v>-18.376577704774959</v>
      </c>
      <c r="AV412" s="225"/>
      <c r="AX412">
        <f t="shared" si="276"/>
        <v>0</v>
      </c>
      <c r="AY412">
        <f t="shared" si="277"/>
        <v>0</v>
      </c>
    </row>
    <row r="413" spans="14:51" x14ac:dyDescent="0.2">
      <c r="N413" s="170">
        <v>95</v>
      </c>
      <c r="O413" s="199">
        <f t="shared" si="243"/>
        <v>89125.093813374609</v>
      </c>
      <c r="P413" s="189" t="str">
        <f t="shared" si="244"/>
        <v>6.8875</v>
      </c>
      <c r="Q413" s="160" t="str">
        <f t="shared" si="245"/>
        <v>1+139.997369987299i</v>
      </c>
      <c r="R413" s="160">
        <f t="shared" si="253"/>
        <v>140.00094143740853</v>
      </c>
      <c r="S413" s="160">
        <f t="shared" si="254"/>
        <v>1.563653456945487</v>
      </c>
      <c r="T413" s="160" t="str">
        <f t="shared" si="246"/>
        <v>1+0.223995791979679i</v>
      </c>
      <c r="U413" s="160">
        <f t="shared" si="255"/>
        <v>1.0247800324092013</v>
      </c>
      <c r="V413" s="160">
        <f t="shared" si="256"/>
        <v>0.22035841738630374</v>
      </c>
      <c r="W413" s="98" t="str">
        <f t="shared" si="247"/>
        <v>1-0.581706523492934i</v>
      </c>
      <c r="X413" s="160">
        <f t="shared" si="257"/>
        <v>1.1568848168569918</v>
      </c>
      <c r="Y413" s="160">
        <f t="shared" si="258"/>
        <v>-0.52685980342370542</v>
      </c>
      <c r="Z413" s="98" t="str">
        <f t="shared" si="248"/>
        <v>0.835882596131346+0.666812564062962i</v>
      </c>
      <c r="AA413" s="160">
        <f t="shared" si="259"/>
        <v>1.0692701763855104</v>
      </c>
      <c r="AB413" s="160">
        <f t="shared" si="260"/>
        <v>0.67335814335517497</v>
      </c>
      <c r="AC413" s="171" t="str">
        <f t="shared" si="261"/>
        <v>-0.0450779287559691-0.030712556282129i</v>
      </c>
      <c r="AD413" s="190">
        <f t="shared" si="262"/>
        <v>-25.26472044059734</v>
      </c>
      <c r="AE413" s="169">
        <f t="shared" si="263"/>
        <v>-145.73255925388725</v>
      </c>
      <c r="AF413" s="98" t="str">
        <f t="shared" si="249"/>
        <v>-0.0000816326530612245</v>
      </c>
      <c r="AG413" s="98" t="str">
        <f t="shared" si="250"/>
        <v>0.0124429662444712i</v>
      </c>
      <c r="AH413" s="98">
        <f t="shared" si="264"/>
        <v>1.24429662444712E-2</v>
      </c>
      <c r="AI413" s="98">
        <f t="shared" si="265"/>
        <v>1.5707963267948966</v>
      </c>
      <c r="AJ413" s="98" t="str">
        <f t="shared" si="251"/>
        <v>1+1.37835034371654i</v>
      </c>
      <c r="AK413" s="98">
        <f t="shared" si="266"/>
        <v>1.7028944976197156</v>
      </c>
      <c r="AL413" s="98">
        <f t="shared" si="267"/>
        <v>0.94315723349630409</v>
      </c>
      <c r="AM413" s="98" t="str">
        <f t="shared" si="252"/>
        <v>1+139.213384715371i</v>
      </c>
      <c r="AN413" s="98">
        <f t="shared" si="268"/>
        <v>139.2169762777151</v>
      </c>
      <c r="AO413" s="98">
        <f t="shared" si="269"/>
        <v>1.5636132329922436</v>
      </c>
      <c r="AP413" s="168" t="str">
        <f t="shared" si="270"/>
        <v>-0.311834471911088+0.436377697592582i</v>
      </c>
      <c r="AQ413" s="98">
        <f t="shared" si="271"/>
        <v>-5.4111111397698046</v>
      </c>
      <c r="AR413" s="169">
        <f t="shared" si="272"/>
        <v>125.54951014468844</v>
      </c>
      <c r="AS413" s="168" t="str">
        <f t="shared" si="273"/>
        <v>0.0274591267060413-0.010093768993495i</v>
      </c>
      <c r="AT413" s="190">
        <f t="shared" si="274"/>
        <v>-30.675831580367149</v>
      </c>
      <c r="AU413" s="169">
        <f t="shared" si="275"/>
        <v>-20.183049109198841</v>
      </c>
      <c r="AV413" s="225"/>
      <c r="AX413">
        <f t="shared" si="276"/>
        <v>0</v>
      </c>
      <c r="AY413">
        <f t="shared" si="277"/>
        <v>0</v>
      </c>
    </row>
    <row r="414" spans="14:51" x14ac:dyDescent="0.2">
      <c r="N414" s="170">
        <v>96</v>
      </c>
      <c r="O414" s="199">
        <f t="shared" si="243"/>
        <v>91201.083935591028</v>
      </c>
      <c r="P414" s="189" t="str">
        <f t="shared" si="244"/>
        <v>6.8875</v>
      </c>
      <c r="Q414" s="160" t="str">
        <f t="shared" si="245"/>
        <v>1+143.25832764574i</v>
      </c>
      <c r="R414" s="160">
        <f t="shared" si="253"/>
        <v>143.2618178017234</v>
      </c>
      <c r="S414" s="160">
        <f t="shared" si="254"/>
        <v>1.5638160431707089</v>
      </c>
      <c r="T414" s="160" t="str">
        <f t="shared" si="246"/>
        <v>1+0.229213324233183i</v>
      </c>
      <c r="U414" s="160">
        <f t="shared" si="255"/>
        <v>1.0259331108829786</v>
      </c>
      <c r="V414" s="160">
        <f t="shared" si="256"/>
        <v>0.22532110826194332</v>
      </c>
      <c r="W414" s="98" t="str">
        <f t="shared" si="247"/>
        <v>1-0.595256209054319i</v>
      </c>
      <c r="X414" s="160">
        <f t="shared" si="257"/>
        <v>1.1637568278715786</v>
      </c>
      <c r="Y414" s="160">
        <f t="shared" si="258"/>
        <v>-0.53692411759037362</v>
      </c>
      <c r="Z414" s="98" t="str">
        <f t="shared" si="248"/>
        <v>0.828147981177134+0.68234462397039i</v>
      </c>
      <c r="AA414" s="160">
        <f t="shared" si="259"/>
        <v>1.073043924818111</v>
      </c>
      <c r="AB414" s="160">
        <f t="shared" si="260"/>
        <v>0.68916926941073564</v>
      </c>
      <c r="AC414" s="171" t="str">
        <f t="shared" si="261"/>
        <v>-0.0448323072833621-0.0291811370561136i</v>
      </c>
      <c r="AD414" s="190">
        <f t="shared" si="262"/>
        <v>-25.434101144491979</v>
      </c>
      <c r="AE414" s="169">
        <f t="shared" si="263"/>
        <v>-146.94008703397398</v>
      </c>
      <c r="AF414" s="98" t="str">
        <f t="shared" si="249"/>
        <v>-0.0000816326530612245</v>
      </c>
      <c r="AG414" s="98" t="str">
        <f t="shared" si="250"/>
        <v>0.0127328001611533i</v>
      </c>
      <c r="AH414" s="98">
        <f t="shared" si="264"/>
        <v>1.27328001611533E-2</v>
      </c>
      <c r="AI414" s="98">
        <f t="shared" si="265"/>
        <v>1.5707963267948966</v>
      </c>
      <c r="AJ414" s="98" t="str">
        <f t="shared" si="251"/>
        <v>1+1.41045624763291i</v>
      </c>
      <c r="AK414" s="98">
        <f t="shared" si="266"/>
        <v>1.7289843337886865</v>
      </c>
      <c r="AL414" s="98">
        <f t="shared" si="267"/>
        <v>0.95406195826240359</v>
      </c>
      <c r="AM414" s="98" t="str">
        <f t="shared" si="252"/>
        <v>1+142.456081010923i</v>
      </c>
      <c r="AN414" s="98">
        <f t="shared" si="268"/>
        <v>142.45959082136471</v>
      </c>
      <c r="AO414" s="98">
        <f t="shared" si="269"/>
        <v>1.5637767347356537</v>
      </c>
      <c r="AP414" s="168" t="str">
        <f t="shared" si="270"/>
        <v>-0.302494505716436+0.43306647525347i</v>
      </c>
      <c r="AQ414" s="98">
        <f t="shared" si="271"/>
        <v>-5.5431875446240202</v>
      </c>
      <c r="AR414" s="169">
        <f t="shared" si="272"/>
        <v>124.93408339867958</v>
      </c>
      <c r="AS414" s="168" t="str">
        <f t="shared" si="273"/>
        <v>0.0261988988005875-0.0105882356626534i</v>
      </c>
      <c r="AT414" s="190">
        <f t="shared" si="274"/>
        <v>-30.977288689116008</v>
      </c>
      <c r="AU414" s="169">
        <f t="shared" si="275"/>
        <v>-22.006003635294345</v>
      </c>
      <c r="AV414" s="225"/>
      <c r="AX414">
        <f t="shared" si="276"/>
        <v>0</v>
      </c>
      <c r="AY414">
        <f t="shared" si="277"/>
        <v>0</v>
      </c>
    </row>
    <row r="415" spans="14:51" x14ac:dyDescent="0.2">
      <c r="N415" s="170">
        <v>97</v>
      </c>
      <c r="O415" s="199">
        <f t="shared" si="243"/>
        <v>93325.430079699145</v>
      </c>
      <c r="P415" s="189" t="str">
        <f t="shared" si="244"/>
        <v>6.8875</v>
      </c>
      <c r="Q415" s="160" t="str">
        <f t="shared" si="245"/>
        <v>1+146.595242765745i</v>
      </c>
      <c r="R415" s="160">
        <f t="shared" si="253"/>
        <v>146.59865347794883</v>
      </c>
      <c r="S415" s="160">
        <f t="shared" si="254"/>
        <v>1.5639749288382125</v>
      </c>
      <c r="T415" s="160" t="str">
        <f t="shared" si="246"/>
        <v>1+0.234552388425193i</v>
      </c>
      <c r="U415" s="160">
        <f t="shared" si="255"/>
        <v>1.0271391448659537</v>
      </c>
      <c r="V415" s="160">
        <f t="shared" si="256"/>
        <v>0.23038773223144984</v>
      </c>
      <c r="W415" s="98" t="str">
        <f t="shared" si="247"/>
        <v>1-0.609121507336892i</v>
      </c>
      <c r="X415" s="160">
        <f t="shared" si="257"/>
        <v>1.1709094801479605</v>
      </c>
      <c r="Y415" s="160">
        <f t="shared" si="258"/>
        <v>-0.54709950954223585</v>
      </c>
      <c r="Z415" s="98" t="str">
        <f t="shared" si="248"/>
        <v>0.820048845050396+0.698238472029347i</v>
      </c>
      <c r="AA415" s="160">
        <f t="shared" si="259"/>
        <v>1.0770408869167249</v>
      </c>
      <c r="AB415" s="160">
        <f t="shared" si="260"/>
        <v>0.70534083453056295</v>
      </c>
      <c r="AC415" s="171" t="str">
        <f t="shared" si="261"/>
        <v>-0.0445725864642343-0.0276701506896791i</v>
      </c>
      <c r="AD415" s="190">
        <f t="shared" si="262"/>
        <v>-25.602959137204969</v>
      </c>
      <c r="AE415" s="169">
        <f t="shared" si="263"/>
        <v>-148.16846378553481</v>
      </c>
      <c r="AF415" s="98" t="str">
        <f t="shared" si="249"/>
        <v>-0.0000816326530612245</v>
      </c>
      <c r="AG415" s="98" t="str">
        <f t="shared" si="250"/>
        <v>0.0130293851770195i</v>
      </c>
      <c r="AH415" s="98">
        <f t="shared" si="264"/>
        <v>1.3029385177019501E-2</v>
      </c>
      <c r="AI415" s="98">
        <f t="shared" si="265"/>
        <v>1.5707963267948966</v>
      </c>
      <c r="AJ415" s="98" t="str">
        <f t="shared" si="251"/>
        <v>1+1.44330999412136i</v>
      </c>
      <c r="AK415" s="98">
        <f t="shared" si="266"/>
        <v>1.7558883048561491</v>
      </c>
      <c r="AL415" s="98">
        <f t="shared" si="267"/>
        <v>0.96488390605118568</v>
      </c>
      <c r="AM415" s="98" t="str">
        <f t="shared" si="252"/>
        <v>1+145.774309406257i</v>
      </c>
      <c r="AN415" s="98">
        <f t="shared" si="268"/>
        <v>145.77773932556079</v>
      </c>
      <c r="AO415" s="98">
        <f t="shared" si="269"/>
        <v>1.5639365150876654</v>
      </c>
      <c r="AP415" s="168" t="str">
        <f t="shared" si="270"/>
        <v>-0.29329579383422+0.429582023313902i</v>
      </c>
      <c r="AQ415" s="98">
        <f t="shared" si="271"/>
        <v>-5.6773137366212758</v>
      </c>
      <c r="AR415" s="169">
        <f t="shared" si="272"/>
        <v>124.32318620409077</v>
      </c>
      <c r="AS415" s="168" t="str">
        <f t="shared" si="273"/>
        <v>0.0249595514489449-0.0110320430655977i</v>
      </c>
      <c r="AT415" s="190">
        <f t="shared" si="274"/>
        <v>-31.280272873826252</v>
      </c>
      <c r="AU415" s="169">
        <f t="shared" si="275"/>
        <v>-23.845277581444083</v>
      </c>
      <c r="AV415" s="225"/>
      <c r="AX415">
        <f t="shared" si="276"/>
        <v>0</v>
      </c>
      <c r="AY415">
        <f t="shared" si="277"/>
        <v>0</v>
      </c>
    </row>
    <row r="416" spans="14:51" x14ac:dyDescent="0.2">
      <c r="N416" s="170">
        <v>98</v>
      </c>
      <c r="O416" s="199">
        <f t="shared" si="243"/>
        <v>95499.258602143804</v>
      </c>
      <c r="P416" s="189" t="str">
        <f t="shared" si="244"/>
        <v>6.8875</v>
      </c>
      <c r="Q416" s="160" t="str">
        <f t="shared" si="245"/>
        <v>1+150.009884623883i</v>
      </c>
      <c r="R416" s="160">
        <f t="shared" si="253"/>
        <v>150.01321770054363</v>
      </c>
      <c r="S416" s="160">
        <f t="shared" si="254"/>
        <v>1.5641301981591758</v>
      </c>
      <c r="T416" s="160" t="str">
        <f t="shared" si="246"/>
        <v>1+0.240015815398214i</v>
      </c>
      <c r="U416" s="160">
        <f t="shared" si="255"/>
        <v>1.0284005015757574</v>
      </c>
      <c r="V416" s="160">
        <f t="shared" si="256"/>
        <v>0.23555993471240272</v>
      </c>
      <c r="W416" s="98" t="str">
        <f t="shared" si="247"/>
        <v>1-0.623309769905333i</v>
      </c>
      <c r="X416" s="160">
        <f t="shared" si="257"/>
        <v>1.1783526930675039</v>
      </c>
      <c r="Y416" s="160">
        <f t="shared" si="258"/>
        <v>-0.55738294556265333</v>
      </c>
      <c r="Z416" s="98" t="str">
        <f t="shared" si="248"/>
        <v>0.811568008397539+0.714502535368453i</v>
      </c>
      <c r="AA416" s="160">
        <f t="shared" si="259"/>
        <v>1.0812754067777068</v>
      </c>
      <c r="AB416" s="160">
        <f t="shared" si="260"/>
        <v>0.72187888835586256</v>
      </c>
      <c r="AC416" s="171" t="str">
        <f t="shared" si="261"/>
        <v>-0.0442981908341145-0.026179333390604i</v>
      </c>
      <c r="AD416" s="190">
        <f t="shared" si="262"/>
        <v>-25.771333228140051</v>
      </c>
      <c r="AE416" s="169">
        <f t="shared" si="263"/>
        <v>-149.41777285778053</v>
      </c>
      <c r="AF416" s="98" t="str">
        <f t="shared" si="249"/>
        <v>-0.0000816326530612245</v>
      </c>
      <c r="AG416" s="98" t="str">
        <f t="shared" si="250"/>
        <v>0.0133328785453708i</v>
      </c>
      <c r="AH416" s="98">
        <f t="shared" si="264"/>
        <v>1.33328785453708E-2</v>
      </c>
      <c r="AI416" s="98">
        <f t="shared" si="265"/>
        <v>1.5707963267948966</v>
      </c>
      <c r="AJ416" s="98" t="str">
        <f t="shared" si="251"/>
        <v>1+1.47692900267317i</v>
      </c>
      <c r="AK416" s="98">
        <f t="shared" si="266"/>
        <v>1.7836253191007254</v>
      </c>
      <c r="AL416" s="98">
        <f t="shared" si="267"/>
        <v>0.97561867565569582</v>
      </c>
      <c r="AM416" s="98" t="str">
        <f t="shared" si="252"/>
        <v>1+149.16982926999i</v>
      </c>
      <c r="AN416" s="98">
        <f t="shared" si="268"/>
        <v>149.17318111657326</v>
      </c>
      <c r="AO416" s="98">
        <f t="shared" si="269"/>
        <v>1.5640926587332851</v>
      </c>
      <c r="AP416" s="168" t="str">
        <f t="shared" si="270"/>
        <v>-0.284244683160323+0.42593187423305i</v>
      </c>
      <c r="AQ416" s="98">
        <f t="shared" si="271"/>
        <v>-5.8134577834741208</v>
      </c>
      <c r="AR416" s="169">
        <f t="shared" si="272"/>
        <v>123.71707558359886</v>
      </c>
      <c r="AS416" s="168" t="str">
        <f t="shared" si="273"/>
        <v>0.0237421377554502-0.011426675122147i</v>
      </c>
      <c r="AT416" s="190">
        <f t="shared" si="274"/>
        <v>-31.584791011614183</v>
      </c>
      <c r="AU416" s="169">
        <f t="shared" si="275"/>
        <v>-25.700697274181707</v>
      </c>
      <c r="AV416" s="225"/>
      <c r="AX416">
        <f t="shared" si="276"/>
        <v>0</v>
      </c>
      <c r="AY416">
        <f t="shared" si="277"/>
        <v>0</v>
      </c>
    </row>
    <row r="417" spans="14:51" x14ac:dyDescent="0.2">
      <c r="N417" s="170">
        <v>99</v>
      </c>
      <c r="O417" s="199">
        <f t="shared" si="243"/>
        <v>97723.722095581266</v>
      </c>
      <c r="P417" s="189" t="str">
        <f t="shared" si="244"/>
        <v>6.8875</v>
      </c>
      <c r="Q417" s="160" t="str">
        <f t="shared" si="245"/>
        <v>1+153.504063708464i</v>
      </c>
      <c r="R417" s="160">
        <f t="shared" si="253"/>
        <v>153.50732091666563</v>
      </c>
      <c r="S417" s="160">
        <f t="shared" si="254"/>
        <v>1.5642819334294837</v>
      </c>
      <c r="T417" s="160" t="str">
        <f t="shared" si="246"/>
        <v>1+0.245606501933543i</v>
      </c>
      <c r="U417" s="160">
        <f t="shared" si="255"/>
        <v>1.0297196481528512</v>
      </c>
      <c r="V417" s="160">
        <f t="shared" si="256"/>
        <v>0.24083935066648351</v>
      </c>
      <c r="W417" s="98" t="str">
        <f t="shared" si="247"/>
        <v>1-0.637828519564256i</v>
      </c>
      <c r="X417" s="160">
        <f t="shared" si="257"/>
        <v>1.1860966319695587</v>
      </c>
      <c r="Y417" s="160">
        <f t="shared" si="258"/>
        <v>-0.56777117795969989</v>
      </c>
      <c r="Z417" s="98" t="str">
        <f t="shared" si="248"/>
        <v>0.802687482226975+0.731145437409369i</v>
      </c>
      <c r="AA417" s="160">
        <f t="shared" si="259"/>
        <v>1.0857627939694829</v>
      </c>
      <c r="AB417" s="160">
        <f t="shared" si="260"/>
        <v>0.73878928526200927</v>
      </c>
      <c r="AC417" s="171" t="str">
        <f t="shared" si="261"/>
        <v>-0.0440085320368171-0.0247084821476177i</v>
      </c>
      <c r="AD417" s="190">
        <f t="shared" si="262"/>
        <v>-25.93926727192525</v>
      </c>
      <c r="AE417" s="169">
        <f t="shared" si="263"/>
        <v>-150.68807464147503</v>
      </c>
      <c r="AF417" s="98" t="str">
        <f t="shared" si="249"/>
        <v>-0.0000816326530612245</v>
      </c>
      <c r="AG417" s="98" t="str">
        <f t="shared" si="250"/>
        <v>0.0136434411824083i</v>
      </c>
      <c r="AH417" s="98">
        <f t="shared" si="264"/>
        <v>1.3643441182408299E-2</v>
      </c>
      <c r="AI417" s="98">
        <f t="shared" si="265"/>
        <v>1.5707963267948966</v>
      </c>
      <c r="AJ417" s="98" t="str">
        <f t="shared" si="251"/>
        <v>1+1.51133109853165i</v>
      </c>
      <c r="AK417" s="98">
        <f t="shared" si="266"/>
        <v>1.8122145814965962</v>
      </c>
      <c r="AL417" s="98">
        <f t="shared" si="267"/>
        <v>0.98626206261764859</v>
      </c>
      <c r="AM417" s="98" t="str">
        <f t="shared" si="252"/>
        <v>1+152.644440951697i</v>
      </c>
      <c r="AN417" s="98">
        <f t="shared" si="268"/>
        <v>152.64771650259334</v>
      </c>
      <c r="AO417" s="98">
        <f t="shared" si="269"/>
        <v>1.5642452484314668</v>
      </c>
      <c r="AP417" s="168" t="str">
        <f t="shared" si="270"/>
        <v>-0.275347010859878+0.422123789511117i</v>
      </c>
      <c r="AQ417" s="98">
        <f t="shared" si="271"/>
        <v>-5.9515864044458286</v>
      </c>
      <c r="AR417" s="169">
        <f t="shared" si="272"/>
        <v>123.11599717665732</v>
      </c>
      <c r="AS417" s="168" t="str">
        <f t="shared" si="273"/>
        <v>0.0225476558658889-0.0117736416119714i</v>
      </c>
      <c r="AT417" s="190">
        <f t="shared" si="274"/>
        <v>-31.890853676371091</v>
      </c>
      <c r="AU417" s="169">
        <f t="shared" si="275"/>
        <v>-27.572077464817681</v>
      </c>
      <c r="AV417" s="225"/>
      <c r="AX417">
        <f t="shared" si="276"/>
        <v>0</v>
      </c>
      <c r="AY417">
        <f t="shared" si="277"/>
        <v>0</v>
      </c>
    </row>
    <row r="418" spans="14:51" x14ac:dyDescent="0.2">
      <c r="N418" s="170">
        <v>100</v>
      </c>
      <c r="O418" s="199">
        <f t="shared" si="243"/>
        <v>100000</v>
      </c>
      <c r="P418" s="189" t="str">
        <f t="shared" si="244"/>
        <v>6.8875</v>
      </c>
      <c r="Q418" s="160" t="str">
        <f t="shared" si="245"/>
        <v>1+157.07963267949i</v>
      </c>
      <c r="R418" s="160">
        <f t="shared" si="253"/>
        <v>157.08281574610098</v>
      </c>
      <c r="S418" s="160">
        <f t="shared" si="254"/>
        <v>1.5644302150732214</v>
      </c>
      <c r="T418" s="160" t="str">
        <f t="shared" si="246"/>
        <v>1+0.251327412287184i</v>
      </c>
      <c r="U418" s="160">
        <f t="shared" si="255"/>
        <v>1.0310991553516917</v>
      </c>
      <c r="V418" s="160">
        <f t="shared" si="256"/>
        <v>0.2462276016049128</v>
      </c>
      <c r="W418" s="98" t="str">
        <f t="shared" si="247"/>
        <v>1-0.65268545434691i</v>
      </c>
      <c r="X418" s="160">
        <f t="shared" si="257"/>
        <v>1.194151708249849</v>
      </c>
      <c r="Y418" s="160">
        <f t="shared" si="258"/>
        <v>-0.57826074600025046</v>
      </c>
      <c r="Z418" s="98" t="str">
        <f t="shared" si="248"/>
        <v>0.793388429752066+0.748176002439053i</v>
      </c>
      <c r="AA418" s="160">
        <f t="shared" si="259"/>
        <v>1.0905193859304525</v>
      </c>
      <c r="AB418" s="160">
        <f t="shared" si="260"/>
        <v>0.75607764369725527</v>
      </c>
      <c r="AC418" s="171" t="str">
        <f t="shared" si="261"/>
        <v>-0.0437030114838145-0.0232574580335646i</v>
      </c>
      <c r="AD418" s="190">
        <f t="shared" si="262"/>
        <v>-26.106810412955102</v>
      </c>
      <c r="AE418" s="169">
        <f t="shared" si="263"/>
        <v>-151.9794044667988</v>
      </c>
      <c r="AF418" s="98" t="str">
        <f t="shared" si="249"/>
        <v>-0.0000816326530612245</v>
      </c>
      <c r="AG418" s="98" t="str">
        <f t="shared" si="250"/>
        <v>0.013961237752553i</v>
      </c>
      <c r="AH418" s="98">
        <f t="shared" si="264"/>
        <v>1.3961237752553E-2</v>
      </c>
      <c r="AI418" s="98">
        <f t="shared" si="265"/>
        <v>1.5707963267948966</v>
      </c>
      <c r="AJ418" s="98" t="str">
        <f t="shared" si="251"/>
        <v>1+1.54653452214341i</v>
      </c>
      <c r="AK418" s="98">
        <f t="shared" si="266"/>
        <v>1.8416756034061335</v>
      </c>
      <c r="AL418" s="98">
        <f t="shared" si="267"/>
        <v>0.99681006451860443</v>
      </c>
      <c r="AM418" s="98" t="str">
        <f t="shared" si="252"/>
        <v>1+156.199986736485i</v>
      </c>
      <c r="AN418" s="98">
        <f t="shared" si="268"/>
        <v>156.20318772828574</v>
      </c>
      <c r="AO418" s="98">
        <f t="shared" si="269"/>
        <v>1.5643943650588499</v>
      </c>
      <c r="AP418" s="168" t="str">
        <f t="shared" si="270"/>
        <v>-0.266608098299133+0.418165720725476i</v>
      </c>
      <c r="AQ418" s="98">
        <f t="shared" si="271"/>
        <v>-6.0916650838627593</v>
      </c>
      <c r="AR418" s="169">
        <f t="shared" si="272"/>
        <v>122.52018493884088</v>
      </c>
      <c r="AS418" s="168" t="str">
        <f t="shared" si="273"/>
        <v>0.021377048482493-0.0120744746374025i</v>
      </c>
      <c r="AT418" s="190">
        <f t="shared" si="274"/>
        <v>-32.198475496817863</v>
      </c>
      <c r="AU418" s="169">
        <f t="shared" si="275"/>
        <v>-29.459219527957938</v>
      </c>
      <c r="AV418" s="225"/>
      <c r="AX418">
        <f t="shared" si="276"/>
        <v>0</v>
      </c>
      <c r="AY418">
        <f t="shared" si="277"/>
        <v>0</v>
      </c>
    </row>
    <row r="419" spans="14:51" x14ac:dyDescent="0.2">
      <c r="N419" s="170">
        <v>1</v>
      </c>
      <c r="O419" s="199">
        <f>10^(5+(N419/100))</f>
        <v>102329.29922807543</v>
      </c>
      <c r="P419" s="189" t="str">
        <f t="shared" si="244"/>
        <v>6.8875</v>
      </c>
      <c r="Q419" s="160" t="str">
        <f t="shared" si="245"/>
        <v>1+160.738487350957i</v>
      </c>
      <c r="R419" s="160">
        <f t="shared" si="253"/>
        <v>160.74159796354448</v>
      </c>
      <c r="S419" s="160">
        <f t="shared" si="254"/>
        <v>1.5645751216851811</v>
      </c>
      <c r="T419" s="160" t="str">
        <f t="shared" si="246"/>
        <v>1+0.257181579761531i</v>
      </c>
      <c r="U419" s="160">
        <f t="shared" si="255"/>
        <v>1.0325417013218579</v>
      </c>
      <c r="V419" s="160">
        <f t="shared" si="256"/>
        <v>0.25172629240506961</v>
      </c>
      <c r="W419" s="98" t="str">
        <f t="shared" si="247"/>
        <v>1-0.667888451596773i</v>
      </c>
      <c r="X419" s="160">
        <f t="shared" si="257"/>
        <v>1.2025285791931661</v>
      </c>
      <c r="Y419" s="160">
        <f t="shared" si="258"/>
        <v>-0.58884797774439523</v>
      </c>
      <c r="Z419" s="98" t="str">
        <f t="shared" si="248"/>
        <v>0.783651126435764+0.765603260288511i</v>
      </c>
      <c r="AA419" s="160">
        <f t="shared" si="259"/>
        <v>1.0955626135134584</v>
      </c>
      <c r="AB419" s="160">
        <f t="shared" si="260"/>
        <v>0.77374930188471891</v>
      </c>
      <c r="AC419" s="171" t="str">
        <f t="shared" si="261"/>
        <v>-0.0433810235052251-0.0218261895443987i</v>
      </c>
      <c r="AD419" s="190">
        <f t="shared" si="262"/>
        <v>-26.27401731595603</v>
      </c>
      <c r="AE419" s="169">
        <f t="shared" si="263"/>
        <v>-153.29177035519709</v>
      </c>
      <c r="AF419" s="98" t="str">
        <f t="shared" si="249"/>
        <v>-0.0000816326530612245</v>
      </c>
      <c r="AG419" s="98" t="str">
        <f t="shared" si="250"/>
        <v>0.014286436755753i</v>
      </c>
      <c r="AH419" s="98">
        <f t="shared" si="264"/>
        <v>1.4286436755753E-2</v>
      </c>
      <c r="AI419" s="98">
        <f t="shared" si="265"/>
        <v>1.5707963267948966</v>
      </c>
      <c r="AJ419" s="98" t="str">
        <f t="shared" si="251"/>
        <v>1+1.58255793882962i</v>
      </c>
      <c r="AK419" s="98">
        <f t="shared" si="266"/>
        <v>1.8720282128623638</v>
      </c>
      <c r="AL419" s="98">
        <f t="shared" si="267"/>
        <v>1.0072588852848738</v>
      </c>
      <c r="AM419" s="98" t="str">
        <f t="shared" si="252"/>
        <v>1+159.838351821791i</v>
      </c>
      <c r="AN419" s="98">
        <f t="shared" si="268"/>
        <v>159.84147995156528</v>
      </c>
      <c r="AO419" s="98">
        <f t="shared" si="269"/>
        <v>1.5645400876525026</v>
      </c>
      <c r="AP419" s="168" t="str">
        <f t="shared" si="270"/>
        <v>-0.258032748276999+0.414065771004675i</v>
      </c>
      <c r="AQ419" s="98">
        <f t="shared" si="271"/>
        <v>-6.2336581856001425</v>
      </c>
      <c r="AR419" s="169">
        <f t="shared" si="272"/>
        <v>121.92986089764103</v>
      </c>
      <c r="AS419" s="168" t="str">
        <f t="shared" si="273"/>
        <v>0.0202312027199179-0.0123307252721071i</v>
      </c>
      <c r="AT419" s="190">
        <f t="shared" si="274"/>
        <v>-32.507675501556186</v>
      </c>
      <c r="AU419" s="169">
        <f t="shared" si="275"/>
        <v>-31.361909457556205</v>
      </c>
      <c r="AV419" s="225"/>
      <c r="AX419">
        <f t="shared" si="276"/>
        <v>0</v>
      </c>
      <c r="AY419">
        <f t="shared" si="277"/>
        <v>0</v>
      </c>
    </row>
    <row r="420" spans="14:51" x14ac:dyDescent="0.2">
      <c r="N420" s="170">
        <v>2</v>
      </c>
      <c r="O420" s="199">
        <f t="shared" ref="O420:O483" si="278">10^(5+(N420/100))</f>
        <v>104712.85480508996</v>
      </c>
      <c r="P420" s="189" t="str">
        <f t="shared" si="244"/>
        <v>6.8875</v>
      </c>
      <c r="Q420" s="160" t="str">
        <f t="shared" si="245"/>
        <v>1+164.482567696043i</v>
      </c>
      <c r="R420" s="160">
        <f t="shared" si="253"/>
        <v>164.4856075037672</v>
      </c>
      <c r="S420" s="160">
        <f t="shared" si="254"/>
        <v>1.564716730072411</v>
      </c>
      <c r="T420" s="160" t="str">
        <f t="shared" si="246"/>
        <v>1+0.263172108313668i</v>
      </c>
      <c r="U420" s="160">
        <f t="shared" si="255"/>
        <v>1.0340500754771313</v>
      </c>
      <c r="V420" s="160">
        <f t="shared" si="256"/>
        <v>0.25733700793296554</v>
      </c>
      <c r="W420" s="98" t="str">
        <f t="shared" si="247"/>
        <v>1-0.683445572144222i</v>
      </c>
      <c r="X420" s="160">
        <f t="shared" si="257"/>
        <v>1.2112381475513159</v>
      </c>
      <c r="Y420" s="160">
        <f t="shared" si="258"/>
        <v>-0.5995289928125741</v>
      </c>
      <c r="Z420" s="98" t="str">
        <f t="shared" si="248"/>
        <v>0.773454918152234+0.783436451120532i</v>
      </c>
      <c r="AA420" s="160">
        <f t="shared" si="259"/>
        <v>1.1009110696864723</v>
      </c>
      <c r="AB420" s="160">
        <f t="shared" si="260"/>
        <v>0.7918092697920972</v>
      </c>
      <c r="AC420" s="171" t="str">
        <f t="shared" si="261"/>
        <v>-0.0430419590358731-0.0204146759246318i</v>
      </c>
      <c r="AD420" s="190">
        <f t="shared" si="262"/>
        <v>-26.44094837815782</v>
      </c>
      <c r="AE420" s="169">
        <f t="shared" si="263"/>
        <v>-154.62515062188871</v>
      </c>
      <c r="AF420" s="98" t="str">
        <f t="shared" si="249"/>
        <v>-0.0000816326530612245</v>
      </c>
      <c r="AG420" s="98" t="str">
        <f t="shared" si="250"/>
        <v>0.0146192106168243i</v>
      </c>
      <c r="AH420" s="98">
        <f t="shared" si="264"/>
        <v>1.4619210616824301E-2</v>
      </c>
      <c r="AI420" s="98">
        <f t="shared" si="265"/>
        <v>1.5707963267948966</v>
      </c>
      <c r="AJ420" s="98" t="str">
        <f t="shared" si="251"/>
        <v>1+1.61942044868262i</v>
      </c>
      <c r="AK420" s="98">
        <f t="shared" si="266"/>
        <v>1.903292565427454</v>
      </c>
      <c r="AL420" s="98">
        <f t="shared" si="267"/>
        <v>1.0176049385211796</v>
      </c>
      <c r="AM420" s="98" t="str">
        <f t="shared" si="252"/>
        <v>1+163.561465316945i</v>
      </c>
      <c r="AN420" s="98">
        <f t="shared" si="268"/>
        <v>163.56452224313867</v>
      </c>
      <c r="AO420" s="98">
        <f t="shared" si="269"/>
        <v>1.5646824934517036</v>
      </c>
      <c r="AP420" s="168" t="str">
        <f t="shared" si="270"/>
        <v>-0.249625245420574+0.409832157237107i</v>
      </c>
      <c r="AQ420" s="98">
        <f t="shared" si="271"/>
        <v>-6.3775290678251366</v>
      </c>
      <c r="AR420" s="169">
        <f t="shared" si="272"/>
        <v>121.34523496385552</v>
      </c>
      <c r="AS420" s="168" t="str">
        <f t="shared" si="273"/>
        <v>0.0191109502612004-0.0125439604355154i</v>
      </c>
      <c r="AT420" s="190">
        <f t="shared" si="274"/>
        <v>-32.81847744598295</v>
      </c>
      <c r="AU420" s="169">
        <f t="shared" si="275"/>
        <v>-33.279915658033246</v>
      </c>
      <c r="AV420" s="225"/>
      <c r="AX420">
        <f t="shared" si="276"/>
        <v>0</v>
      </c>
      <c r="AY420">
        <f t="shared" si="277"/>
        <v>0</v>
      </c>
    </row>
    <row r="421" spans="14:51" x14ac:dyDescent="0.2">
      <c r="N421" s="170">
        <v>3</v>
      </c>
      <c r="O421" s="199">
        <f t="shared" si="278"/>
        <v>107151.93052376082</v>
      </c>
      <c r="P421" s="189" t="str">
        <f t="shared" si="244"/>
        <v>6.8875</v>
      </c>
      <c r="Q421" s="160" t="str">
        <f t="shared" si="245"/>
        <v>1+168.313858875706i</v>
      </c>
      <c r="R421" s="160">
        <f t="shared" si="253"/>
        <v>168.3168294901941</v>
      </c>
      <c r="S421" s="160">
        <f t="shared" si="254"/>
        <v>1.564855115294822</v>
      </c>
      <c r="T421" s="160" t="str">
        <f t="shared" si="246"/>
        <v>1+0.269302174201129i</v>
      </c>
      <c r="U421" s="160">
        <f t="shared" si="255"/>
        <v>1.0356271824500627</v>
      </c>
      <c r="V421" s="160">
        <f t="shared" si="256"/>
        <v>0.26306130946666662</v>
      </c>
      <c r="W421" s="98" t="str">
        <f t="shared" si="247"/>
        <v>1-0.699365064580494i</v>
      </c>
      <c r="X421" s="160">
        <f t="shared" si="257"/>
        <v>1.2202915608802998</v>
      </c>
      <c r="Y421" s="160">
        <f t="shared" si="258"/>
        <v>-0.61029970611163431</v>
      </c>
      <c r="Z421" s="98" t="str">
        <f t="shared" si="248"/>
        <v>0.762778177376676+0.801685030328945i</v>
      </c>
      <c r="AA421" s="160">
        <f t="shared" si="259"/>
        <v>1.1065845813744222</v>
      </c>
      <c r="AB421" s="160">
        <f t="shared" si="260"/>
        <v>0.81026217731344563</v>
      </c>
      <c r="AC421" s="171" t="str">
        <f t="shared" si="261"/>
        <v>-0.0426852098778394-0.0190229904200148i</v>
      </c>
      <c r="AD421" s="190">
        <f t="shared" si="262"/>
        <v>-26.607669918214039</v>
      </c>
      <c r="AE421" s="169">
        <f t="shared" si="263"/>
        <v>-155.97949132763853</v>
      </c>
      <c r="AF421" s="98" t="str">
        <f t="shared" si="249"/>
        <v>-0.0000816326530612245</v>
      </c>
      <c r="AG421" s="98" t="str">
        <f t="shared" si="250"/>
        <v>0.0149597357768727i</v>
      </c>
      <c r="AH421" s="98">
        <f t="shared" si="264"/>
        <v>1.49597357768727E-2</v>
      </c>
      <c r="AI421" s="98">
        <f t="shared" si="265"/>
        <v>1.5707963267948966</v>
      </c>
      <c r="AJ421" s="98" t="str">
        <f t="shared" si="251"/>
        <v>1+1.65714159669309i</v>
      </c>
      <c r="AK421" s="98">
        <f t="shared" si="266"/>
        <v>1.9354891556117084</v>
      </c>
      <c r="AL421" s="98">
        <f t="shared" si="267"/>
        <v>1.0278448498952659</v>
      </c>
      <c r="AM421" s="98" t="str">
        <f t="shared" si="252"/>
        <v>1+167.371301266002i</v>
      </c>
      <c r="AN421" s="98">
        <f t="shared" si="268"/>
        <v>167.37428860931658</v>
      </c>
      <c r="AO421" s="98">
        <f t="shared" si="269"/>
        <v>1.5648216579387759</v>
      </c>
      <c r="AP421" s="168" t="str">
        <f t="shared" si="270"/>
        <v>-0.241389359581946+0.405473173286444i</v>
      </c>
      <c r="AQ421" s="98">
        <f t="shared" si="271"/>
        <v>-6.5232401973167828</v>
      </c>
      <c r="AR421" s="169">
        <f t="shared" si="272"/>
        <v>120.76650479729966</v>
      </c>
      <c r="AS421" s="168" t="str">
        <f t="shared" si="273"/>
        <v>0.0180170677670336-0.0127157600267445i</v>
      </c>
      <c r="AT421" s="190">
        <f t="shared" si="274"/>
        <v>-33.130910115530845</v>
      </c>
      <c r="AU421" s="169">
        <f t="shared" si="275"/>
        <v>-35.212986530338831</v>
      </c>
      <c r="AV421" s="225"/>
      <c r="AX421">
        <f t="shared" si="276"/>
        <v>0</v>
      </c>
      <c r="AY421">
        <f t="shared" si="277"/>
        <v>0</v>
      </c>
    </row>
    <row r="422" spans="14:51" x14ac:dyDescent="0.2">
      <c r="N422" s="170">
        <v>4</v>
      </c>
      <c r="O422" s="199">
        <f t="shared" si="278"/>
        <v>109647.81961431868</v>
      </c>
      <c r="P422" s="189" t="str">
        <f t="shared" si="244"/>
        <v>6.8875</v>
      </c>
      <c r="Q422" s="160" t="str">
        <f t="shared" si="245"/>
        <v>1+172.234392291241i</v>
      </c>
      <c r="R422" s="160">
        <f t="shared" si="253"/>
        <v>172.23729528744084</v>
      </c>
      <c r="S422" s="160">
        <f t="shared" si="254"/>
        <v>1.5649903507048772</v>
      </c>
      <c r="T422" s="160" t="str">
        <f t="shared" si="246"/>
        <v>1+0.275575027665986i</v>
      </c>
      <c r="U422" s="160">
        <f t="shared" si="255"/>
        <v>1.0372760461290471</v>
      </c>
      <c r="V422" s="160">
        <f t="shared" si="256"/>
        <v>0.26890073091629951</v>
      </c>
      <c r="W422" s="98" t="str">
        <f t="shared" si="247"/>
        <v>1-0.715655369631196i</v>
      </c>
      <c r="X422" s="160">
        <f t="shared" si="257"/>
        <v>1.2297002106537853</v>
      </c>
      <c r="Y422" s="160">
        <f t="shared" si="258"/>
        <v>-0.62115583253913775</v>
      </c>
      <c r="Z422" s="98" t="str">
        <f t="shared" si="248"/>
        <v>0.751598257310451+0.820358673551993i</v>
      </c>
      <c r="AA422" s="160">
        <f t="shared" si="259"/>
        <v>1.1126042843994859</v>
      </c>
      <c r="AB422" s="160">
        <f t="shared" si="260"/>
        <v>0.82911221865662221</v>
      </c>
      <c r="AC422" s="171" t="str">
        <f t="shared" si="261"/>
        <v>-0.0423101735772573-0.0176512833876949i</v>
      </c>
      <c r="AD422" s="190">
        <f t="shared" si="262"/>
        <v>-26.774254336588005</v>
      </c>
      <c r="AE422" s="169">
        <f t="shared" si="263"/>
        <v>-157.35470358078101</v>
      </c>
      <c r="AF422" s="98" t="str">
        <f t="shared" si="249"/>
        <v>-0.0000816326530612245</v>
      </c>
      <c r="AG422" s="98" t="str">
        <f t="shared" si="250"/>
        <v>0.0153081927868455i</v>
      </c>
      <c r="AH422" s="98">
        <f t="shared" si="264"/>
        <v>1.53081927868455E-2</v>
      </c>
      <c r="AI422" s="98">
        <f t="shared" si="265"/>
        <v>1.5707963267948966</v>
      </c>
      <c r="AJ422" s="98" t="str">
        <f t="shared" si="251"/>
        <v>1+1.69574138311297i</v>
      </c>
      <c r="AK422" s="98">
        <f t="shared" si="266"/>
        <v>1.9686388288362819</v>
      </c>
      <c r="AL422" s="98">
        <f t="shared" si="267"/>
        <v>1.0379754586022021</v>
      </c>
      <c r="AM422" s="98" t="str">
        <f t="shared" si="252"/>
        <v>1+171.26987969441i</v>
      </c>
      <c r="AN422" s="98">
        <f t="shared" si="268"/>
        <v>171.27279903866136</v>
      </c>
      <c r="AO422" s="98">
        <f t="shared" si="269"/>
        <v>1.564957654878999</v>
      </c>
      <c r="AP422" s="168" t="str">
        <f t="shared" si="270"/>
        <v>-0.233328352050835+0.400997154459324i</v>
      </c>
      <c r="AQ422" s="98">
        <f t="shared" si="271"/>
        <v>-6.6707532627167376</v>
      </c>
      <c r="AR422" s="169">
        <f t="shared" si="272"/>
        <v>120.19385572519518</v>
      </c>
      <c r="AS422" s="168" t="str">
        <f t="shared" si="273"/>
        <v>0.016950277486787-0.0128477143447271i</v>
      </c>
      <c r="AT422" s="190">
        <f t="shared" si="274"/>
        <v>-33.445007599304752</v>
      </c>
      <c r="AU422" s="169">
        <f t="shared" si="275"/>
        <v>-37.160847855585835</v>
      </c>
      <c r="AV422" s="225"/>
      <c r="AX422">
        <f t="shared" si="276"/>
        <v>0</v>
      </c>
      <c r="AY422">
        <f t="shared" si="277"/>
        <v>0</v>
      </c>
    </row>
    <row r="423" spans="14:51" x14ac:dyDescent="0.2">
      <c r="N423" s="170">
        <v>5</v>
      </c>
      <c r="O423" s="199">
        <f t="shared" si="278"/>
        <v>112201.84543019651</v>
      </c>
      <c r="P423" s="189" t="str">
        <f t="shared" si="244"/>
        <v>6.8875</v>
      </c>
      <c r="Q423" s="160" t="str">
        <f t="shared" si="245"/>
        <v>1+176.246246661362i</v>
      </c>
      <c r="R423" s="160">
        <f t="shared" si="253"/>
        <v>176.2490835783768</v>
      </c>
      <c r="S423" s="160">
        <f t="shared" si="254"/>
        <v>1.565122507986384</v>
      </c>
      <c r="T423" s="160" t="str">
        <f t="shared" si="246"/>
        <v>1+0.281993994658178i</v>
      </c>
      <c r="U423" s="160">
        <f t="shared" si="255"/>
        <v>1.0389998137744187</v>
      </c>
      <c r="V423" s="160">
        <f t="shared" si="256"/>
        <v>0.27485677483693882</v>
      </c>
      <c r="W423" s="98" t="str">
        <f t="shared" si="247"/>
        <v>1-0.732325124631696i</v>
      </c>
      <c r="X423" s="160">
        <f t="shared" si="257"/>
        <v>1.2394757311729945</v>
      </c>
      <c r="Y423" s="160">
        <f t="shared" si="258"/>
        <v>-0.63209289267776336</v>
      </c>
      <c r="Z423" s="98" t="str">
        <f t="shared" si="248"/>
        <v>0.739891443844179+0.839467281802489i</v>
      </c>
      <c r="AA423" s="160">
        <f t="shared" si="259"/>
        <v>1.1189927014465659</v>
      </c>
      <c r="AB423" s="160">
        <f t="shared" si="260"/>
        <v>0.8483630929896222</v>
      </c>
      <c r="AC423" s="171" t="str">
        <f t="shared" si="261"/>
        <v>-0.0419162589475638-0.0162997851830025i</v>
      </c>
      <c r="AD423" s="190">
        <f t="shared" si="262"/>
        <v>-26.940780241718368</v>
      </c>
      <c r="AE423" s="169">
        <f t="shared" si="263"/>
        <v>-158.7506606934376</v>
      </c>
      <c r="AF423" s="98" t="str">
        <f t="shared" si="249"/>
        <v>-0.0000816326530612245</v>
      </c>
      <c r="AG423" s="98" t="str">
        <f t="shared" si="250"/>
        <v>0.0156647664032618i</v>
      </c>
      <c r="AH423" s="98">
        <f t="shared" si="264"/>
        <v>1.5664766403261799E-2</v>
      </c>
      <c r="AI423" s="98">
        <f t="shared" si="265"/>
        <v>1.5707963267948966</v>
      </c>
      <c r="AJ423" s="98" t="str">
        <f t="shared" si="251"/>
        <v>1+1.73524027405998i</v>
      </c>
      <c r="AK423" s="98">
        <f t="shared" si="266"/>
        <v>2.0027627939223742</v>
      </c>
      <c r="AL423" s="98">
        <f t="shared" si="267"/>
        <v>1.0479938179431698</v>
      </c>
      <c r="AM423" s="98" t="str">
        <f t="shared" si="252"/>
        <v>1+175.259267680058i</v>
      </c>
      <c r="AN423" s="98">
        <f t="shared" si="268"/>
        <v>175.26212057301549</v>
      </c>
      <c r="AO423" s="98">
        <f t="shared" si="269"/>
        <v>1.5650905563596167</v>
      </c>
      <c r="AP423" s="168" t="str">
        <f t="shared" si="270"/>
        <v>-0.225444984378563+0.396412443442237i</v>
      </c>
      <c r="AQ423" s="98">
        <f t="shared" si="271"/>
        <v>-6.8200292861125797</v>
      </c>
      <c r="AR423" s="169">
        <f t="shared" si="272"/>
        <v>119.6274607112427</v>
      </c>
      <c r="AS423" s="168" t="str">
        <f t="shared" si="273"/>
        <v>0.0159112480156189-0.0129414218134054i</v>
      </c>
      <c r="AT423" s="190">
        <f t="shared" si="274"/>
        <v>-33.760809527830936</v>
      </c>
      <c r="AU423" s="169">
        <f t="shared" si="275"/>
        <v>-39.123199982194983</v>
      </c>
      <c r="AV423" s="225"/>
      <c r="AX423">
        <f t="shared" si="276"/>
        <v>0</v>
      </c>
      <c r="AY423">
        <f t="shared" si="277"/>
        <v>0</v>
      </c>
    </row>
    <row r="424" spans="14:51" x14ac:dyDescent="0.2">
      <c r="N424" s="170">
        <v>6</v>
      </c>
      <c r="O424" s="199">
        <f t="shared" si="278"/>
        <v>114815.36214968823</v>
      </c>
      <c r="P424" s="189" t="str">
        <f t="shared" si="244"/>
        <v>6.8875</v>
      </c>
      <c r="Q424" s="160" t="str">
        <f t="shared" si="245"/>
        <v>1+180.351549124356i</v>
      </c>
      <c r="R424" s="160">
        <f t="shared" si="253"/>
        <v>180.35432146625988</v>
      </c>
      <c r="S424" s="160">
        <f t="shared" si="254"/>
        <v>1.5652516571924056</v>
      </c>
      <c r="T424" s="160" t="str">
        <f t="shared" si="246"/>
        <v>1+0.28856247859897i</v>
      </c>
      <c r="U424" s="160">
        <f t="shared" si="255"/>
        <v>1.0408017602094939</v>
      </c>
      <c r="V424" s="160">
        <f t="shared" si="256"/>
        <v>0.28093090823136713</v>
      </c>
      <c r="W424" s="98" t="str">
        <f t="shared" si="247"/>
        <v>1-0.749383168106742i</v>
      </c>
      <c r="X424" s="160">
        <f t="shared" si="257"/>
        <v>1.2496299982961747</v>
      </c>
      <c r="Y424" s="160">
        <f t="shared" si="258"/>
        <v>-0.64310621948356539</v>
      </c>
      <c r="Z424" s="98" t="str">
        <f t="shared" si="248"/>
        <v>0.727632905256941+0.859020986717458i</v>
      </c>
      <c r="AA424" s="160">
        <f t="shared" si="259"/>
        <v>1.1257738229474388</v>
      </c>
      <c r="AB424" s="160">
        <f t="shared" si="260"/>
        <v>0.86801794146957945</v>
      </c>
      <c r="AC424" s="171" t="str">
        <f t="shared" si="261"/>
        <v>-0.0415028922636912-0.0149688087306555i</v>
      </c>
      <c r="AD424" s="190">
        <f t="shared" si="262"/>
        <v>-27.10733253591405</v>
      </c>
      <c r="AE424" s="169">
        <f t="shared" si="263"/>
        <v>-160.1671951994112</v>
      </c>
      <c r="AF424" s="98" t="str">
        <f t="shared" si="249"/>
        <v>-0.0000816326530612245</v>
      </c>
      <c r="AG424" s="98" t="str">
        <f t="shared" si="250"/>
        <v>0.0160296456861728i</v>
      </c>
      <c r="AH424" s="98">
        <f t="shared" si="264"/>
        <v>1.6029645686172801E-2</v>
      </c>
      <c r="AI424" s="98">
        <f t="shared" si="265"/>
        <v>1.5707963267948966</v>
      </c>
      <c r="AJ424" s="98" t="str">
        <f t="shared" si="251"/>
        <v>1+1.77565921236891i</v>
      </c>
      <c r="AK424" s="98">
        <f t="shared" si="266"/>
        <v>2.0378826360883928</v>
      </c>
      <c r="AL424" s="98">
        <f t="shared" si="267"/>
        <v>1.0578971950584504</v>
      </c>
      <c r="AM424" s="98" t="str">
        <f t="shared" si="252"/>
        <v>1+179.34158044926i</v>
      </c>
      <c r="AN424" s="98">
        <f t="shared" si="268"/>
        <v>179.34436840346669</v>
      </c>
      <c r="AO424" s="98">
        <f t="shared" si="269"/>
        <v>1.5652204328279631</v>
      </c>
      <c r="AP424" s="168" t="str">
        <f t="shared" si="270"/>
        <v>-0.217741529594341+0.391727357895296i</v>
      </c>
      <c r="AQ424" s="98">
        <f t="shared" si="271"/>
        <v>-6.9710287323989419</v>
      </c>
      <c r="AR424" s="169">
        <f t="shared" si="272"/>
        <v>119.067480373105</v>
      </c>
      <c r="AS424" s="168" t="str">
        <f t="shared" si="273"/>
        <v>0.014900595138985-0.0129984870222508i</v>
      </c>
      <c r="AT424" s="190">
        <f t="shared" si="274"/>
        <v>-34.078361268312996</v>
      </c>
      <c r="AU424" s="169">
        <f t="shared" si="275"/>
        <v>-41.099714826306105</v>
      </c>
      <c r="AV424" s="225"/>
      <c r="AX424">
        <f t="shared" si="276"/>
        <v>0</v>
      </c>
      <c r="AY424">
        <f t="shared" si="277"/>
        <v>0</v>
      </c>
    </row>
    <row r="425" spans="14:51" x14ac:dyDescent="0.2">
      <c r="N425" s="170">
        <v>7</v>
      </c>
      <c r="O425" s="199">
        <f t="shared" si="278"/>
        <v>117489.75549395311</v>
      </c>
      <c r="P425" s="189" t="str">
        <f t="shared" si="244"/>
        <v>6.8875</v>
      </c>
      <c r="Q425" s="160" t="str">
        <f t="shared" si="245"/>
        <v>1+184.552476365932i</v>
      </c>
      <c r="R425" s="160">
        <f t="shared" si="253"/>
        <v>184.55518560256684</v>
      </c>
      <c r="S425" s="160">
        <f t="shared" si="254"/>
        <v>1.5653778667823177</v>
      </c>
      <c r="T425" s="160" t="str">
        <f t="shared" si="246"/>
        <v>1+0.295283962185491i</v>
      </c>
      <c r="U425" s="160">
        <f t="shared" si="255"/>
        <v>1.0426852920819216</v>
      </c>
      <c r="V425" s="160">
        <f t="shared" si="256"/>
        <v>0.28712455814059296</v>
      </c>
      <c r="W425" s="98" t="str">
        <f t="shared" si="247"/>
        <v>1-0.766838544456781i</v>
      </c>
      <c r="X425" s="160">
        <f t="shared" si="257"/>
        <v>1.2601751280137989</v>
      </c>
      <c r="Y425" s="160">
        <f t="shared" si="258"/>
        <v>-0.65419096596335902</v>
      </c>
      <c r="Z425" s="98" t="str">
        <f t="shared" si="248"/>
        <v>0.714796639544858+0.879030155930075i</v>
      </c>
      <c r="AA425" s="160">
        <f t="shared" si="259"/>
        <v>1.1329731907415432</v>
      </c>
      <c r="AB425" s="160">
        <f t="shared" si="260"/>
        <v>0.88807928086041465</v>
      </c>
      <c r="AC425" s="171" t="str">
        <f t="shared" si="261"/>
        <v>-0.0410695241414651-0.0136587516768464i</v>
      </c>
      <c r="AD425" s="190">
        <f t="shared" si="262"/>
        <v>-27.274002454625666</v>
      </c>
      <c r="AE425" s="169">
        <f t="shared" si="263"/>
        <v>-161.60409574540628</v>
      </c>
      <c r="AF425" s="98" t="str">
        <f t="shared" si="249"/>
        <v>-0.0000816326530612245</v>
      </c>
      <c r="AG425" s="98" t="str">
        <f t="shared" si="250"/>
        <v>0.016403024099404i</v>
      </c>
      <c r="AH425" s="98">
        <f t="shared" si="264"/>
        <v>1.6403024099404001E-2</v>
      </c>
      <c r="AI425" s="98">
        <f t="shared" si="265"/>
        <v>1.5707963267948966</v>
      </c>
      <c r="AJ425" s="98" t="str">
        <f t="shared" si="251"/>
        <v>1+1.81701962869587i</v>
      </c>
      <c r="AK425" s="98">
        <f t="shared" si="266"/>
        <v>2.0740203304370182</v>
      </c>
      <c r="AL425" s="98">
        <f t="shared" si="267"/>
        <v>1.0676830698589739</v>
      </c>
      <c r="AM425" s="98" t="str">
        <f t="shared" si="252"/>
        <v>1+183.518982498283i</v>
      </c>
      <c r="AN425" s="98">
        <f t="shared" si="268"/>
        <v>183.52170699185726</v>
      </c>
      <c r="AO425" s="98">
        <f t="shared" si="269"/>
        <v>1.5653473531287252</v>
      </c>
      <c r="AP425" s="168" t="str">
        <f t="shared" si="270"/>
        <v>-0.210219785583994+0.386950159860793i</v>
      </c>
      <c r="AQ425" s="98">
        <f t="shared" si="271"/>
        <v>-7.1237116159131304</v>
      </c>
      <c r="AR425" s="169">
        <f t="shared" si="272"/>
        <v>118.51406304575976</v>
      </c>
      <c r="AS425" s="168" t="str">
        <f t="shared" si="273"/>
        <v>0.01391888270391-0.013020519083095i</v>
      </c>
      <c r="AT425" s="190">
        <f t="shared" si="274"/>
        <v>-34.397714070538797</v>
      </c>
      <c r="AU425" s="169">
        <f t="shared" si="275"/>
        <v>-43.090032699646741</v>
      </c>
      <c r="AV425" s="225"/>
      <c r="AX425">
        <f t="shared" si="276"/>
        <v>0</v>
      </c>
      <c r="AY425">
        <f t="shared" si="277"/>
        <v>0</v>
      </c>
    </row>
    <row r="426" spans="14:51" x14ac:dyDescent="0.2">
      <c r="N426" s="170">
        <v>8</v>
      </c>
      <c r="O426" s="199">
        <f t="shared" si="278"/>
        <v>120226.44346174144</v>
      </c>
      <c r="P426" s="189" t="str">
        <f t="shared" si="244"/>
        <v>6.8875</v>
      </c>
      <c r="Q426" s="160" t="str">
        <f t="shared" si="245"/>
        <v>1+188.851255773318i</v>
      </c>
      <c r="R426" s="160">
        <f t="shared" si="253"/>
        <v>188.85390334107257</v>
      </c>
      <c r="S426" s="160">
        <f t="shared" si="254"/>
        <v>1.5655012036580234</v>
      </c>
      <c r="T426" s="160" t="str">
        <f t="shared" si="246"/>
        <v>1+0.302162009237308i</v>
      </c>
      <c r="U426" s="160">
        <f t="shared" si="255"/>
        <v>1.0446539521900671</v>
      </c>
      <c r="V426" s="160">
        <f t="shared" si="256"/>
        <v>0.29343910702096915</v>
      </c>
      <c r="W426" s="98" t="str">
        <f t="shared" si="247"/>
        <v>1-0.784700508753398i</v>
      </c>
      <c r="X426" s="160">
        <f t="shared" si="257"/>
        <v>1.271123474898423</v>
      </c>
      <c r="Y426" s="160">
        <f t="shared" si="258"/>
        <v>-0.66534211382753161</v>
      </c>
      <c r="Z426" s="98" t="str">
        <f t="shared" si="248"/>
        <v>0.70135541926737+0.899505398566705i</v>
      </c>
      <c r="AA426" s="160">
        <f t="shared" si="259"/>
        <v>1.1406179843340869</v>
      </c>
      <c r="AB426" s="160">
        <f t="shared" si="260"/>
        <v>0.9085489340389058</v>
      </c>
      <c r="AC426" s="171" t="str">
        <f t="shared" si="261"/>
        <v>-0.0406156371035492-0.0123700980078407i</v>
      </c>
      <c r="AD426" s="190">
        <f t="shared" si="262"/>
        <v>-27.44088755251234</v>
      </c>
      <c r="AE426" s="169">
        <f t="shared" si="263"/>
        <v>-163.06110387203555</v>
      </c>
      <c r="AF426" s="98" t="str">
        <f t="shared" si="249"/>
        <v>-0.0000816326530612245</v>
      </c>
      <c r="AG426" s="98" t="str">
        <f t="shared" si="250"/>
        <v>0.0167850996131325i</v>
      </c>
      <c r="AH426" s="98">
        <f t="shared" si="264"/>
        <v>1.6785099613132501E-2</v>
      </c>
      <c r="AI426" s="98">
        <f t="shared" si="265"/>
        <v>1.5707963267948966</v>
      </c>
      <c r="AJ426" s="98" t="str">
        <f t="shared" si="251"/>
        <v>1+1.85934345288106i</v>
      </c>
      <c r="AK426" s="98">
        <f t="shared" si="266"/>
        <v>2.1111982559133717</v>
      </c>
      <c r="AL426" s="98">
        <f t="shared" si="267"/>
        <v>1.0773491332042289</v>
      </c>
      <c r="AM426" s="98" t="str">
        <f t="shared" si="252"/>
        <v>1+187.793688740987i</v>
      </c>
      <c r="AN426" s="98">
        <f t="shared" si="268"/>
        <v>187.7963512184055</v>
      </c>
      <c r="AO426" s="98">
        <f t="shared" si="269"/>
        <v>1.5654713845403603</v>
      </c>
      <c r="AP426" s="168" t="str">
        <f t="shared" si="270"/>
        <v>-0.202881090394526+0.382089027114763i</v>
      </c>
      <c r="AQ426" s="98">
        <f t="shared" si="271"/>
        <v>-7.2780376038931651</v>
      </c>
      <c r="AR426" s="169">
        <f t="shared" si="272"/>
        <v>117.96734488798438</v>
      </c>
      <c r="AS426" s="168" t="str">
        <f t="shared" si="273"/>
        <v>0.0129666234557665-0.0130091302944235i</v>
      </c>
      <c r="AT426" s="190">
        <f t="shared" si="274"/>
        <v>-34.718925156405525</v>
      </c>
      <c r="AU426" s="169">
        <f t="shared" si="275"/>
        <v>-45.093758984051263</v>
      </c>
      <c r="AV426" s="225"/>
      <c r="AX426">
        <f t="shared" si="276"/>
        <v>0</v>
      </c>
      <c r="AY426">
        <f t="shared" si="277"/>
        <v>0</v>
      </c>
    </row>
    <row r="427" spans="14:51" x14ac:dyDescent="0.2">
      <c r="N427" s="170">
        <v>9</v>
      </c>
      <c r="O427" s="199">
        <f t="shared" si="278"/>
        <v>123026.87708123829</v>
      </c>
      <c r="P427" s="189" t="str">
        <f t="shared" si="244"/>
        <v>6.8875</v>
      </c>
      <c r="Q427" s="160" t="str">
        <f t="shared" si="245"/>
        <v>1+193.250166616256i</v>
      </c>
      <c r="R427" s="160">
        <f t="shared" si="253"/>
        <v>193.25275391882701</v>
      </c>
      <c r="S427" s="160">
        <f t="shared" si="254"/>
        <v>1.5656217331993483</v>
      </c>
      <c r="T427" s="160" t="str">
        <f t="shared" si="246"/>
        <v>1+0.30920026658601i</v>
      </c>
      <c r="U427" s="160">
        <f t="shared" si="255"/>
        <v>1.0467114238685176</v>
      </c>
      <c r="V427" s="160">
        <f t="shared" si="256"/>
        <v>0.29987588790785075</v>
      </c>
      <c r="W427" s="98" t="str">
        <f t="shared" si="247"/>
        <v>1-0.802978531646494i</v>
      </c>
      <c r="X427" s="160">
        <f t="shared" si="257"/>
        <v>1.2824876304608788</v>
      </c>
      <c r="Y427" s="160">
        <f t="shared" si="258"/>
        <v>-0.67655448309550104</v>
      </c>
      <c r="Z427" s="98" t="str">
        <f t="shared" si="248"/>
        <v>0.687280733794171+0.920457570872015i</v>
      </c>
      <c r="AA427" s="160">
        <f t="shared" si="259"/>
        <v>1.148737109533885</v>
      </c>
      <c r="AB427" s="160">
        <f t="shared" si="260"/>
        <v>0.92942795779459231</v>
      </c>
      <c r="AC427" s="171" t="str">
        <f t="shared" si="261"/>
        <v>-0.0401407538173901-0.0111034190108673i</v>
      </c>
      <c r="AD427" s="190">
        <f t="shared" si="262"/>
        <v>-27.608091629602754</v>
      </c>
      <c r="AE427" s="169">
        <f t="shared" si="263"/>
        <v>-164.53791070654225</v>
      </c>
      <c r="AF427" s="98" t="str">
        <f t="shared" si="249"/>
        <v>-0.0000816326530612245</v>
      </c>
      <c r="AG427" s="98" t="str">
        <f t="shared" si="250"/>
        <v>0.0171760748088529i</v>
      </c>
      <c r="AH427" s="98">
        <f t="shared" si="264"/>
        <v>1.7176074808852901E-2</v>
      </c>
      <c r="AI427" s="98">
        <f t="shared" si="265"/>
        <v>1.5707963267948966</v>
      </c>
      <c r="AJ427" s="98" t="str">
        <f t="shared" si="251"/>
        <v>1+1.90265312557629i</v>
      </c>
      <c r="AK427" s="98">
        <f t="shared" si="266"/>
        <v>2.1494392097161588</v>
      </c>
      <c r="AL427" s="98">
        <f t="shared" si="267"/>
        <v>1.086893284377366</v>
      </c>
      <c r="AM427" s="98" t="str">
        <f t="shared" si="252"/>
        <v>1+192.167965683205i</v>
      </c>
      <c r="AN427" s="98">
        <f t="shared" si="268"/>
        <v>192.17056755606842</v>
      </c>
      <c r="AO427" s="98">
        <f t="shared" si="269"/>
        <v>1.5655925928106915</v>
      </c>
      <c r="AP427" s="168" t="str">
        <f t="shared" si="270"/>
        <v>-0.195726339224726+0.377152026560795i</v>
      </c>
      <c r="AQ427" s="98">
        <f t="shared" si="271"/>
        <v>-7.4339661163582429</v>
      </c>
      <c r="AR427" s="169">
        <f t="shared" si="272"/>
        <v>117.42745002906089</v>
      </c>
      <c r="AS427" s="168" t="str">
        <f t="shared" si="273"/>
        <v>0.012044279780101-0.0129659350940314i</v>
      </c>
      <c r="AT427" s="190">
        <f t="shared" si="274"/>
        <v>-35.042057745960975</v>
      </c>
      <c r="AU427" s="169">
        <f t="shared" si="275"/>
        <v>-47.11046067748137</v>
      </c>
      <c r="AV427" s="225"/>
      <c r="AX427">
        <f t="shared" si="276"/>
        <v>0</v>
      </c>
      <c r="AY427">
        <f t="shared" si="277"/>
        <v>0</v>
      </c>
    </row>
    <row r="428" spans="14:51" x14ac:dyDescent="0.2">
      <c r="N428" s="170">
        <v>10</v>
      </c>
      <c r="O428" s="199">
        <f t="shared" si="278"/>
        <v>125892.54117941685</v>
      </c>
      <c r="P428" s="189" t="str">
        <f t="shared" si="244"/>
        <v>6.8875</v>
      </c>
      <c r="Q428" s="160" t="str">
        <f t="shared" si="245"/>
        <v>1+197.751541255503i</v>
      </c>
      <c r="R428" s="160">
        <f t="shared" si="253"/>
        <v>197.75406966463902</v>
      </c>
      <c r="S428" s="160">
        <f t="shared" si="254"/>
        <v>1.565739519298635</v>
      </c>
      <c r="T428" s="160" t="str">
        <f t="shared" si="246"/>
        <v>1+0.316402466008805i</v>
      </c>
      <c r="U428" s="160">
        <f t="shared" si="255"/>
        <v>1.0488615354261273</v>
      </c>
      <c r="V428" s="160">
        <f t="shared" si="256"/>
        <v>0.30643617936697026</v>
      </c>
      <c r="W428" s="98" t="str">
        <f t="shared" si="247"/>
        <v>1-0.821682304385747i</v>
      </c>
      <c r="X428" s="160">
        <f t="shared" si="257"/>
        <v>1.2942804214468637</v>
      </c>
      <c r="Y428" s="160">
        <f t="shared" si="258"/>
        <v>-0.68782274262165921</v>
      </c>
      <c r="Z428" s="98" t="str">
        <f t="shared" si="248"/>
        <v>0.672542728830348+0.941897781965099i</v>
      </c>
      <c r="AA428" s="160">
        <f t="shared" si="259"/>
        <v>1.1573612892149729</v>
      </c>
      <c r="AB428" s="160">
        <f t="shared" si="260"/>
        <v>0.95071656844528885</v>
      </c>
      <c r="AC428" s="171" t="str">
        <f t="shared" si="261"/>
        <v>-0.0396444459716887-0.00985937344489836i</v>
      </c>
      <c r="AD428" s="190">
        <f t="shared" si="262"/>
        <v>-27.775724590851066</v>
      </c>
      <c r="AE428" s="169">
        <f t="shared" si="263"/>
        <v>-166.03415359522259</v>
      </c>
      <c r="AF428" s="98" t="str">
        <f t="shared" si="249"/>
        <v>-0.0000816326530612245</v>
      </c>
      <c r="AG428" s="98" t="str">
        <f t="shared" si="250"/>
        <v>0.0175761569867891i</v>
      </c>
      <c r="AH428" s="98">
        <f t="shared" si="264"/>
        <v>1.7576156986789101E-2</v>
      </c>
      <c r="AI428" s="98">
        <f t="shared" si="265"/>
        <v>1.5707963267948966</v>
      </c>
      <c r="AJ428" s="98" t="str">
        <f t="shared" si="251"/>
        <v>1+1.94697161014329i</v>
      </c>
      <c r="AK428" s="98">
        <f t="shared" si="266"/>
        <v>2.1887664221437508</v>
      </c>
      <c r="AL428" s="98">
        <f t="shared" si="267"/>
        <v>1.09631362791041</v>
      </c>
      <c r="AM428" s="98" t="str">
        <f t="shared" si="252"/>
        <v>1+196.644132624473i</v>
      </c>
      <c r="AN428" s="98">
        <f t="shared" si="268"/>
        <v>196.64667527225401</v>
      </c>
      <c r="AO428" s="98">
        <f t="shared" si="269"/>
        <v>1.5657110421916942</v>
      </c>
      <c r="AP428" s="168" t="str">
        <f t="shared" si="270"/>
        <v>-0.188756002862265+0.37214708973721i</v>
      </c>
      <c r="AQ428" s="98">
        <f t="shared" si="271"/>
        <v>-7.5914564220664289</v>
      </c>
      <c r="AR428" s="169">
        <f t="shared" si="272"/>
        <v>116.89449075267135</v>
      </c>
      <c r="AS428" s="168" t="str">
        <f t="shared" si="273"/>
        <v>0.0111522642914562-0.0128925492704226i</v>
      </c>
      <c r="AT428" s="190">
        <f t="shared" si="274"/>
        <v>-35.36718101291752</v>
      </c>
      <c r="AU428" s="169">
        <f t="shared" si="275"/>
        <v>-49.139662842551274</v>
      </c>
      <c r="AV428" s="225"/>
      <c r="AX428">
        <f t="shared" si="276"/>
        <v>0</v>
      </c>
      <c r="AY428">
        <f t="shared" si="277"/>
        <v>0</v>
      </c>
    </row>
    <row r="429" spans="14:51" x14ac:dyDescent="0.2">
      <c r="N429" s="170">
        <v>11</v>
      </c>
      <c r="O429" s="199">
        <f t="shared" si="278"/>
        <v>128824.95516931375</v>
      </c>
      <c r="P429" s="189" t="str">
        <f t="shared" si="244"/>
        <v>6.8875</v>
      </c>
      <c r="Q429" s="160" t="str">
        <f t="shared" si="245"/>
        <v>1+202.357766379475i</v>
      </c>
      <c r="R429" s="160">
        <f t="shared" si="253"/>
        <v>202.36023723570347</v>
      </c>
      <c r="S429" s="160">
        <f t="shared" si="254"/>
        <v>1.5658546243945517</v>
      </c>
      <c r="T429" s="160" t="str">
        <f t="shared" si="246"/>
        <v>1+0.32377242620716i</v>
      </c>
      <c r="U429" s="160">
        <f t="shared" si="255"/>
        <v>1.0511082646293248</v>
      </c>
      <c r="V429" s="160">
        <f t="shared" si="256"/>
        <v>0.31312120023608536</v>
      </c>
      <c r="W429" s="98" t="str">
        <f t="shared" si="247"/>
        <v>1-0.840821743959038i</v>
      </c>
      <c r="X429" s="160">
        <f t="shared" si="257"/>
        <v>1.3065149081102436</v>
      </c>
      <c r="Y429" s="160">
        <f t="shared" si="258"/>
        <v>-0.69914142150039305</v>
      </c>
      <c r="Z429" s="98" t="str">
        <f t="shared" si="248"/>
        <v>0.657110143091412+0.963837399729673i</v>
      </c>
      <c r="AA429" s="160">
        <f t="shared" si="259"/>
        <v>1.1665231559087343</v>
      </c>
      <c r="AB429" s="160">
        <f t="shared" si="260"/>
        <v>0.97241406591634838</v>
      </c>
      <c r="AC429" s="171" t="str">
        <f t="shared" si="261"/>
        <v>-0.0391263437359218-0.0086387067830676i</v>
      </c>
      <c r="AD429" s="190">
        <f t="shared" si="262"/>
        <v>-27.943902232547199</v>
      </c>
      <c r="AE429" s="169">
        <f t="shared" si="263"/>
        <v>-167.54941271016455</v>
      </c>
      <c r="AF429" s="98" t="str">
        <f t="shared" si="249"/>
        <v>-0.0000816326530612245</v>
      </c>
      <c r="AG429" s="98" t="str">
        <f t="shared" si="250"/>
        <v>0.0179855582758078i</v>
      </c>
      <c r="AH429" s="98">
        <f t="shared" si="264"/>
        <v>1.7985558275807799E-2</v>
      </c>
      <c r="AI429" s="98">
        <f t="shared" si="265"/>
        <v>1.5707963267948966</v>
      </c>
      <c r="AJ429" s="98" t="str">
        <f t="shared" si="251"/>
        <v>1+1.99232240482921i</v>
      </c>
      <c r="AK429" s="98">
        <f t="shared" si="266"/>
        <v>2.2292035718579961</v>
      </c>
      <c r="AL429" s="98">
        <f t="shared" si="267"/>
        <v>1.1056084698140212</v>
      </c>
      <c r="AM429" s="98" t="str">
        <f t="shared" si="252"/>
        <v>1+201.22456288775i</v>
      </c>
      <c r="AN429" s="98">
        <f t="shared" si="268"/>
        <v>201.22704765852441</v>
      </c>
      <c r="AO429" s="98">
        <f t="shared" si="269"/>
        <v>1.5658267954734955</v>
      </c>
      <c r="AP429" s="168" t="str">
        <f t="shared" si="270"/>
        <v>-0.181970147331081+0.367081990482191i</v>
      </c>
      <c r="AQ429" s="98">
        <f t="shared" si="271"/>
        <v>-7.7504677302550293</v>
      </c>
      <c r="AR429" s="169">
        <f t="shared" si="272"/>
        <v>116.36856771486524</v>
      </c>
      <c r="AS429" s="168" t="str">
        <f t="shared" si="273"/>
        <v>0.0102909402152727-0.0127905893928078i</v>
      </c>
      <c r="AT429" s="190">
        <f t="shared" si="274"/>
        <v>-35.694369962802199</v>
      </c>
      <c r="AU429" s="169">
        <f t="shared" si="275"/>
        <v>-51.180844995299346</v>
      </c>
      <c r="AV429" s="225"/>
      <c r="AX429">
        <f t="shared" si="276"/>
        <v>0</v>
      </c>
      <c r="AY429">
        <f t="shared" si="277"/>
        <v>0</v>
      </c>
    </row>
    <row r="430" spans="14:51" x14ac:dyDescent="0.2">
      <c r="N430" s="170">
        <v>12</v>
      </c>
      <c r="O430" s="199">
        <f t="shared" si="278"/>
        <v>131825.67385564081</v>
      </c>
      <c r="P430" s="189" t="str">
        <f t="shared" si="244"/>
        <v>6.8875</v>
      </c>
      <c r="Q430" s="160" t="str">
        <f t="shared" si="245"/>
        <v>1+207.071284269703i</v>
      </c>
      <c r="R430" s="160">
        <f t="shared" si="253"/>
        <v>207.07369888304058</v>
      </c>
      <c r="S430" s="160">
        <f t="shared" si="254"/>
        <v>1.5659671095051366</v>
      </c>
      <c r="T430" s="160" t="str">
        <f t="shared" si="246"/>
        <v>1+0.331314054831524i</v>
      </c>
      <c r="U430" s="160">
        <f t="shared" si="255"/>
        <v>1.053455743222707</v>
      </c>
      <c r="V430" s="160">
        <f t="shared" si="256"/>
        <v>0.31993210416095552</v>
      </c>
      <c r="W430" s="98" t="str">
        <f t="shared" si="247"/>
        <v>1-0.860406998350564i</v>
      </c>
      <c r="X430" s="160">
        <f t="shared" si="257"/>
        <v>1.3192043825012967</v>
      </c>
      <c r="Y430" s="160">
        <f t="shared" si="258"/>
        <v>-0.71050492129960874</v>
      </c>
      <c r="Z430" s="98" t="str">
        <f t="shared" si="248"/>
        <v>0.640950241993931+0.986288056841476i</v>
      </c>
      <c r="AA430" s="160">
        <f t="shared" si="259"/>
        <v>1.1762573458985126</v>
      </c>
      <c r="AB430" s="160">
        <f t="shared" si="260"/>
        <v>0.99451875706592874</v>
      </c>
      <c r="AC430" s="171" t="str">
        <f t="shared" si="261"/>
        <v>-0.0385861457224924-0.0074422493857955i</v>
      </c>
      <c r="AD430" s="190">
        <f t="shared" si="262"/>
        <v>-28.112745949382273</v>
      </c>
      <c r="AE430" s="169">
        <f t="shared" si="263"/>
        <v>-169.08320767199888</v>
      </c>
      <c r="AF430" s="98" t="str">
        <f t="shared" si="249"/>
        <v>-0.0000816326530612245</v>
      </c>
      <c r="AG430" s="98" t="str">
        <f t="shared" si="250"/>
        <v>0.0184044957458912i</v>
      </c>
      <c r="AH430" s="98">
        <f t="shared" si="264"/>
        <v>1.8404495745891199E-2</v>
      </c>
      <c r="AI430" s="98">
        <f t="shared" si="265"/>
        <v>1.5707963267948966</v>
      </c>
      <c r="AJ430" s="98" t="str">
        <f t="shared" si="251"/>
        <v>1+2.03872955522567i</v>
      </c>
      <c r="AK430" s="98">
        <f t="shared" si="266"/>
        <v>2.2707748015491669</v>
      </c>
      <c r="AL430" s="98">
        <f t="shared" si="267"/>
        <v>1.1147763132670148</v>
      </c>
      <c r="AM430" s="98" t="str">
        <f t="shared" si="252"/>
        <v>1+205.911685077792i</v>
      </c>
      <c r="AN430" s="98">
        <f t="shared" si="268"/>
        <v>205.91411328895302</v>
      </c>
      <c r="AO430" s="98">
        <f t="shared" si="269"/>
        <v>1.5659399140176025</v>
      </c>
      <c r="AP430" s="168" t="str">
        <f t="shared" si="270"/>
        <v>-0.175368454518913+0.361964324776494i</v>
      </c>
      <c r="AQ430" s="98">
        <f t="shared" si="271"/>
        <v>-7.9109592779210569</v>
      </c>
      <c r="AR430" s="169">
        <f t="shared" si="272"/>
        <v>115.84977019293397</v>
      </c>
      <c r="AS430" s="168" t="str">
        <f t="shared" si="273"/>
        <v>0.0094606215149428-0.0126616724092381i</v>
      </c>
      <c r="AT430" s="190">
        <f t="shared" si="274"/>
        <v>-36.023705227303317</v>
      </c>
      <c r="AU430" s="169">
        <f t="shared" si="275"/>
        <v>-53.233437479064982</v>
      </c>
      <c r="AV430" s="225"/>
      <c r="AX430">
        <f t="shared" si="276"/>
        <v>0</v>
      </c>
      <c r="AY430">
        <f t="shared" si="277"/>
        <v>0</v>
      </c>
    </row>
    <row r="431" spans="14:51" x14ac:dyDescent="0.2">
      <c r="N431" s="170">
        <v>13</v>
      </c>
      <c r="O431" s="199">
        <f t="shared" si="278"/>
        <v>134896.28825916545</v>
      </c>
      <c r="P431" s="189" t="str">
        <f t="shared" si="244"/>
        <v>6.8875</v>
      </c>
      <c r="Q431" s="160" t="str">
        <f t="shared" si="245"/>
        <v>1+211.894594095762i</v>
      </c>
      <c r="R431" s="160">
        <f t="shared" si="253"/>
        <v>211.89695374640883</v>
      </c>
      <c r="S431" s="160">
        <f t="shared" si="254"/>
        <v>1.5660770342600918</v>
      </c>
      <c r="T431" s="160" t="str">
        <f t="shared" si="246"/>
        <v>1+0.33903135055322i</v>
      </c>
      <c r="U431" s="160">
        <f t="shared" si="255"/>
        <v>1.055908261478212</v>
      </c>
      <c r="V431" s="160">
        <f t="shared" si="256"/>
        <v>0.32686997393139172</v>
      </c>
      <c r="W431" s="98" t="str">
        <f t="shared" si="247"/>
        <v>1-0.88044845192145i</v>
      </c>
      <c r="X431" s="160">
        <f t="shared" si="257"/>
        <v>1.3323623668097497</v>
      </c>
      <c r="Y431" s="160">
        <f t="shared" si="258"/>
        <v>-0.72190752906334399</v>
      </c>
      <c r="Z431" s="98" t="str">
        <f t="shared" si="248"/>
        <v>0.624028748221078+1.00926165693608i</v>
      </c>
      <c r="AA431" s="160">
        <f t="shared" si="259"/>
        <v>1.1866005944578517</v>
      </c>
      <c r="AB431" s="160">
        <f t="shared" si="260"/>
        <v>1.0170278791779497</v>
      </c>
      <c r="AC431" s="171" t="str">
        <f t="shared" si="261"/>
        <v>-0.0380236293435434-0.00627091346504369i</v>
      </c>
      <c r="AD431" s="190">
        <f t="shared" si="262"/>
        <v>-28.282382356514745</v>
      </c>
      <c r="AE431" s="169">
        <f t="shared" si="263"/>
        <v>-170.63499423773305</v>
      </c>
      <c r="AF431" s="98" t="str">
        <f t="shared" si="249"/>
        <v>-0.0000816326530612245</v>
      </c>
      <c r="AG431" s="98" t="str">
        <f t="shared" si="250"/>
        <v>0.0188331915232314i</v>
      </c>
      <c r="AH431" s="98">
        <f t="shared" si="264"/>
        <v>1.8833191523231398E-2</v>
      </c>
      <c r="AI431" s="98">
        <f t="shared" si="265"/>
        <v>1.5707963267948966</v>
      </c>
      <c r="AJ431" s="98" t="str">
        <f t="shared" si="251"/>
        <v>1+2.08621766701808i</v>
      </c>
      <c r="AK431" s="98">
        <f t="shared" si="266"/>
        <v>2.3135047339865893</v>
      </c>
      <c r="AL431" s="98">
        <f t="shared" si="267"/>
        <v>1.1238158538210952</v>
      </c>
      <c r="AM431" s="98" t="str">
        <f t="shared" si="252"/>
        <v>1+210.707984368826i</v>
      </c>
      <c r="AN431" s="98">
        <f t="shared" si="268"/>
        <v>210.71035730778263</v>
      </c>
      <c r="AO431" s="98">
        <f t="shared" si="269"/>
        <v>1.5660504577893786</v>
      </c>
      <c r="AP431" s="168" t="str">
        <f t="shared" si="270"/>
        <v>-0.168950243563305+0.356801492760198i</v>
      </c>
      <c r="AQ431" s="98">
        <f t="shared" si="271"/>
        <v>-8.07289041245199</v>
      </c>
      <c r="AR431" s="169">
        <f t="shared" si="272"/>
        <v>115.33817636202212</v>
      </c>
      <c r="AS431" s="168" t="str">
        <f t="shared" si="273"/>
        <v>0.0086615727240501-0.0125074153526532i</v>
      </c>
      <c r="AT431" s="190">
        <f t="shared" si="274"/>
        <v>-36.355272768966742</v>
      </c>
      <c r="AU431" s="169">
        <f t="shared" si="275"/>
        <v>-55.2968178757109</v>
      </c>
      <c r="AV431" s="225"/>
      <c r="AX431">
        <f t="shared" si="276"/>
        <v>0</v>
      </c>
      <c r="AY431">
        <f t="shared" si="277"/>
        <v>0</v>
      </c>
    </row>
    <row r="432" spans="14:51" x14ac:dyDescent="0.2">
      <c r="N432" s="170">
        <v>14</v>
      </c>
      <c r="O432" s="199">
        <f t="shared" si="278"/>
        <v>138038.42646028858</v>
      </c>
      <c r="P432" s="189" t="str">
        <f t="shared" si="244"/>
        <v>6.8875</v>
      </c>
      <c r="Q432" s="160" t="str">
        <f t="shared" si="245"/>
        <v>1+216.830253240369i</v>
      </c>
      <c r="R432" s="160">
        <f t="shared" si="253"/>
        <v>216.8325591793874</v>
      </c>
      <c r="S432" s="160">
        <f t="shared" si="254"/>
        <v>1.5661844569323449</v>
      </c>
      <c r="T432" s="160" t="str">
        <f t="shared" si="246"/>
        <v>1+0.34692840518459i</v>
      </c>
      <c r="U432" s="160">
        <f t="shared" si="255"/>
        <v>1.0584702727634456</v>
      </c>
      <c r="V432" s="160">
        <f t="shared" si="256"/>
        <v>0.33393581562490948</v>
      </c>
      <c r="W432" s="98" t="str">
        <f t="shared" si="247"/>
        <v>1-0.900956730915659i</v>
      </c>
      <c r="X432" s="160">
        <f t="shared" si="257"/>
        <v>1.3460026118036441</v>
      </c>
      <c r="Y432" s="160">
        <f t="shared" si="258"/>
        <v>-0.73334343101558097</v>
      </c>
      <c r="Z432" s="98" t="str">
        <f t="shared" si="248"/>
        <v>0.606309769015858+1.03277038092036i</v>
      </c>
      <c r="AA432" s="160">
        <f t="shared" si="259"/>
        <v>1.1975918318485845</v>
      </c>
      <c r="AB432" s="160">
        <f t="shared" si="260"/>
        <v>1.0399375246854832</v>
      </c>
      <c r="AC432" s="171" t="str">
        <f t="shared" si="261"/>
        <v>-0.0374386614248212-0.00512568870636579i</v>
      </c>
      <c r="AD432" s="190">
        <f t="shared" si="262"/>
        <v>-28.452942821765074</v>
      </c>
      <c r="AE432" s="169">
        <f t="shared" si="263"/>
        <v>-172.20416111024224</v>
      </c>
      <c r="AF432" s="98" t="str">
        <f t="shared" si="249"/>
        <v>-0.0000816326530612245</v>
      </c>
      <c r="AG432" s="98" t="str">
        <f t="shared" si="250"/>
        <v>0.019271872908004i</v>
      </c>
      <c r="AH432" s="98">
        <f t="shared" si="264"/>
        <v>1.9271872908004001E-2</v>
      </c>
      <c r="AI432" s="98">
        <f t="shared" si="265"/>
        <v>1.5707963267948966</v>
      </c>
      <c r="AJ432" s="98" t="str">
        <f t="shared" si="251"/>
        <v>1+2.13481191903191i</v>
      </c>
      <c r="AK432" s="98">
        <f t="shared" si="266"/>
        <v>2.3574184884404179</v>
      </c>
      <c r="AL432" s="98">
        <f t="shared" si="267"/>
        <v>1.1327259741758637</v>
      </c>
      <c r="AM432" s="98" t="str">
        <f t="shared" si="252"/>
        <v>1+215.616003822223i</v>
      </c>
      <c r="AN432" s="98">
        <f t="shared" si="268"/>
        <v>215.61832274708212</v>
      </c>
      <c r="AO432" s="98">
        <f t="shared" si="269"/>
        <v>1.5661584853897819</v>
      </c>
      <c r="AP432" s="168" t="str">
        <f t="shared" si="270"/>
        <v>-0.162714492784928+0.351600682899274i</v>
      </c>
      <c r="AQ432" s="98">
        <f t="shared" si="271"/>
        <v>-8.2362206694599376</v>
      </c>
      <c r="AR432" s="169">
        <f t="shared" si="272"/>
        <v>114.83385359631421</v>
      </c>
      <c r="AS432" s="168" t="str">
        <f t="shared" si="273"/>
        <v>0.00789400845377374-0.0123294350857721i</v>
      </c>
      <c r="AT432" s="190">
        <f t="shared" si="274"/>
        <v>-36.68916349122501</v>
      </c>
      <c r="AU432" s="169">
        <f t="shared" si="275"/>
        <v>-57.370307513928019</v>
      </c>
      <c r="AV432" s="225"/>
      <c r="AX432">
        <f t="shared" si="276"/>
        <v>0</v>
      </c>
      <c r="AY432">
        <f t="shared" si="277"/>
        <v>0</v>
      </c>
    </row>
    <row r="433" spans="14:51" x14ac:dyDescent="0.2">
      <c r="N433" s="170">
        <v>15</v>
      </c>
      <c r="O433" s="199">
        <f t="shared" si="278"/>
        <v>141253.75446227577</v>
      </c>
      <c r="P433" s="189" t="str">
        <f t="shared" si="244"/>
        <v>6.8875</v>
      </c>
      <c r="Q433" s="160" t="str">
        <f t="shared" si="245"/>
        <v>1+221.880878655331i</v>
      </c>
      <c r="R433" s="160">
        <f t="shared" si="253"/>
        <v>221.88313210530833</v>
      </c>
      <c r="S433" s="160">
        <f t="shared" si="254"/>
        <v>1.5662894344688958</v>
      </c>
      <c r="T433" s="160" t="str">
        <f t="shared" si="246"/>
        <v>1+0.35500940584853i</v>
      </c>
      <c r="U433" s="160">
        <f t="shared" si="255"/>
        <v>1.0611463981189995</v>
      </c>
      <c r="V433" s="160">
        <f t="shared" si="256"/>
        <v>0.34113055256750813</v>
      </c>
      <c r="W433" s="98" t="str">
        <f t="shared" si="247"/>
        <v>1-0.921942709094173i</v>
      </c>
      <c r="X433" s="160">
        <f t="shared" si="257"/>
        <v>1.3601390954060188</v>
      </c>
      <c r="Y433" s="160">
        <f t="shared" si="258"/>
        <v>-0.74480672688960081</v>
      </c>
      <c r="Z433" s="98" t="str">
        <f t="shared" si="248"/>
        <v>0.58775572004775+1.05682669343093i</v>
      </c>
      <c r="AA433" s="160">
        <f t="shared" si="259"/>
        <v>1.2092722796777415</v>
      </c>
      <c r="AB433" s="160">
        <f t="shared" si="260"/>
        <v>1.063242568325836</v>
      </c>
      <c r="AC433" s="171" t="str">
        <f t="shared" si="261"/>
        <v>-0.036831208908049-0.00400763642743244i</v>
      </c>
      <c r="AD433" s="190">
        <f t="shared" si="262"/>
        <v>-28.624562904095615</v>
      </c>
      <c r="AE433" s="169">
        <f t="shared" si="263"/>
        <v>-173.790026933364</v>
      </c>
      <c r="AF433" s="98" t="str">
        <f t="shared" si="249"/>
        <v>-0.0000816326530612245</v>
      </c>
      <c r="AG433" s="98" t="str">
        <f t="shared" si="250"/>
        <v>0.0197207724948858i</v>
      </c>
      <c r="AH433" s="98">
        <f t="shared" si="264"/>
        <v>1.97207724948858E-2</v>
      </c>
      <c r="AI433" s="98">
        <f t="shared" si="265"/>
        <v>1.5707963267948966</v>
      </c>
      <c r="AJ433" s="98" t="str">
        <f t="shared" si="251"/>
        <v>1+2.18453807658278i</v>
      </c>
      <c r="AK433" s="98">
        <f t="shared" si="266"/>
        <v>2.4025416974612517</v>
      </c>
      <c r="AL433" s="98">
        <f t="shared" si="267"/>
        <v>1.1415057385783025</v>
      </c>
      <c r="AM433" s="98" t="str">
        <f t="shared" si="252"/>
        <v>1+220.638345734861i</v>
      </c>
      <c r="AN433" s="98">
        <f t="shared" si="268"/>
        <v>220.64061187509441</v>
      </c>
      <c r="AO433" s="98">
        <f t="shared" si="269"/>
        <v>1.5662640540863848</v>
      </c>
      <c r="AP433" s="168" t="str">
        <f t="shared" si="270"/>
        <v>-0.156659861969213+0.346368858258796i</v>
      </c>
      <c r="AQ433" s="98">
        <f t="shared" si="271"/>
        <v>-8.4009098457223264</v>
      </c>
      <c r="AR433" s="169">
        <f t="shared" si="272"/>
        <v>114.33685879169936</v>
      </c>
      <c r="AS433" s="168" t="str">
        <f t="shared" si="273"/>
        <v>0.00715809255738034-0.0121293480082278i</v>
      </c>
      <c r="AT433" s="190">
        <f t="shared" si="274"/>
        <v>-37.025472749817929</v>
      </c>
      <c r="AU433" s="169">
        <f t="shared" si="275"/>
        <v>-59.453168141664719</v>
      </c>
      <c r="AV433" s="225"/>
      <c r="AX433">
        <f t="shared" si="276"/>
        <v>0</v>
      </c>
      <c r="AY433">
        <f t="shared" si="277"/>
        <v>0</v>
      </c>
    </row>
    <row r="434" spans="14:51" x14ac:dyDescent="0.2">
      <c r="N434" s="170">
        <v>16</v>
      </c>
      <c r="O434" s="199">
        <f t="shared" si="278"/>
        <v>144543.97707459307</v>
      </c>
      <c r="P434" s="189" t="str">
        <f t="shared" si="244"/>
        <v>6.8875</v>
      </c>
      <c r="Q434" s="160" t="str">
        <f t="shared" si="245"/>
        <v>1+227.049148249097i</v>
      </c>
      <c r="R434" s="160">
        <f t="shared" si="253"/>
        <v>227.05135040479371</v>
      </c>
      <c r="S434" s="160">
        <f t="shared" si="254"/>
        <v>1.566392022520964</v>
      </c>
      <c r="T434" s="160" t="str">
        <f t="shared" si="246"/>
        <v>1+0.363278637198554i</v>
      </c>
      <c r="U434" s="160">
        <f t="shared" si="255"/>
        <v>1.0639414308338775</v>
      </c>
      <c r="V434" s="160">
        <f t="shared" si="256"/>
        <v>0.34845501912319049</v>
      </c>
      <c r="W434" s="98" t="str">
        <f t="shared" si="247"/>
        <v>1-0.943417513500401i</v>
      </c>
      <c r="X434" s="160">
        <f t="shared" si="257"/>
        <v>1.3747860214518037</v>
      </c>
      <c r="Y434" s="160">
        <f t="shared" si="258"/>
        <v>-0.75629144480004862</v>
      </c>
      <c r="Z434" s="98" t="str">
        <f t="shared" si="248"/>
        <v>0.568327245691312+1.08144334944311i</v>
      </c>
      <c r="AA434" s="160">
        <f t="shared" si="259"/>
        <v>1.221685547205092</v>
      </c>
      <c r="AB434" s="160">
        <f t="shared" si="260"/>
        <v>1.0869365980591874</v>
      </c>
      <c r="AC434" s="171" t="str">
        <f t="shared" si="261"/>
        <v>-0.0362013494420442-0.00291788217023303i</v>
      </c>
      <c r="AD434" s="190">
        <f t="shared" si="262"/>
        <v>-28.797381695835952</v>
      </c>
      <c r="AE434" s="169">
        <f t="shared" si="263"/>
        <v>-175.39183754349597</v>
      </c>
      <c r="AF434" s="98" t="str">
        <f t="shared" si="249"/>
        <v>-0.0000816326530612245</v>
      </c>
      <c r="AG434" s="98" t="str">
        <f t="shared" si="250"/>
        <v>0.0201801282963797i</v>
      </c>
      <c r="AH434" s="98">
        <f t="shared" si="264"/>
        <v>2.0180128296379701E-2</v>
      </c>
      <c r="AI434" s="98">
        <f t="shared" si="265"/>
        <v>1.5707963267948966</v>
      </c>
      <c r="AJ434" s="98" t="str">
        <f t="shared" si="251"/>
        <v>1+2.23542250513764i</v>
      </c>
      <c r="AK434" s="98">
        <f t="shared" si="266"/>
        <v>2.4489005240057917</v>
      </c>
      <c r="AL434" s="98">
        <f t="shared" si="267"/>
        <v>1.1501543868996724</v>
      </c>
      <c r="AM434" s="98" t="str">
        <f t="shared" si="252"/>
        <v>1+225.777673018902i</v>
      </c>
      <c r="AN434" s="98">
        <f t="shared" si="268"/>
        <v>225.77988757599783</v>
      </c>
      <c r="AO434" s="98">
        <f t="shared" si="269"/>
        <v>1.5663672198436898</v>
      </c>
      <c r="AP434" s="168" t="str">
        <f t="shared" si="270"/>
        <v>-0.150784714810716+0.341112744823329i</v>
      </c>
      <c r="AQ434" s="98">
        <f t="shared" si="271"/>
        <v>-8.5669180671720895</v>
      </c>
      <c r="AR434" s="169">
        <f t="shared" si="272"/>
        <v>113.8472387068758</v>
      </c>
      <c r="AS434" s="168" t="str">
        <f t="shared" si="273"/>
        <v>0.00645393694754095-0.0119087696435943i</v>
      </c>
      <c r="AT434" s="190">
        <f t="shared" si="274"/>
        <v>-37.364299763008056</v>
      </c>
      <c r="AU434" s="169">
        <f t="shared" si="275"/>
        <v>-61.544598836620125</v>
      </c>
      <c r="AV434" s="225"/>
      <c r="AX434">
        <f t="shared" si="276"/>
        <v>0</v>
      </c>
      <c r="AY434">
        <f t="shared" si="277"/>
        <v>0</v>
      </c>
    </row>
    <row r="435" spans="14:51" x14ac:dyDescent="0.2">
      <c r="N435" s="170">
        <v>17</v>
      </c>
      <c r="O435" s="199">
        <f t="shared" si="278"/>
        <v>147910.83881682079</v>
      </c>
      <c r="P435" s="189" t="str">
        <f t="shared" si="244"/>
        <v>6.8875</v>
      </c>
      <c r="Q435" s="160" t="str">
        <f t="shared" si="245"/>
        <v>1+232.337802306614i</v>
      </c>
      <c r="R435" s="160">
        <f t="shared" si="253"/>
        <v>232.3399543355969</v>
      </c>
      <c r="S435" s="160">
        <f t="shared" si="254"/>
        <v>1.56649227547345</v>
      </c>
      <c r="T435" s="160" t="str">
        <f t="shared" si="246"/>
        <v>1+0.371740483690582i</v>
      </c>
      <c r="U435" s="160">
        <f t="shared" si="255"/>
        <v>1.0668603410074384</v>
      </c>
      <c r="V435" s="160">
        <f t="shared" si="256"/>
        <v>0.35590995432612305</v>
      </c>
      <c r="W435" s="98" t="str">
        <f t="shared" si="247"/>
        <v>1-0.965392530359892i</v>
      </c>
      <c r="X435" s="160">
        <f t="shared" si="257"/>
        <v>1.3899578186674137</v>
      </c>
      <c r="Y435" s="160">
        <f t="shared" si="258"/>
        <v>-0.76779155656863884</v>
      </c>
      <c r="Z435" s="98" t="str">
        <f t="shared" si="248"/>
        <v>0.547983135547613+1.10663340103376i</v>
      </c>
      <c r="AA435" s="160">
        <f t="shared" si="259"/>
        <v>1.2348777271973692</v>
      </c>
      <c r="AB435" s="160">
        <f t="shared" si="260"/>
        <v>1.1110118511991711</v>
      </c>
      <c r="AC435" s="171" t="str">
        <f t="shared" si="261"/>
        <v>-0.0355492816326663-0.00185760664981319i</v>
      </c>
      <c r="AD435" s="190">
        <f t="shared" si="262"/>
        <v>-28.971541067683077</v>
      </c>
      <c r="AE435" s="169">
        <f t="shared" si="263"/>
        <v>-177.00876355478468</v>
      </c>
      <c r="AF435" s="98" t="str">
        <f t="shared" si="249"/>
        <v>-0.0000816326530612245</v>
      </c>
      <c r="AG435" s="98" t="str">
        <f t="shared" si="250"/>
        <v>0.0206501838690119i</v>
      </c>
      <c r="AH435" s="98">
        <f t="shared" si="264"/>
        <v>2.06501838690119E-2</v>
      </c>
      <c r="AI435" s="98">
        <f t="shared" si="265"/>
        <v>1.5707963267948966</v>
      </c>
      <c r="AJ435" s="98" t="str">
        <f t="shared" si="251"/>
        <v>1+2.28749218429403i</v>
      </c>
      <c r="AK435" s="98">
        <f t="shared" si="266"/>
        <v>2.4965216788977163</v>
      </c>
      <c r="AL435" s="98">
        <f t="shared" si="267"/>
        <v>1.1586713284409784</v>
      </c>
      <c r="AM435" s="98" t="str">
        <f t="shared" si="252"/>
        <v>1+231.036710613697i</v>
      </c>
      <c r="AN435" s="98">
        <f t="shared" si="268"/>
        <v>231.03887476179671</v>
      </c>
      <c r="AO435" s="98">
        <f t="shared" si="269"/>
        <v>1.566468037352758</v>
      </c>
      <c r="AP435" s="168" t="str">
        <f t="shared" si="270"/>
        <v>-0.145087141349133+0.335838821790778i</v>
      </c>
      <c r="AQ435" s="98">
        <f t="shared" si="271"/>
        <v>-8.7342058519209829</v>
      </c>
      <c r="AR435" s="169">
        <f t="shared" si="272"/>
        <v>113.36503031996997</v>
      </c>
      <c r="AS435" s="168" t="str">
        <f t="shared" si="273"/>
        <v>0.00578160007772277-0.0116693140204507i</v>
      </c>
      <c r="AT435" s="190">
        <f t="shared" si="274"/>
        <v>-37.705746919604032</v>
      </c>
      <c r="AU435" s="169">
        <f t="shared" si="275"/>
        <v>-63.643733234814796</v>
      </c>
      <c r="AV435" s="225"/>
      <c r="AX435">
        <f t="shared" si="276"/>
        <v>0</v>
      </c>
      <c r="AY435">
        <f t="shared" si="277"/>
        <v>0</v>
      </c>
    </row>
    <row r="436" spans="14:51" x14ac:dyDescent="0.2">
      <c r="N436" s="170">
        <v>18</v>
      </c>
      <c r="O436" s="199">
        <f t="shared" si="278"/>
        <v>151356.12484362084</v>
      </c>
      <c r="P436" s="189" t="str">
        <f t="shared" si="244"/>
        <v>6.8875</v>
      </c>
      <c r="Q436" s="160" t="str">
        <f t="shared" si="245"/>
        <v>1+237.749644942269i</v>
      </c>
      <c r="R436" s="160">
        <f t="shared" si="253"/>
        <v>237.75174798552999</v>
      </c>
      <c r="S436" s="160">
        <f t="shared" si="254"/>
        <v>1.5665902464737309</v>
      </c>
      <c r="T436" s="160" t="str">
        <f t="shared" si="246"/>
        <v>1+0.380399431907631i</v>
      </c>
      <c r="U436" s="160">
        <f t="shared" si="255"/>
        <v>1.0699082800855635</v>
      </c>
      <c r="V436" s="160">
        <f t="shared" si="256"/>
        <v>0.36349599537169869</v>
      </c>
      <c r="W436" s="98" t="str">
        <f t="shared" si="247"/>
        <v>1-0.987879411117463i</v>
      </c>
      <c r="X436" s="160">
        <f t="shared" si="257"/>
        <v>1.4056691399151457</v>
      </c>
      <c r="Y436" s="160">
        <f t="shared" si="258"/>
        <v>-0.77930099340910008</v>
      </c>
      <c r="Z436" s="98" t="str">
        <f t="shared" si="248"/>
        <v>0.526680237031452+1.13241020430166i</v>
      </c>
      <c r="AA436" s="160">
        <f t="shared" si="259"/>
        <v>1.2488974909439261</v>
      </c>
      <c r="AB436" s="160">
        <f t="shared" si="260"/>
        <v>1.1354591572997867</v>
      </c>
      <c r="AC436" s="171" t="str">
        <f t="shared" si="261"/>
        <v>-0.0348753346941056-0.000828035015530404i</v>
      </c>
      <c r="AD436" s="190">
        <f t="shared" si="262"/>
        <v>-29.14718481735212</v>
      </c>
      <c r="AE436" s="169">
        <f t="shared" si="263"/>
        <v>-178.63989836005172</v>
      </c>
      <c r="AF436" s="98" t="str">
        <f t="shared" si="249"/>
        <v>-0.0000816326530612245</v>
      </c>
      <c r="AG436" s="98" t="str">
        <f t="shared" si="250"/>
        <v>0.0211311884424689i</v>
      </c>
      <c r="AH436" s="98">
        <f t="shared" si="264"/>
        <v>2.11311884424689E-2</v>
      </c>
      <c r="AI436" s="98">
        <f t="shared" si="265"/>
        <v>1.5707963267948966</v>
      </c>
      <c r="AJ436" s="98" t="str">
        <f t="shared" si="251"/>
        <v>1+2.34077472208508i</v>
      </c>
      <c r="AK436" s="98">
        <f t="shared" si="266"/>
        <v>2.5454324386147991</v>
      </c>
      <c r="AL436" s="98">
        <f t="shared" si="267"/>
        <v>1.1670561355162163</v>
      </c>
      <c r="AM436" s="98" t="str">
        <f t="shared" si="252"/>
        <v>1+236.418246930593i</v>
      </c>
      <c r="AN436" s="98">
        <f t="shared" si="268"/>
        <v>236.42036181711347</v>
      </c>
      <c r="AO436" s="98">
        <f t="shared" si="269"/>
        <v>1.5665665600601646</v>
      </c>
      <c r="AP436" s="168" t="str">
        <f t="shared" si="270"/>
        <v>-0.139564980240894+0.330553313754146i</v>
      </c>
      <c r="AQ436" s="98">
        <f t="shared" si="271"/>
        <v>-8.9027341683349377</v>
      </c>
      <c r="AR436" s="169">
        <f t="shared" si="272"/>
        <v>112.89026119784795</v>
      </c>
      <c r="AS436" s="168" t="str">
        <f t="shared" si="273"/>
        <v>0.00514108511576545-0.0114125927608403i</v>
      </c>
      <c r="AT436" s="190">
        <f t="shared" si="274"/>
        <v>-38.049918985687043</v>
      </c>
      <c r="AU436" s="169">
        <f t="shared" si="275"/>
        <v>-65.74963716220384</v>
      </c>
      <c r="AV436" s="225"/>
      <c r="AX436">
        <f t="shared" si="276"/>
        <v>0</v>
      </c>
      <c r="AY436">
        <f t="shared" si="277"/>
        <v>0</v>
      </c>
    </row>
    <row r="437" spans="14:51" x14ac:dyDescent="0.2">
      <c r="N437" s="170">
        <v>19</v>
      </c>
      <c r="O437" s="199">
        <f t="shared" si="278"/>
        <v>154881.66189124843</v>
      </c>
      <c r="P437" s="189" t="str">
        <f t="shared" si="244"/>
        <v>6.8875</v>
      </c>
      <c r="Q437" s="160" t="str">
        <f t="shared" si="245"/>
        <v>1+243.287545586662i</v>
      </c>
      <c r="R437" s="160">
        <f t="shared" si="253"/>
        <v>243.28960075922302</v>
      </c>
      <c r="S437" s="160">
        <f t="shared" si="254"/>
        <v>1.5666859874598005</v>
      </c>
      <c r="T437" s="160" t="str">
        <f t="shared" si="246"/>
        <v>1+0.38926007293866i</v>
      </c>
      <c r="U437" s="160">
        <f t="shared" si="255"/>
        <v>1.0730905853581099</v>
      </c>
      <c r="V437" s="160">
        <f t="shared" si="256"/>
        <v>0.37121367098533348</v>
      </c>
      <c r="W437" s="98" t="str">
        <f t="shared" si="247"/>
        <v>1-1.01089007861494i</v>
      </c>
      <c r="X437" s="160">
        <f t="shared" si="257"/>
        <v>1.4219348617437155</v>
      </c>
      <c r="Y437" s="160">
        <f t="shared" si="258"/>
        <v>-0.79081366187272539</v>
      </c>
      <c r="Z437" s="98" t="str">
        <f t="shared" si="248"/>
        <v>0.504373363838946+1.15878742644911i</v>
      </c>
      <c r="AA437" s="160">
        <f t="shared" si="259"/>
        <v>1.2637961820826829</v>
      </c>
      <c r="AB437" s="160">
        <f t="shared" si="260"/>
        <v>1.160267889411065</v>
      </c>
      <c r="AC437" s="171" t="str">
        <f t="shared" si="261"/>
        <v>-0.0341799772208343+0.000169575578559152i</v>
      </c>
      <c r="AD437" s="190">
        <f t="shared" si="262"/>
        <v>-29.324457724849498</v>
      </c>
      <c r="AE437" s="169">
        <f t="shared" si="263"/>
        <v>179.7157433668865</v>
      </c>
      <c r="AF437" s="98" t="str">
        <f t="shared" si="249"/>
        <v>-0.0000816326530612245</v>
      </c>
      <c r="AG437" s="98" t="str">
        <f t="shared" si="250"/>
        <v>0.0216233970517425i</v>
      </c>
      <c r="AH437" s="98">
        <f t="shared" si="264"/>
        <v>2.1623397051742502E-2</v>
      </c>
      <c r="AI437" s="98">
        <f t="shared" si="265"/>
        <v>1.5707963267948966</v>
      </c>
      <c r="AJ437" s="98" t="str">
        <f t="shared" si="251"/>
        <v>1+2.39529836961759i</v>
      </c>
      <c r="AK437" s="98">
        <f t="shared" si="266"/>
        <v>2.595660663394328</v>
      </c>
      <c r="AL437" s="98">
        <f t="shared" si="267"/>
        <v>1.1753085368602196</v>
      </c>
      <c r="AM437" s="98" t="str">
        <f t="shared" si="252"/>
        <v>1+241.925135331377i</v>
      </c>
      <c r="AN437" s="98">
        <f t="shared" si="268"/>
        <v>241.92720207761892</v>
      </c>
      <c r="AO437" s="98">
        <f t="shared" si="269"/>
        <v>1.5666628401962981</v>
      </c>
      <c r="AP437" s="168" t="str">
        <f t="shared" si="270"/>
        <v>-0.134215840725737+0.325262184675851i</v>
      </c>
      <c r="AQ437" s="98">
        <f t="shared" si="271"/>
        <v>-9.0724644882145959</v>
      </c>
      <c r="AR437" s="169">
        <f t="shared" si="272"/>
        <v>112.4229498754399</v>
      </c>
      <c r="AS437" s="168" t="str">
        <f t="shared" si="273"/>
        <v>0.004532337855531-0.0111402137918623i</v>
      </c>
      <c r="AT437" s="190">
        <f t="shared" si="274"/>
        <v>-38.396922213064066</v>
      </c>
      <c r="AU437" s="169">
        <f t="shared" si="275"/>
        <v>-67.861306757673646</v>
      </c>
      <c r="AV437" s="225"/>
      <c r="AX437">
        <f t="shared" si="276"/>
        <v>0</v>
      </c>
      <c r="AY437">
        <f t="shared" si="277"/>
        <v>0</v>
      </c>
    </row>
    <row r="438" spans="14:51" x14ac:dyDescent="0.2">
      <c r="N438" s="170">
        <v>20</v>
      </c>
      <c r="O438" s="199">
        <f t="shared" si="278"/>
        <v>158489.31924611164</v>
      </c>
      <c r="P438" s="189" t="str">
        <f t="shared" si="244"/>
        <v>6.8875</v>
      </c>
      <c r="Q438" s="160" t="str">
        <f t="shared" si="245"/>
        <v>1+248.954440508016i</v>
      </c>
      <c r="R438" s="160">
        <f t="shared" si="253"/>
        <v>248.95644889951996</v>
      </c>
      <c r="S438" s="160">
        <f t="shared" si="254"/>
        <v>1.5667795491877723</v>
      </c>
      <c r="T438" s="160" t="str">
        <f t="shared" si="246"/>
        <v>1+0.398327104812825i</v>
      </c>
      <c r="U438" s="160">
        <f t="shared" si="255"/>
        <v>1.0764127844040905</v>
      </c>
      <c r="V438" s="160">
        <f t="shared" si="256"/>
        <v>0.3790633946904558</v>
      </c>
      <c r="W438" s="98" t="str">
        <f t="shared" si="247"/>
        <v>1-1.03443673341281i</v>
      </c>
      <c r="X438" s="160">
        <f t="shared" si="257"/>
        <v>1.4387700842851039</v>
      </c>
      <c r="Y438" s="160">
        <f t="shared" si="258"/>
        <v>-0.80232345995280052</v>
      </c>
      <c r="Z438" s="98" t="str">
        <f t="shared" si="248"/>
        <v>0.481015200101325+1.18577905302843i</v>
      </c>
      <c r="AA438" s="160">
        <f t="shared" si="259"/>
        <v>1.2796279089366245</v>
      </c>
      <c r="AB438" s="160">
        <f t="shared" si="260"/>
        <v>1.1854259253486734</v>
      </c>
      <c r="AC438" s="171" t="str">
        <f t="shared" si="261"/>
        <v>-0.0334638247826481+0.00113395004982854i</v>
      </c>
      <c r="AD438" s="190">
        <f t="shared" si="262"/>
        <v>-29.503504519659071</v>
      </c>
      <c r="AE438" s="169">
        <f t="shared" si="263"/>
        <v>178.05922658029749</v>
      </c>
      <c r="AF438" s="98" t="str">
        <f t="shared" si="249"/>
        <v>-0.0000816326530612245</v>
      </c>
      <c r="AG438" s="98" t="str">
        <f t="shared" si="250"/>
        <v>0.0221270706723525i</v>
      </c>
      <c r="AH438" s="98">
        <f t="shared" si="264"/>
        <v>2.2127070672352499E-2</v>
      </c>
      <c r="AI438" s="98">
        <f t="shared" si="265"/>
        <v>1.5707963267948966</v>
      </c>
      <c r="AJ438" s="98" t="str">
        <f t="shared" si="251"/>
        <v>1+2.4510920360512i</v>
      </c>
      <c r="AK438" s="98">
        <f t="shared" si="266"/>
        <v>2.6472348156507794</v>
      </c>
      <c r="AL438" s="98">
        <f t="shared" si="267"/>
        <v>1.1834284109054811</v>
      </c>
      <c r="AM438" s="98" t="str">
        <f t="shared" si="252"/>
        <v>1+247.560295641171i</v>
      </c>
      <c r="AN438" s="98">
        <f t="shared" si="268"/>
        <v>247.56231534291317</v>
      </c>
      <c r="AO438" s="98">
        <f t="shared" si="269"/>
        <v>1.5667569288030172</v>
      </c>
      <c r="AP438" s="168" t="str">
        <f t="shared" si="270"/>
        <v>-0.129037124163162+0.319971133551718i</v>
      </c>
      <c r="AQ438" s="98">
        <f t="shared" si="271"/>
        <v>-9.243358835161537</v>
      </c>
      <c r="AR438" s="169">
        <f t="shared" si="272"/>
        <v>111.96310624253388</v>
      </c>
      <c r="AS438" s="168" t="str">
        <f t="shared" si="273"/>
        <v>0.00395524443061819-0.0108537796020545i</v>
      </c>
      <c r="AT438" s="190">
        <f t="shared" si="274"/>
        <v>-38.746863354820633</v>
      </c>
      <c r="AU438" s="169">
        <f t="shared" si="275"/>
        <v>-69.977667177168584</v>
      </c>
      <c r="AV438" s="225"/>
      <c r="AX438">
        <f t="shared" si="276"/>
        <v>0</v>
      </c>
      <c r="AY438">
        <f t="shared" si="277"/>
        <v>0</v>
      </c>
    </row>
    <row r="439" spans="14:51" x14ac:dyDescent="0.2">
      <c r="N439" s="170">
        <v>21</v>
      </c>
      <c r="O439" s="199">
        <f t="shared" si="278"/>
        <v>162181.00973589328</v>
      </c>
      <c r="P439" s="189" t="str">
        <f t="shared" si="244"/>
        <v>6.8875</v>
      </c>
      <c r="Q439" s="160" t="str">
        <f t="shared" si="245"/>
        <v>1+254.753334369027i</v>
      </c>
      <c r="R439" s="160">
        <f t="shared" si="253"/>
        <v>254.75529704431517</v>
      </c>
      <c r="S439" s="160">
        <f t="shared" si="254"/>
        <v>1.5668709812587567</v>
      </c>
      <c r="T439" s="160" t="str">
        <f t="shared" si="246"/>
        <v>1+0.407605334990444i</v>
      </c>
      <c r="U439" s="160">
        <f t="shared" si="255"/>
        <v>1.0798805994704563</v>
      </c>
      <c r="V439" s="160">
        <f t="shared" si="256"/>
        <v>0.3870454579999133</v>
      </c>
      <c r="W439" s="98" t="str">
        <f t="shared" si="247"/>
        <v>1-1.05853186025912i</v>
      </c>
      <c r="X439" s="160">
        <f t="shared" si="257"/>
        <v>1.4561901315362749</v>
      </c>
      <c r="Y439" s="160">
        <f t="shared" si="258"/>
        <v>-0.81382429324426575</v>
      </c>
      <c r="Z439" s="98" t="str">
        <f t="shared" si="248"/>
        <v>0.456556200021618+1.21339939535729i</v>
      </c>
      <c r="AA439" s="160">
        <f t="shared" si="259"/>
        <v>1.2964496351311208</v>
      </c>
      <c r="AB439" s="160">
        <f t="shared" si="260"/>
        <v>1.2109196206131219</v>
      </c>
      <c r="AC439" s="171" t="str">
        <f t="shared" si="261"/>
        <v>-0.0327276460365819+0.00206381101138705i</v>
      </c>
      <c r="AD439" s="190">
        <f t="shared" si="262"/>
        <v>-29.684468767630282</v>
      </c>
      <c r="AE439" s="169">
        <f t="shared" si="263"/>
        <v>176.39169609662613</v>
      </c>
      <c r="AF439" s="98" t="str">
        <f t="shared" si="249"/>
        <v>-0.0000816326530612245</v>
      </c>
      <c r="AG439" s="98" t="str">
        <f t="shared" si="250"/>
        <v>0.0226424763587193i</v>
      </c>
      <c r="AH439" s="98">
        <f t="shared" si="264"/>
        <v>2.2642476358719299E-2</v>
      </c>
      <c r="AI439" s="98">
        <f t="shared" si="265"/>
        <v>1.5707963267948966</v>
      </c>
      <c r="AJ439" s="98" t="str">
        <f t="shared" si="251"/>
        <v>1+2.50818530392635i</v>
      </c>
      <c r="AK439" s="98">
        <f t="shared" si="266"/>
        <v>2.700183978700732</v>
      </c>
      <c r="AL439" s="98">
        <f t="shared" si="267"/>
        <v>1.1914157789695488</v>
      </c>
      <c r="AM439" s="98" t="str">
        <f t="shared" si="252"/>
        <v>1+253.326715696561i</v>
      </c>
      <c r="AN439" s="98">
        <f t="shared" si="268"/>
        <v>253.32868942464103</v>
      </c>
      <c r="AO439" s="98">
        <f t="shared" si="269"/>
        <v>1.5668488757606789</v>
      </c>
      <c r="AP439" s="168" t="str">
        <f t="shared" si="270"/>
        <v>-0.124026045029069+0.314685591656014i</v>
      </c>
      <c r="AQ439" s="98">
        <f t="shared" si="271"/>
        <v>-9.4153798282383026</v>
      </c>
      <c r="AR439" s="169">
        <f t="shared" si="272"/>
        <v>111.51073193565837</v>
      </c>
      <c r="AS439" s="168" t="str">
        <f t="shared" si="273"/>
        <v>0.00340962891184401-0.0105548849739602i</v>
      </c>
      <c r="AT439" s="190">
        <f t="shared" si="274"/>
        <v>-39.099848595868558</v>
      </c>
      <c r="AU439" s="169">
        <f t="shared" si="275"/>
        <v>-72.097571967715552</v>
      </c>
      <c r="AV439" s="225"/>
      <c r="AX439">
        <f t="shared" si="276"/>
        <v>0</v>
      </c>
      <c r="AY439">
        <f t="shared" si="277"/>
        <v>0</v>
      </c>
    </row>
    <row r="440" spans="14:51" x14ac:dyDescent="0.2">
      <c r="N440" s="170">
        <v>22</v>
      </c>
      <c r="O440" s="199">
        <f t="shared" si="278"/>
        <v>165958.69074375604</v>
      </c>
      <c r="P440" s="189" t="str">
        <f t="shared" si="244"/>
        <v>6.8875</v>
      </c>
      <c r="Q440" s="160" t="str">
        <f t="shared" si="245"/>
        <v>1+260.687301819983i</v>
      </c>
      <c r="R440" s="160">
        <f t="shared" si="253"/>
        <v>260.6892198196598</v>
      </c>
      <c r="S440" s="160">
        <f t="shared" si="254"/>
        <v>1.56696033214513</v>
      </c>
      <c r="T440" s="160" t="str">
        <f t="shared" si="246"/>
        <v>1+0.417099682911972i</v>
      </c>
      <c r="U440" s="160">
        <f t="shared" si="255"/>
        <v>1.0834999517698503</v>
      </c>
      <c r="V440" s="160">
        <f t="shared" si="256"/>
        <v>0.39516002355782992</v>
      </c>
      <c r="W440" s="98" t="str">
        <f t="shared" si="247"/>
        <v>1-1.08318823470907i</v>
      </c>
      <c r="X440" s="160">
        <f t="shared" si="257"/>
        <v>1.4742105520624087</v>
      </c>
      <c r="Y440" s="160">
        <f t="shared" si="258"/>
        <v>-0.82531009105431941</v>
      </c>
      <c r="Z440" s="98" t="str">
        <f t="shared" si="248"/>
        <v>0.430944482781371+1.24166309810683i</v>
      </c>
      <c r="AA440" s="160">
        <f t="shared" si="259"/>
        <v>1.3143212683510659</v>
      </c>
      <c r="AB440" s="160">
        <f t="shared" si="260"/>
        <v>1.2367337945356638</v>
      </c>
      <c r="AC440" s="171" t="str">
        <f t="shared" si="261"/>
        <v>-0.0319723670510172+0.00295789578743966i</v>
      </c>
      <c r="AD440" s="190">
        <f t="shared" si="262"/>
        <v>-29.867491687964325</v>
      </c>
      <c r="AE440" s="169">
        <f t="shared" si="263"/>
        <v>174.71437607075708</v>
      </c>
      <c r="AF440" s="98" t="str">
        <f t="shared" si="249"/>
        <v>-0.0000816326530612245</v>
      </c>
      <c r="AG440" s="98" t="str">
        <f t="shared" si="250"/>
        <v>0.02316988738576i</v>
      </c>
      <c r="AH440" s="98">
        <f t="shared" si="264"/>
        <v>2.316988738576E-2</v>
      </c>
      <c r="AI440" s="98">
        <f t="shared" si="265"/>
        <v>1.5707963267948966</v>
      </c>
      <c r="AJ440" s="98" t="str">
        <f t="shared" si="251"/>
        <v>1+2.56660844484941i</v>
      </c>
      <c r="AK440" s="98">
        <f t="shared" si="266"/>
        <v>2.7545378757919279</v>
      </c>
      <c r="AL440" s="98">
        <f t="shared" si="267"/>
        <v>1.1992707983918509</v>
      </c>
      <c r="AM440" s="98" t="str">
        <f t="shared" si="252"/>
        <v>1+259.227452929791i</v>
      </c>
      <c r="AN440" s="98">
        <f t="shared" si="268"/>
        <v>259.22938173067308</v>
      </c>
      <c r="AO440" s="98">
        <f t="shared" si="269"/>
        <v>1.5669387298145552</v>
      </c>
      <c r="AP440" s="168" t="str">
        <f t="shared" si="270"/>
        <v>-0.119179651277867+0.309410721255064i</v>
      </c>
      <c r="AQ440" s="98">
        <f t="shared" si="271"/>
        <v>-9.588490721053013</v>
      </c>
      <c r="AR440" s="169">
        <f t="shared" si="272"/>
        <v>111.06582073282628</v>
      </c>
      <c r="AS440" s="168" t="str">
        <f t="shared" si="273"/>
        <v>0.00289525088667917-0.0102451141379502i</v>
      </c>
      <c r="AT440" s="190">
        <f t="shared" si="274"/>
        <v>-39.455982409017345</v>
      </c>
      <c r="AU440" s="169">
        <f t="shared" si="275"/>
        <v>-74.219803196416635</v>
      </c>
      <c r="AV440" s="225"/>
      <c r="AX440">
        <f t="shared" si="276"/>
        <v>0</v>
      </c>
      <c r="AY440">
        <f t="shared" si="277"/>
        <v>0</v>
      </c>
    </row>
    <row r="441" spans="14:51" x14ac:dyDescent="0.2">
      <c r="N441" s="170">
        <v>23</v>
      </c>
      <c r="O441" s="199">
        <f t="shared" si="278"/>
        <v>169824.36524617471</v>
      </c>
      <c r="P441" s="189" t="str">
        <f t="shared" si="244"/>
        <v>6.8875</v>
      </c>
      <c r="Q441" s="160" t="str">
        <f t="shared" si="245"/>
        <v>1+266.759489128965i</v>
      </c>
      <c r="R441" s="160">
        <f t="shared" si="253"/>
        <v>266.76136346994934</v>
      </c>
      <c r="S441" s="160">
        <f t="shared" si="254"/>
        <v>1.5670476492162047</v>
      </c>
      <c r="T441" s="160" t="str">
        <f t="shared" si="246"/>
        <v>1+0.426815182606344i</v>
      </c>
      <c r="U441" s="160">
        <f t="shared" si="255"/>
        <v>1.0872769656822896</v>
      </c>
      <c r="V441" s="160">
        <f t="shared" si="256"/>
        <v>0.40340711826186804</v>
      </c>
      <c r="W441" s="98" t="str">
        <f t="shared" si="247"/>
        <v>1-1.10841892989875i</v>
      </c>
      <c r="X441" s="160">
        <f t="shared" si="257"/>
        <v>1.4928471201559421</v>
      </c>
      <c r="Y441" s="160">
        <f t="shared" si="258"/>
        <v>-0.83677482236022294</v>
      </c>
      <c r="Z441" s="98" t="str">
        <f t="shared" si="248"/>
        <v>0.404125722494507+1.27058514706632i</v>
      </c>
      <c r="AA441" s="160">
        <f t="shared" si="259"/>
        <v>1.3333057472040122</v>
      </c>
      <c r="AB441" s="160">
        <f t="shared" si="260"/>
        <v>1.2628517311152234</v>
      </c>
      <c r="AC441" s="171" t="str">
        <f t="shared" si="261"/>
        <v>-0.0311990735506761+0.00381497460091201i</v>
      </c>
      <c r="AD441" s="190">
        <f t="shared" si="262"/>
        <v>-30.05271091333325</v>
      </c>
      <c r="AE441" s="169">
        <f t="shared" si="263"/>
        <v>173.02856863821211</v>
      </c>
      <c r="AF441" s="98" t="str">
        <f t="shared" si="249"/>
        <v>-0.0000816326530612245</v>
      </c>
      <c r="AG441" s="98" t="str">
        <f t="shared" si="250"/>
        <v>0.0237095833937825i</v>
      </c>
      <c r="AH441" s="98">
        <f t="shared" si="264"/>
        <v>2.3709583393782499E-2</v>
      </c>
      <c r="AI441" s="98">
        <f t="shared" si="265"/>
        <v>1.5707963267948966</v>
      </c>
      <c r="AJ441" s="98" t="str">
        <f t="shared" si="251"/>
        <v>1+2.626392435543i</v>
      </c>
      <c r="AK441" s="98">
        <f t="shared" si="266"/>
        <v>2.8103268894343039</v>
      </c>
      <c r="AL441" s="98">
        <f t="shared" si="267"/>
        <v>1.2069937556558352</v>
      </c>
      <c r="AM441" s="98" t="str">
        <f t="shared" si="252"/>
        <v>1+265.265635989843i</v>
      </c>
      <c r="AN441" s="98">
        <f t="shared" si="268"/>
        <v>265.26752088617235</v>
      </c>
      <c r="AO441" s="98">
        <f t="shared" si="269"/>
        <v>1.5670265386006474</v>
      </c>
      <c r="AP441" s="168" t="str">
        <f t="shared" si="270"/>
        <v>-0.114494843989931+0.304151415674851i</v>
      </c>
      <c r="AQ441" s="98">
        <f t="shared" si="271"/>
        <v>-9.7626554364170719</v>
      </c>
      <c r="AR441" s="169">
        <f t="shared" si="272"/>
        <v>110.62835894908721</v>
      </c>
      <c r="AS441" s="168" t="str">
        <f t="shared" si="273"/>
        <v>0.00241180313318406-0.0099260373099389i</v>
      </c>
      <c r="AT441" s="190">
        <f t="shared" si="274"/>
        <v>-39.81536634975032</v>
      </c>
      <c r="AU441" s="169">
        <f t="shared" si="275"/>
        <v>-76.34307241270065</v>
      </c>
      <c r="AV441" s="225"/>
      <c r="AX441">
        <f t="shared" si="276"/>
        <v>0</v>
      </c>
      <c r="AY441">
        <f t="shared" si="277"/>
        <v>0</v>
      </c>
    </row>
    <row r="442" spans="14:51" x14ac:dyDescent="0.2">
      <c r="N442" s="170">
        <v>24</v>
      </c>
      <c r="O442" s="199">
        <f t="shared" si="278"/>
        <v>173780.0828749378</v>
      </c>
      <c r="P442" s="189" t="str">
        <f t="shared" si="244"/>
        <v>6.8875</v>
      </c>
      <c r="Q442" s="160" t="str">
        <f t="shared" si="245"/>
        <v>1+272.973115850065i</v>
      </c>
      <c r="R442" s="160">
        <f t="shared" si="253"/>
        <v>272.97494752612926</v>
      </c>
      <c r="S442" s="160">
        <f t="shared" si="254"/>
        <v>1.5671329787633186</v>
      </c>
      <c r="T442" s="160" t="str">
        <f t="shared" si="246"/>
        <v>1+0.436756985360104i</v>
      </c>
      <c r="U442" s="160">
        <f t="shared" si="255"/>
        <v>1.0912179728454101</v>
      </c>
      <c r="V442" s="160">
        <f t="shared" si="256"/>
        <v>0.4117866263988022</v>
      </c>
      <c r="W442" s="98" t="str">
        <f t="shared" si="247"/>
        <v>1-1.13423732347672i</v>
      </c>
      <c r="X442" s="160">
        <f t="shared" si="257"/>
        <v>1.512115837483238</v>
      </c>
      <c r="Y442" s="160">
        <f t="shared" si="258"/>
        <v>-0.84821251151247523</v>
      </c>
      <c r="Z442" s="98" t="str">
        <f t="shared" si="248"/>
        <v>0.376043032974787+1.30018087708898i</v>
      </c>
      <c r="AA442" s="160">
        <f t="shared" si="259"/>
        <v>1.3534691262813296</v>
      </c>
      <c r="AB442" s="160">
        <f t="shared" si="260"/>
        <v>1.2892551958404501</v>
      </c>
      <c r="AC442" s="171" t="str">
        <f t="shared" si="261"/>
        <v>-0.030409010817665+0.00463386965257564i</v>
      </c>
      <c r="AD442" s="190">
        <f t="shared" si="262"/>
        <v>-30.240259208754448</v>
      </c>
      <c r="AE442" s="169">
        <f t="shared" si="263"/>
        <v>171.33565165685192</v>
      </c>
      <c r="AF442" s="98" t="str">
        <f t="shared" si="249"/>
        <v>-0.0000816326530612245</v>
      </c>
      <c r="AG442" s="98" t="str">
        <f t="shared" si="250"/>
        <v>0.0242618505367538i</v>
      </c>
      <c r="AH442" s="98">
        <f t="shared" si="264"/>
        <v>2.4261850536753799E-2</v>
      </c>
      <c r="AI442" s="98">
        <f t="shared" si="265"/>
        <v>1.5707963267948966</v>
      </c>
      <c r="AJ442" s="98" t="str">
        <f t="shared" si="251"/>
        <v>1+2.68756897427034i</v>
      </c>
      <c r="AK442" s="98">
        <f t="shared" si="266"/>
        <v>2.8675820810328214</v>
      </c>
      <c r="AL442" s="98">
        <f t="shared" si="267"/>
        <v>1.2145850595294609</v>
      </c>
      <c r="AM442" s="98" t="str">
        <f t="shared" si="252"/>
        <v>1+271.444466401305i</v>
      </c>
      <c r="AN442" s="98">
        <f t="shared" si="268"/>
        <v>271.44630839245031</v>
      </c>
      <c r="AO442" s="98">
        <f t="shared" si="269"/>
        <v>1.5671123486709173</v>
      </c>
      <c r="AP442" s="168" t="str">
        <f t="shared" si="270"/>
        <v>-0.109968396238076+0.298912300607312i</v>
      </c>
      <c r="AQ442" s="98">
        <f t="shared" si="271"/>
        <v>-9.9378385967414378</v>
      </c>
      <c r="AR442" s="169">
        <f t="shared" si="272"/>
        <v>110.19832583099354</v>
      </c>
      <c r="AS442" s="168" t="str">
        <f t="shared" si="273"/>
        <v>0.00195890951223913-0.00959920659677092i</v>
      </c>
      <c r="AT442" s="190">
        <f t="shared" si="274"/>
        <v>-40.178097805495881</v>
      </c>
      <c r="AU442" s="169">
        <f t="shared" si="275"/>
        <v>-78.466022512154552</v>
      </c>
      <c r="AV442" s="225"/>
      <c r="AX442">
        <f t="shared" si="276"/>
        <v>0</v>
      </c>
      <c r="AY442">
        <f t="shared" si="277"/>
        <v>0</v>
      </c>
    </row>
    <row r="443" spans="14:51" x14ac:dyDescent="0.2">
      <c r="N443" s="170">
        <v>25</v>
      </c>
      <c r="O443" s="199">
        <f t="shared" si="278"/>
        <v>177827.94100389251</v>
      </c>
      <c r="P443" s="189" t="str">
        <f t="shared" si="244"/>
        <v>6.8875</v>
      </c>
      <c r="Q443" s="160" t="str">
        <f t="shared" si="245"/>
        <v>1+279.331476530415i</v>
      </c>
      <c r="R443" s="160">
        <f t="shared" si="253"/>
        <v>279.33326651271193</v>
      </c>
      <c r="S443" s="160">
        <f t="shared" si="254"/>
        <v>1.5672163660243539</v>
      </c>
      <c r="T443" s="160" t="str">
        <f t="shared" si="246"/>
        <v>1+0.446930362448664i</v>
      </c>
      <c r="U443" s="160">
        <f t="shared" si="255"/>
        <v>1.0953295161176357</v>
      </c>
      <c r="V443" s="160">
        <f t="shared" si="256"/>
        <v>0.42029828282915188</v>
      </c>
      <c r="W443" s="98" t="str">
        <f t="shared" si="247"/>
        <v>1-1.16065710469701i</v>
      </c>
      <c r="X443" s="160">
        <f t="shared" si="257"/>
        <v>1.5320329352476878</v>
      </c>
      <c r="Y443" s="160">
        <f t="shared" si="258"/>
        <v>-0.85961725358445829</v>
      </c>
      <c r="Z443" s="98" t="str">
        <f t="shared" si="248"/>
        <v>0.346636847072641+1.3304659802226i</v>
      </c>
      <c r="AA443" s="160">
        <f t="shared" si="259"/>
        <v>1.3748806596494638</v>
      </c>
      <c r="AB443" s="160">
        <f t="shared" si="260"/>
        <v>1.3159244695607617</v>
      </c>
      <c r="AC443" s="171" t="str">
        <f t="shared" si="261"/>
        <v>-0.0296035810241372+0.00541347475152038i</v>
      </c>
      <c r="AD443" s="190">
        <f t="shared" si="262"/>
        <v>-30.430263167243773</v>
      </c>
      <c r="AE443" s="169">
        <f t="shared" si="263"/>
        <v>169.6370754948411</v>
      </c>
      <c r="AF443" s="98" t="str">
        <f t="shared" si="249"/>
        <v>-0.0000816326530612245</v>
      </c>
      <c r="AG443" s="98" t="str">
        <f t="shared" si="250"/>
        <v>0.0248269816340232i</v>
      </c>
      <c r="AH443" s="98">
        <f t="shared" si="264"/>
        <v>2.48269816340232E-2</v>
      </c>
      <c r="AI443" s="98">
        <f t="shared" si="265"/>
        <v>1.5707963267948966</v>
      </c>
      <c r="AJ443" s="98" t="str">
        <f t="shared" si="251"/>
        <v>1+2.75017049764203i</v>
      </c>
      <c r="AK443" s="98">
        <f t="shared" si="266"/>
        <v>2.9263352108226788</v>
      </c>
      <c r="AL443" s="98">
        <f t="shared" si="267"/>
        <v>1.2220452342540666</v>
      </c>
      <c r="AM443" s="98" t="str">
        <f t="shared" si="252"/>
        <v>1+277.767220261845i</v>
      </c>
      <c r="AN443" s="98">
        <f t="shared" si="268"/>
        <v>277.76902032442769</v>
      </c>
      <c r="AO443" s="98">
        <f t="shared" si="269"/>
        <v>1.567196205517942</v>
      </c>
      <c r="AP443" s="168" t="str">
        <f t="shared" si="270"/>
        <v>-0.105596971119823+0.293697736540614i</v>
      </c>
      <c r="AQ443" s="98">
        <f t="shared" si="271"/>
        <v>-10.114005550352159</v>
      </c>
      <c r="AR443" s="169">
        <f t="shared" si="272"/>
        <v>109.77569394826122</v>
      </c>
      <c r="AS443" s="168" t="str">
        <f t="shared" si="273"/>
        <v>0.00153612320910786-0.00926615127727996i</v>
      </c>
      <c r="AT443" s="190">
        <f t="shared" si="274"/>
        <v>-40.544268717595926</v>
      </c>
      <c r="AU443" s="169">
        <f t="shared" si="275"/>
        <v>-80.58723055689768</v>
      </c>
      <c r="AV443" s="225"/>
      <c r="AX443">
        <f t="shared" si="276"/>
        <v>0</v>
      </c>
      <c r="AY443">
        <f t="shared" si="277"/>
        <v>0</v>
      </c>
    </row>
    <row r="444" spans="14:51" x14ac:dyDescent="0.2">
      <c r="N444" s="170">
        <v>26</v>
      </c>
      <c r="O444" s="199">
        <f t="shared" si="278"/>
        <v>181970.08586099857</v>
      </c>
      <c r="P444" s="189" t="str">
        <f t="shared" si="244"/>
        <v>6.8875</v>
      </c>
      <c r="Q444" s="160" t="str">
        <f t="shared" si="245"/>
        <v>1+285.837942457008i</v>
      </c>
      <c r="R444" s="160">
        <f t="shared" si="253"/>
        <v>285.83969169458572</v>
      </c>
      <c r="S444" s="160">
        <f t="shared" si="254"/>
        <v>1.567297855207699</v>
      </c>
      <c r="T444" s="160" t="str">
        <f t="shared" si="246"/>
        <v>1+0.457340707931212i</v>
      </c>
      <c r="U444" s="160">
        <f t="shared" si="255"/>
        <v>1.0996183533985882</v>
      </c>
      <c r="V444" s="160">
        <f t="shared" si="256"/>
        <v>0.4289416662596377</v>
      </c>
      <c r="W444" s="98" t="str">
        <f t="shared" si="247"/>
        <v>1-1.18769228167732i</v>
      </c>
      <c r="X444" s="160">
        <f t="shared" si="257"/>
        <v>1.5526148768950652</v>
      </c>
      <c r="Y444" s="160">
        <f t="shared" si="258"/>
        <v>-0.87098322927389438</v>
      </c>
      <c r="Z444" s="98" t="str">
        <f t="shared" si="248"/>
        <v>0.315844790325227+1.36145651402973i</v>
      </c>
      <c r="AA444" s="160">
        <f t="shared" si="259"/>
        <v>1.3976128831581265</v>
      </c>
      <c r="AB444" s="160">
        <f t="shared" si="260"/>
        <v>1.34283840018312</v>
      </c>
      <c r="AC444" s="171" t="str">
        <f t="shared" si="261"/>
        <v>-0.0287843378263578+0.00615277510337695i</v>
      </c>
      <c r="AD444" s="190">
        <f t="shared" si="262"/>
        <v>-30.622841902410745</v>
      </c>
      <c r="AE444" s="169">
        <f t="shared" si="263"/>
        <v>167.93435882801751</v>
      </c>
      <c r="AF444" s="98" t="str">
        <f t="shared" si="249"/>
        <v>-0.0000816326530612245</v>
      </c>
      <c r="AG444" s="98" t="str">
        <f t="shared" si="250"/>
        <v>0.0254052763255789i</v>
      </c>
      <c r="AH444" s="98">
        <f t="shared" si="264"/>
        <v>2.5405276325578902E-2</v>
      </c>
      <c r="AI444" s="98">
        <f t="shared" si="265"/>
        <v>1.5707963267948966</v>
      </c>
      <c r="AJ444" s="98" t="str">
        <f t="shared" si="251"/>
        <v>1+2.81423019781434i</v>
      </c>
      <c r="AK444" s="98">
        <f t="shared" si="266"/>
        <v>2.9866187581092665</v>
      </c>
      <c r="AL444" s="98">
        <f t="shared" si="267"/>
        <v>1.2293749128088072</v>
      </c>
      <c r="AM444" s="98" t="str">
        <f t="shared" si="252"/>
        <v>1+284.237249979248i</v>
      </c>
      <c r="AN444" s="98">
        <f t="shared" si="268"/>
        <v>284.23900906766039</v>
      </c>
      <c r="AO444" s="98">
        <f t="shared" si="269"/>
        <v>1.5672781535990117</v>
      </c>
      <c r="AP444" s="168" t="str">
        <f t="shared" si="270"/>
        <v>-0.101377138914518+0.288511822200658i</v>
      </c>
      <c r="AQ444" s="98">
        <f t="shared" si="271"/>
        <v>-10.291122393912222</v>
      </c>
      <c r="AR444" s="169">
        <f t="shared" si="272"/>
        <v>109.36042958107151</v>
      </c>
      <c r="AS444" s="168" t="str">
        <f t="shared" si="273"/>
        <v>0.00114292545771896-0.00892837249348665i</v>
      </c>
      <c r="AT444" s="190">
        <f t="shared" si="274"/>
        <v>-40.913964296322973</v>
      </c>
      <c r="AU444" s="169">
        <f t="shared" si="275"/>
        <v>-82.705211590910992</v>
      </c>
      <c r="AV444" s="225"/>
      <c r="AX444">
        <f t="shared" si="276"/>
        <v>0</v>
      </c>
      <c r="AY444">
        <f t="shared" si="277"/>
        <v>0</v>
      </c>
    </row>
    <row r="445" spans="14:51" x14ac:dyDescent="0.2">
      <c r="N445" s="170">
        <v>27</v>
      </c>
      <c r="O445" s="199">
        <f t="shared" si="278"/>
        <v>186208.71366628664</v>
      </c>
      <c r="P445" s="189" t="str">
        <f t="shared" si="244"/>
        <v>6.8875</v>
      </c>
      <c r="Q445" s="160" t="str">
        <f t="shared" si="245"/>
        <v>1+292.495963444205i</v>
      </c>
      <c r="R445" s="160">
        <f t="shared" si="253"/>
        <v>292.4976728645097</v>
      </c>
      <c r="S445" s="160">
        <f t="shared" si="254"/>
        <v>1.567377489515666</v>
      </c>
      <c r="T445" s="160" t="str">
        <f t="shared" si="246"/>
        <v>1+0.467993541510728i</v>
      </c>
      <c r="U445" s="160">
        <f t="shared" si="255"/>
        <v>1.1040914612910262</v>
      </c>
      <c r="V445" s="160">
        <f t="shared" si="256"/>
        <v>0.43771619264496775</v>
      </c>
      <c r="W445" s="98" t="str">
        <f t="shared" si="247"/>
        <v>1-1.21535718882634i</v>
      </c>
      <c r="X445" s="160">
        <f t="shared" si="257"/>
        <v>1.5738783613837073</v>
      </c>
      <c r="Y445" s="160">
        <f t="shared" si="258"/>
        <v>-0.88230471926671794</v>
      </c>
      <c r="Z445" s="98" t="str">
        <f t="shared" si="248"/>
        <v>0.283601548651798+1.3931689101016i</v>
      </c>
      <c r="AA445" s="160">
        <f t="shared" si="259"/>
        <v>1.4217416961147964</v>
      </c>
      <c r="AB445" s="160">
        <f t="shared" si="260"/>
        <v>1.3699744726296808</v>
      </c>
      <c r="AC445" s="171" t="str">
        <f t="shared" si="261"/>
        <v>-0.0279529781173134+0.00685086681860041i</v>
      </c>
      <c r="AD445" s="190">
        <f t="shared" si="262"/>
        <v>-30.818105759883228</v>
      </c>
      <c r="AE445" s="169">
        <f t="shared" si="263"/>
        <v>166.22908342923452</v>
      </c>
      <c r="AF445" s="98" t="str">
        <f t="shared" si="249"/>
        <v>-0.0000816326530612245</v>
      </c>
      <c r="AG445" s="98" t="str">
        <f t="shared" si="250"/>
        <v>0.025997041230921i</v>
      </c>
      <c r="AH445" s="98">
        <f t="shared" si="264"/>
        <v>2.5997041230921E-2</v>
      </c>
      <c r="AI445" s="98">
        <f t="shared" si="265"/>
        <v>1.5707963267948966</v>
      </c>
      <c r="AJ445" s="98" t="str">
        <f t="shared" si="251"/>
        <v>1+2.87978204008829i</v>
      </c>
      <c r="AK445" s="98">
        <f t="shared" si="266"/>
        <v>3.0484659418164859</v>
      </c>
      <c r="AL445" s="98">
        <f t="shared" si="267"/>
        <v>1.2365748302750008</v>
      </c>
      <c r="AM445" s="98" t="str">
        <f t="shared" si="252"/>
        <v>1+290.857986048918i</v>
      </c>
      <c r="AN445" s="98">
        <f t="shared" si="268"/>
        <v>290.85970509582893</v>
      </c>
      <c r="AO445" s="98">
        <f t="shared" si="269"/>
        <v>1.5673582363596785</v>
      </c>
      <c r="AP445" s="168" t="str">
        <f t="shared" si="270"/>
        <v>-0.0973053933355935+0.283358398893773i</v>
      </c>
      <c r="AQ445" s="98">
        <f t="shared" si="271"/>
        <v>-10.469155991148094</v>
      </c>
      <c r="AR445" s="169">
        <f t="shared" si="272"/>
        <v>108.95249310161414</v>
      </c>
      <c r="AS445" s="168" t="str">
        <f t="shared" si="273"/>
        <v>0.000778724877853329-0.00858733741410828i</v>
      </c>
      <c r="AT445" s="190">
        <f t="shared" si="274"/>
        <v>-41.287261751031323</v>
      </c>
      <c r="AU445" s="169">
        <f t="shared" si="275"/>
        <v>-84.818423469151327</v>
      </c>
      <c r="AV445" s="225"/>
      <c r="AX445">
        <f t="shared" si="276"/>
        <v>0</v>
      </c>
      <c r="AY445">
        <f t="shared" si="277"/>
        <v>0</v>
      </c>
    </row>
    <row r="446" spans="14:51" x14ac:dyDescent="0.2">
      <c r="N446" s="170">
        <v>28</v>
      </c>
      <c r="O446" s="199">
        <f t="shared" si="278"/>
        <v>190546.07179632492</v>
      </c>
      <c r="P446" s="189" t="str">
        <f t="shared" si="244"/>
        <v>6.8875</v>
      </c>
      <c r="Q446" s="160" t="str">
        <f t="shared" si="245"/>
        <v>1+299.309069662865i</v>
      </c>
      <c r="R446" s="160">
        <f t="shared" si="253"/>
        <v>299.31074017223267</v>
      </c>
      <c r="S446" s="160">
        <f t="shared" si="254"/>
        <v>1.5674553111673766</v>
      </c>
      <c r="T446" s="160" t="str">
        <f t="shared" si="246"/>
        <v>1+0.478894511460584i</v>
      </c>
      <c r="U446" s="160">
        <f t="shared" si="255"/>
        <v>1.1087560385887743</v>
      </c>
      <c r="V446" s="160">
        <f t="shared" si="256"/>
        <v>0.44662110876314831</v>
      </c>
      <c r="W446" s="98" t="str">
        <f t="shared" si="247"/>
        <v>1-1.24366649444404i</v>
      </c>
      <c r="X446" s="160">
        <f t="shared" si="257"/>
        <v>1.5958403270386192</v>
      </c>
      <c r="Y446" s="160">
        <f t="shared" si="258"/>
        <v>-0.89357611798011849</v>
      </c>
      <c r="Z446" s="98" t="str">
        <f t="shared" si="248"/>
        <v>0.249838729813831+1.4256199827704i</v>
      </c>
      <c r="AA446" s="160">
        <f t="shared" si="259"/>
        <v>1.4473464430430139</v>
      </c>
      <c r="AB446" s="160">
        <f t="shared" si="260"/>
        <v>1.3973088971042964</v>
      </c>
      <c r="AC446" s="171" t="str">
        <f t="shared" si="261"/>
        <v>-0.0271113309136709+0.00750697567177812i</v>
      </c>
      <c r="AD446" s="190">
        <f t="shared" si="262"/>
        <v>-31.016155070675218</v>
      </c>
      <c r="AE446" s="169">
        <f t="shared" si="263"/>
        <v>164.52288795422498</v>
      </c>
      <c r="AF446" s="98" t="str">
        <f t="shared" si="249"/>
        <v>-0.0000816326530612245</v>
      </c>
      <c r="AG446" s="98" t="str">
        <f t="shared" si="250"/>
        <v>0.0266025901116353i</v>
      </c>
      <c r="AH446" s="98">
        <f t="shared" si="264"/>
        <v>2.6602590111635301E-2</v>
      </c>
      <c r="AI446" s="98">
        <f t="shared" si="265"/>
        <v>1.5707963267948966</v>
      </c>
      <c r="AJ446" s="98" t="str">
        <f t="shared" si="251"/>
        <v>1+2.94686078091835i</v>
      </c>
      <c r="AK446" s="98">
        <f t="shared" si="266"/>
        <v>3.1119107413476224</v>
      </c>
      <c r="AL446" s="98">
        <f t="shared" si="267"/>
        <v>1.2436458173219014</v>
      </c>
      <c r="AM446" s="98" t="str">
        <f t="shared" si="252"/>
        <v>1+297.632938872753i</v>
      </c>
      <c r="AN446" s="98">
        <f t="shared" si="268"/>
        <v>297.63461878960237</v>
      </c>
      <c r="AO446" s="98">
        <f t="shared" si="269"/>
        <v>1.5674364962567711</v>
      </c>
      <c r="AP446" s="168" t="str">
        <f t="shared" si="270"/>
        <v>-0.0933781668587265+0.278241055644241i</v>
      </c>
      <c r="AQ446" s="98">
        <f t="shared" si="271"/>
        <v>-10.648073988083439</v>
      </c>
      <c r="AR446" s="169">
        <f t="shared" si="272"/>
        <v>108.55183934864355</v>
      </c>
      <c r="AS446" s="168" t="str">
        <f t="shared" si="273"/>
        <v>0.000442857546207732-0.00824447296022383i</v>
      </c>
      <c r="AT446" s="190">
        <f t="shared" si="274"/>
        <v>-41.664229058758664</v>
      </c>
      <c r="AU446" s="169">
        <f t="shared" si="275"/>
        <v>-86.925272697131447</v>
      </c>
      <c r="AV446" s="225"/>
      <c r="AX446">
        <f t="shared" si="276"/>
        <v>0</v>
      </c>
      <c r="AY446">
        <f t="shared" si="277"/>
        <v>0</v>
      </c>
    </row>
    <row r="447" spans="14:51" x14ac:dyDescent="0.2">
      <c r="N447" s="170">
        <v>29</v>
      </c>
      <c r="O447" s="199">
        <f t="shared" si="278"/>
        <v>194984.45997580473</v>
      </c>
      <c r="P447" s="189" t="str">
        <f t="shared" si="244"/>
        <v>6.8875</v>
      </c>
      <c r="Q447" s="160" t="str">
        <f t="shared" si="245"/>
        <v>1+306.28087351208i</v>
      </c>
      <c r="R447" s="160">
        <f t="shared" si="253"/>
        <v>306.28250599621708</v>
      </c>
      <c r="S447" s="160">
        <f t="shared" si="254"/>
        <v>1.5675313614211281</v>
      </c>
      <c r="T447" s="160" t="str">
        <f t="shared" si="246"/>
        <v>1+0.490049397619328i</v>
      </c>
      <c r="U447" s="160">
        <f t="shared" si="255"/>
        <v>1.1136195095754502</v>
      </c>
      <c r="V447" s="160">
        <f t="shared" si="256"/>
        <v>0.45565548601112416</v>
      </c>
      <c r="W447" s="98" t="str">
        <f t="shared" si="247"/>
        <v>1-1.27263520849895i</v>
      </c>
      <c r="X447" s="160">
        <f t="shared" si="257"/>
        <v>1.6185179560051741</v>
      </c>
      <c r="Y447" s="160">
        <f t="shared" si="258"/>
        <v>-0.90479194660861528</v>
      </c>
      <c r="Z447" s="98" t="str">
        <f t="shared" si="248"/>
        <v>0.214484718345952+1.45882693802435i</v>
      </c>
      <c r="AA447" s="160">
        <f t="shared" si="259"/>
        <v>1.4745099964087875</v>
      </c>
      <c r="AB447" s="160">
        <f t="shared" si="260"/>
        <v>1.4248167152934939</v>
      </c>
      <c r="AC447" s="171" t="str">
        <f t="shared" si="261"/>
        <v>-0.0262613434402707+0.00812047462735334i</v>
      </c>
      <c r="AD447" s="190">
        <f t="shared" si="262"/>
        <v>-31.217078970220903</v>
      </c>
      <c r="AE447" s="169">
        <f t="shared" si="263"/>
        <v>162.81746075248304</v>
      </c>
      <c r="AF447" s="98" t="str">
        <f t="shared" si="249"/>
        <v>-0.0000816326530612245</v>
      </c>
      <c r="AG447" s="98" t="str">
        <f t="shared" si="250"/>
        <v>0.0272222440377537i</v>
      </c>
      <c r="AH447" s="98">
        <f t="shared" si="264"/>
        <v>2.7222244037753699E-2</v>
      </c>
      <c r="AI447" s="98">
        <f t="shared" si="265"/>
        <v>1.5707963267948966</v>
      </c>
      <c r="AJ447" s="98" t="str">
        <f t="shared" si="251"/>
        <v>1+3.01550198634072i</v>
      </c>
      <c r="AK447" s="98">
        <f t="shared" si="266"/>
        <v>3.1769879177650058</v>
      </c>
      <c r="AL447" s="98">
        <f t="shared" si="267"/>
        <v>1.2505887938328684</v>
      </c>
      <c r="AM447" s="98" t="str">
        <f t="shared" si="252"/>
        <v>1+304.565700620412i</v>
      </c>
      <c r="AN447" s="98">
        <f t="shared" si="268"/>
        <v>304.56734229789379</v>
      </c>
      <c r="AO447" s="98">
        <f t="shared" si="269"/>
        <v>1.567512974780886</v>
      </c>
      <c r="AP447" s="168" t="str">
        <f t="shared" si="270"/>
        <v>-0.0895918451160049+0.273163135024703i</v>
      </c>
      <c r="AQ447" s="98">
        <f t="shared" si="271"/>
        <v>-10.827844824984625</v>
      </c>
      <c r="AR447" s="169">
        <f t="shared" si="272"/>
        <v>108.15841799396176</v>
      </c>
      <c r="AS447" s="168" t="str">
        <f t="shared" si="273"/>
        <v>0.000134587906942549-0.00790115920918705i</v>
      </c>
      <c r="AT447" s="190">
        <f t="shared" si="274"/>
        <v>-42.044923795205527</v>
      </c>
      <c r="AU447" s="169">
        <f t="shared" si="275"/>
        <v>-89.024121253555194</v>
      </c>
      <c r="AV447" s="225"/>
      <c r="AX447">
        <f t="shared" si="276"/>
        <v>0</v>
      </c>
      <c r="AY447">
        <f t="shared" si="277"/>
        <v>0</v>
      </c>
    </row>
    <row r="448" spans="14:51" x14ac:dyDescent="0.2">
      <c r="N448" s="170">
        <v>30</v>
      </c>
      <c r="O448" s="199">
        <f t="shared" si="278"/>
        <v>199526.23149688813</v>
      </c>
      <c r="P448" s="189" t="str">
        <f t="shared" si="244"/>
        <v>6.8875</v>
      </c>
      <c r="Q448" s="160" t="str">
        <f t="shared" si="245"/>
        <v>1+313.41507153454i</v>
      </c>
      <c r="R448" s="160">
        <f t="shared" si="253"/>
        <v>313.41666685899276</v>
      </c>
      <c r="S448" s="160">
        <f t="shared" si="254"/>
        <v>1.5676056805962508</v>
      </c>
      <c r="T448" s="160" t="str">
        <f t="shared" si="246"/>
        <v>1+0.501464114455264i</v>
      </c>
      <c r="U448" s="160">
        <f t="shared" si="255"/>
        <v>1.1186895271192996</v>
      </c>
      <c r="V448" s="160">
        <f t="shared" si="256"/>
        <v>0.46481821446984811</v>
      </c>
      <c r="W448" s="98" t="str">
        <f t="shared" si="247"/>
        <v>1-1.30227869058673i</v>
      </c>
      <c r="X448" s="160">
        <f t="shared" si="257"/>
        <v>1.6419286793147529</v>
      </c>
      <c r="Y448" s="160">
        <f t="shared" si="258"/>
        <v>-0.91594686540489934</v>
      </c>
      <c r="Z448" s="98" t="str">
        <f t="shared" si="248"/>
        <v>0.1774645236498+1.49280738263071i</v>
      </c>
      <c r="AA448" s="160">
        <f t="shared" si="259"/>
        <v>1.503318841361007</v>
      </c>
      <c r="AB448" s="160">
        <f t="shared" si="260"/>
        <v>1.4524719236836685</v>
      </c>
      <c r="AC448" s="171" t="str">
        <f t="shared" si="261"/>
        <v>-0.0254050645678772+0.00869089964978433i</v>
      </c>
      <c r="AD448" s="190">
        <f t="shared" si="262"/>
        <v>-31.420954306725566</v>
      </c>
      <c r="AE448" s="169">
        <f t="shared" si="263"/>
        <v>161.11453175677096</v>
      </c>
      <c r="AF448" s="98" t="str">
        <f t="shared" si="249"/>
        <v>-0.0000816326530612245</v>
      </c>
      <c r="AG448" s="98" t="str">
        <f t="shared" si="250"/>
        <v>0.0278563315579899i</v>
      </c>
      <c r="AH448" s="98">
        <f t="shared" si="264"/>
        <v>2.7856331557989899E-2</v>
      </c>
      <c r="AI448" s="98">
        <f t="shared" si="265"/>
        <v>1.5707963267948966</v>
      </c>
      <c r="AJ448" s="98" t="str">
        <f t="shared" si="251"/>
        <v>1+3.08574205083116i</v>
      </c>
      <c r="AK448" s="98">
        <f t="shared" si="266"/>
        <v>3.2437330352955511</v>
      </c>
      <c r="AL448" s="98">
        <f t="shared" si="267"/>
        <v>1.2574047626883289</v>
      </c>
      <c r="AM448" s="98" t="str">
        <f t="shared" si="252"/>
        <v>1+311.659947133947i</v>
      </c>
      <c r="AN448" s="98">
        <f t="shared" si="268"/>
        <v>311.66155144248171</v>
      </c>
      <c r="AO448" s="98">
        <f t="shared" si="269"/>
        <v>1.5675877124783686</v>
      </c>
      <c r="AP448" s="168" t="str">
        <f t="shared" si="270"/>
        <v>-0.0859427803546376+0.268127739582304i</v>
      </c>
      <c r="AQ448" s="98">
        <f t="shared" si="271"/>
        <v>-11.008437745226299</v>
      </c>
      <c r="AR448" s="169">
        <f t="shared" si="272"/>
        <v>107.77217389988755</v>
      </c>
      <c r="AS448" s="168" t="str">
        <f t="shared" si="273"/>
        <v>-0.000146889393980853-0.00755872261621301i</v>
      </c>
      <c r="AT448" s="190">
        <f t="shared" si="274"/>
        <v>-42.429392051951858</v>
      </c>
      <c r="AU448" s="169">
        <f t="shared" si="275"/>
        <v>-91.113294343341479</v>
      </c>
      <c r="AV448" s="225"/>
      <c r="AX448">
        <f t="shared" si="276"/>
        <v>0</v>
      </c>
      <c r="AY448">
        <f t="shared" si="277"/>
        <v>0</v>
      </c>
    </row>
    <row r="449" spans="14:51" x14ac:dyDescent="0.2">
      <c r="N449" s="170">
        <v>31</v>
      </c>
      <c r="O449" s="199">
        <f t="shared" si="278"/>
        <v>204173.79446695308</v>
      </c>
      <c r="P449" s="189" t="str">
        <f t="shared" si="244"/>
        <v>6.8875</v>
      </c>
      <c r="Q449" s="160" t="str">
        <f t="shared" si="245"/>
        <v>1+320.715446376465i</v>
      </c>
      <c r="R449" s="160">
        <f t="shared" si="253"/>
        <v>320.7170053870783</v>
      </c>
      <c r="S449" s="160">
        <f t="shared" si="254"/>
        <v>1.5676783080944694</v>
      </c>
      <c r="T449" s="160" t="str">
        <f t="shared" si="246"/>
        <v>1+0.513144714202344i</v>
      </c>
      <c r="U449" s="160">
        <f t="shared" si="255"/>
        <v>1.1239739755500593</v>
      </c>
      <c r="V449" s="160">
        <f t="shared" si="256"/>
        <v>0.4741079972898179</v>
      </c>
      <c r="W449" s="98" t="str">
        <f t="shared" si="247"/>
        <v>1-1.33261265807395i</v>
      </c>
      <c r="X449" s="160">
        <f t="shared" si="257"/>
        <v>1.666090182570835</v>
      </c>
      <c r="Y449" s="160">
        <f t="shared" si="258"/>
        <v>-0.92703568513537982</v>
      </c>
      <c r="Z449" s="98" t="str">
        <f t="shared" si="248"/>
        <v>0.138699620929065+1.52757933347097i</v>
      </c>
      <c r="AA449" s="160">
        <f t="shared" si="259"/>
        <v>1.533863163679694</v>
      </c>
      <c r="AB449" s="160">
        <f t="shared" si="260"/>
        <v>1.4802476127264197</v>
      </c>
      <c r="AC449" s="171" t="str">
        <f t="shared" si="261"/>
        <v>-0.02454462585345+0.00921796333853375i</v>
      </c>
      <c r="AD449" s="190">
        <f t="shared" si="262"/>
        <v>-31.627844661659879</v>
      </c>
      <c r="AE449" s="169">
        <f t="shared" si="263"/>
        <v>159.41586353026844</v>
      </c>
      <c r="AF449" s="98" t="str">
        <f t="shared" si="249"/>
        <v>-0.0000816326530612245</v>
      </c>
      <c r="AG449" s="98" t="str">
        <f t="shared" si="250"/>
        <v>0.0285051888739403i</v>
      </c>
      <c r="AH449" s="98">
        <f t="shared" si="264"/>
        <v>2.8505188873940299E-2</v>
      </c>
      <c r="AI449" s="98">
        <f t="shared" si="265"/>
        <v>1.5707963267948966</v>
      </c>
      <c r="AJ449" s="98" t="str">
        <f t="shared" si="251"/>
        <v>1+3.15761821660155i</v>
      </c>
      <c r="AK449" s="98">
        <f t="shared" si="266"/>
        <v>3.3121824831693609</v>
      </c>
      <c r="AL449" s="98">
        <f t="shared" si="267"/>
        <v>1.2640948037194317</v>
      </c>
      <c r="AM449" s="98" t="str">
        <f t="shared" si="252"/>
        <v>1+318.919439876757i</v>
      </c>
      <c r="AN449" s="98">
        <f t="shared" si="268"/>
        <v>318.92100766695256</v>
      </c>
      <c r="AO449" s="98">
        <f t="shared" si="269"/>
        <v>1.5676607489727936</v>
      </c>
      <c r="AP449" s="168" t="str">
        <f t="shared" si="270"/>
        <v>-0.0824273039662874+0.26313773876882i</v>
      </c>
      <c r="AQ449" s="98">
        <f t="shared" si="271"/>
        <v>-11.189822801282563</v>
      </c>
      <c r="AR449" s="169">
        <f t="shared" si="272"/>
        <v>107.39304746691712</v>
      </c>
      <c r="AS449" s="168" t="str">
        <f t="shared" si="273"/>
        <v>-0.000402446692994534-0.00721842921205897i</v>
      </c>
      <c r="AT449" s="190">
        <f t="shared" si="274"/>
        <v>-42.817667462942438</v>
      </c>
      <c r="AU449" s="169">
        <f t="shared" si="275"/>
        <v>-93.191089002814422</v>
      </c>
      <c r="AV449" s="225"/>
      <c r="AX449">
        <f t="shared" si="276"/>
        <v>0</v>
      </c>
      <c r="AY449">
        <f t="shared" si="277"/>
        <v>0</v>
      </c>
    </row>
    <row r="450" spans="14:51" x14ac:dyDescent="0.2">
      <c r="N450" s="170">
        <v>32</v>
      </c>
      <c r="O450" s="199">
        <f t="shared" si="278"/>
        <v>208929.61308540447</v>
      </c>
      <c r="P450" s="189" t="str">
        <f t="shared" si="244"/>
        <v>6.8875</v>
      </c>
      <c r="Q450" s="160" t="str">
        <f t="shared" si="245"/>
        <v>1+328.185868793232i</v>
      </c>
      <c r="R450" s="160">
        <f t="shared" si="253"/>
        <v>328.18739231659777</v>
      </c>
      <c r="S450" s="160">
        <f t="shared" si="254"/>
        <v>1.5677492824207782</v>
      </c>
      <c r="T450" s="160" t="str">
        <f t="shared" si="246"/>
        <v>1+0.525097390069172i</v>
      </c>
      <c r="U450" s="160">
        <f t="shared" si="255"/>
        <v>1.1294809733047548</v>
      </c>
      <c r="V450" s="160">
        <f t="shared" si="256"/>
        <v>0.48352334545003006</v>
      </c>
      <c r="W450" s="98" t="str">
        <f t="shared" si="247"/>
        <v>1-1.36365319443171i</v>
      </c>
      <c r="X450" s="160">
        <f t="shared" si="257"/>
        <v>1.6910204122611314</v>
      </c>
      <c r="Y450" s="160">
        <f t="shared" si="258"/>
        <v>-0.93805337765945151</v>
      </c>
      <c r="Z450" s="98" t="str">
        <f t="shared" si="248"/>
        <v>0.098107784627751+1.56316122709376i</v>
      </c>
      <c r="AA450" s="160">
        <f t="shared" si="259"/>
        <v>1.5662369422580464</v>
      </c>
      <c r="AB450" s="160">
        <f t="shared" si="260"/>
        <v>1.5081161201479925</v>
      </c>
      <c r="AC450" s="171" t="str">
        <f t="shared" si="261"/>
        <v>-0.0236822205219796+0.00970156597092457i</v>
      </c>
      <c r="AD450" s="190">
        <f t="shared" si="262"/>
        <v>-31.837799503649073</v>
      </c>
      <c r="AE450" s="169">
        <f t="shared" si="263"/>
        <v>157.72324157495638</v>
      </c>
      <c r="AF450" s="98" t="str">
        <f t="shared" si="249"/>
        <v>-0.0000816326530612245</v>
      </c>
      <c r="AG450" s="98" t="str">
        <f t="shared" si="250"/>
        <v>0.0291691600183425i</v>
      </c>
      <c r="AH450" s="98">
        <f t="shared" si="264"/>
        <v>2.9169160018342501E-2</v>
      </c>
      <c r="AI450" s="98">
        <f t="shared" si="265"/>
        <v>1.5707963267948966</v>
      </c>
      <c r="AJ450" s="98" t="str">
        <f t="shared" si="251"/>
        <v>1+3.23116859334644i</v>
      </c>
      <c r="AK450" s="98">
        <f t="shared" si="266"/>
        <v>3.3823734978012721</v>
      </c>
      <c r="AL450" s="98">
        <f t="shared" si="267"/>
        <v>1.2706600678442035</v>
      </c>
      <c r="AM450" s="98" t="str">
        <f t="shared" si="252"/>
        <v>1+326.348027927991i</v>
      </c>
      <c r="AN450" s="98">
        <f t="shared" si="268"/>
        <v>326.34956003109426</v>
      </c>
      <c r="AO450" s="98">
        <f t="shared" si="269"/>
        <v>1.5677321229859584</v>
      </c>
      <c r="AP450" s="168" t="str">
        <f t="shared" si="270"/>
        <v>-0.0790417380996118+0.258195776288606i</v>
      </c>
      <c r="AQ450" s="98">
        <f t="shared" si="271"/>
        <v>-11.37197085804798</v>
      </c>
      <c r="AR450" s="169">
        <f t="shared" si="272"/>
        <v>107.02097497090021</v>
      </c>
      <c r="AS450" s="168" t="str">
        <f t="shared" si="273"/>
        <v>-0.00063301948496243-0.0068814779485404i</v>
      </c>
      <c r="AT450" s="190">
        <f t="shared" si="274"/>
        <v>-43.209770361697053</v>
      </c>
      <c r="AU450" s="169">
        <f t="shared" si="275"/>
        <v>-95.255783454143426</v>
      </c>
      <c r="AV450" s="225"/>
      <c r="AX450">
        <f t="shared" si="276"/>
        <v>0</v>
      </c>
      <c r="AY450">
        <f t="shared" si="277"/>
        <v>0</v>
      </c>
    </row>
    <row r="451" spans="14:51" x14ac:dyDescent="0.2">
      <c r="N451" s="170">
        <v>33</v>
      </c>
      <c r="O451" s="199">
        <f t="shared" si="278"/>
        <v>213796.20895022334</v>
      </c>
      <c r="P451" s="189" t="str">
        <f t="shared" si="244"/>
        <v>6.8875</v>
      </c>
      <c r="Q451" s="160" t="str">
        <f t="shared" si="245"/>
        <v>1+335.830299701685i</v>
      </c>
      <c r="R451" s="160">
        <f t="shared" si="253"/>
        <v>335.83178854558059</v>
      </c>
      <c r="S451" s="160">
        <f t="shared" si="254"/>
        <v>1.5678186412038424</v>
      </c>
      <c r="T451" s="160" t="str">
        <f t="shared" si="246"/>
        <v>1+0.537328479522696i</v>
      </c>
      <c r="U451" s="160">
        <f t="shared" si="255"/>
        <v>1.1352188753302916</v>
      </c>
      <c r="V451" s="160">
        <f t="shared" si="256"/>
        <v>0.49306257294441991</v>
      </c>
      <c r="W451" s="98" t="str">
        <f t="shared" si="247"/>
        <v>1-1.39541675776323i</v>
      </c>
      <c r="X451" s="160">
        <f t="shared" si="257"/>
        <v>1.7167375826976135</v>
      </c>
      <c r="Y451" s="160">
        <f t="shared" si="258"/>
        <v>-0.9489950855904058</v>
      </c>
      <c r="Z451" s="98" t="str">
        <f t="shared" si="248"/>
        <v>0.055602914018851+1.59957192949002i</v>
      </c>
      <c r="AA451" s="160">
        <f t="shared" si="259"/>
        <v>1.6005380475514519</v>
      </c>
      <c r="AB451" s="160">
        <f t="shared" si="260"/>
        <v>1.5360491962922831</v>
      </c>
      <c r="AC451" s="171" t="str">
        <f t="shared" si="261"/>
        <v>-0.0228200808102056+0.0101418035980099i</v>
      </c>
      <c r="AD451" s="190">
        <f t="shared" si="262"/>
        <v>-32.050853494675643</v>
      </c>
      <c r="AE451" s="169">
        <f t="shared" si="263"/>
        <v>156.03846402766439</v>
      </c>
      <c r="AF451" s="98" t="str">
        <f t="shared" si="249"/>
        <v>-0.0000816326530612245</v>
      </c>
      <c r="AG451" s="98" t="str">
        <f t="shared" si="250"/>
        <v>0.0298485970374858i</v>
      </c>
      <c r="AH451" s="98">
        <f t="shared" si="264"/>
        <v>2.98485970374858E-2</v>
      </c>
      <c r="AI451" s="98">
        <f t="shared" si="265"/>
        <v>1.5707963267948966</v>
      </c>
      <c r="AJ451" s="98" t="str">
        <f t="shared" si="251"/>
        <v>1+3.30643217844907i</v>
      </c>
      <c r="AK451" s="98">
        <f t="shared" si="266"/>
        <v>3.4543441853242509</v>
      </c>
      <c r="AL451" s="98">
        <f t="shared" si="267"/>
        <v>1.27710177139571</v>
      </c>
      <c r="AM451" s="98" t="str">
        <f t="shared" si="252"/>
        <v>1+333.949650023356i</v>
      </c>
      <c r="AN451" s="98">
        <f t="shared" si="268"/>
        <v>333.95114725169299</v>
      </c>
      <c r="AO451" s="98">
        <f t="shared" si="269"/>
        <v>1.5678018723583995</v>
      </c>
      <c r="AP451" s="168" t="str">
        <f t="shared" si="270"/>
        <v>-0.0757824063743197+0.253304277783975i</v>
      </c>
      <c r="AQ451" s="98">
        <f t="shared" si="271"/>
        <v>-11.554853593689906</v>
      </c>
      <c r="AR451" s="169">
        <f t="shared" si="272"/>
        <v>106.65588888918904</v>
      </c>
      <c r="AS451" s="168" t="str">
        <f t="shared" si="273"/>
        <v>-0.000839601598367001-0.006548994370234i</v>
      </c>
      <c r="AT451" s="190">
        <f t="shared" si="274"/>
        <v>-43.605707088365548</v>
      </c>
      <c r="AU451" s="169">
        <f t="shared" si="275"/>
        <v>-97.305647083146567</v>
      </c>
      <c r="AV451" s="225"/>
      <c r="AX451">
        <f t="shared" si="276"/>
        <v>0</v>
      </c>
      <c r="AY451">
        <f t="shared" si="277"/>
        <v>0</v>
      </c>
    </row>
    <row r="452" spans="14:51" x14ac:dyDescent="0.2">
      <c r="N452" s="170">
        <v>34</v>
      </c>
      <c r="O452" s="199">
        <f t="shared" si="278"/>
        <v>218776.16239495538</v>
      </c>
      <c r="P452" s="189" t="str">
        <f t="shared" si="244"/>
        <v>6.8875</v>
      </c>
      <c r="Q452" s="160" t="str">
        <f t="shared" si="245"/>
        <v>1+343.65279228028i</v>
      </c>
      <c r="R452" s="160">
        <f t="shared" si="253"/>
        <v>343.65424723409615</v>
      </c>
      <c r="S452" s="160">
        <f t="shared" si="254"/>
        <v>1.5678864212159367</v>
      </c>
      <c r="T452" s="160" t="str">
        <f t="shared" si="246"/>
        <v>1+0.549844467648448i</v>
      </c>
      <c r="U452" s="160">
        <f t="shared" si="255"/>
        <v>1.1411962752320939</v>
      </c>
      <c r="V452" s="160">
        <f t="shared" si="256"/>
        <v>0.50272379245092969</v>
      </c>
      <c r="W452" s="98" t="str">
        <f t="shared" si="247"/>
        <v>1-1.42792018953025i</v>
      </c>
      <c r="X452" s="160">
        <f t="shared" si="257"/>
        <v>1.7432601835836512</v>
      </c>
      <c r="Y452" s="160">
        <f t="shared" si="258"/>
        <v>-0.959856131005425</v>
      </c>
      <c r="Z452" s="98" t="str">
        <f t="shared" si="248"/>
        <v>0.01109485057306+1.63683074609615i</v>
      </c>
      <c r="AA452" s="160">
        <f t="shared" si="259"/>
        <v>1.6368683475084116</v>
      </c>
      <c r="AB452" s="160">
        <f t="shared" si="260"/>
        <v>1.5640181790311778</v>
      </c>
      <c r="AC452" s="171" t="str">
        <f t="shared" si="261"/>
        <v>-0.0219604541605545+0.0105389729182305i</v>
      </c>
      <c r="AD452" s="190">
        <f t="shared" si="262"/>
        <v>-32.267025964500796</v>
      </c>
      <c r="AE452" s="169">
        <f t="shared" si="263"/>
        <v>154.36333089011498</v>
      </c>
      <c r="AF452" s="98" t="str">
        <f t="shared" si="249"/>
        <v>-0.0000816326530612245</v>
      </c>
      <c r="AG452" s="98" t="str">
        <f t="shared" si="250"/>
        <v>0.0305438601778713i</v>
      </c>
      <c r="AH452" s="98">
        <f t="shared" si="264"/>
        <v>3.05438601778713E-2</v>
      </c>
      <c r="AI452" s="98">
        <f t="shared" si="265"/>
        <v>1.5707963267948966</v>
      </c>
      <c r="AJ452" s="98" t="str">
        <f t="shared" si="251"/>
        <v>1+3.38344887765852i</v>
      </c>
      <c r="AK452" s="98">
        <f t="shared" si="266"/>
        <v>3.5281335444861912</v>
      </c>
      <c r="AL452" s="98">
        <f t="shared" si="267"/>
        <v>1.2834211906499262</v>
      </c>
      <c r="AM452" s="98" t="str">
        <f t="shared" si="252"/>
        <v>1+341.728336643511i</v>
      </c>
      <c r="AN452" s="98">
        <f t="shared" si="268"/>
        <v>341.72979979091781</v>
      </c>
      <c r="AO452" s="98">
        <f t="shared" si="269"/>
        <v>1.5678700340694409</v>
      </c>
      <c r="AP452" s="168" t="str">
        <f t="shared" si="270"/>
        <v>-0.0726456437198394+0.248465458783582i</v>
      </c>
      <c r="AQ452" s="98">
        <f t="shared" si="271"/>
        <v>-11.738443498227751</v>
      </c>
      <c r="AR452" s="169">
        <f t="shared" si="272"/>
        <v>106.29771821531588</v>
      </c>
      <c r="AS452" s="168" t="str">
        <f t="shared" si="273"/>
        <v>-0.00102323941236238-0.00622202478988881i</v>
      </c>
      <c r="AT452" s="190">
        <f t="shared" si="274"/>
        <v>-44.005469462728534</v>
      </c>
      <c r="AU452" s="169">
        <f t="shared" si="275"/>
        <v>-99.338950894569138</v>
      </c>
      <c r="AV452" s="225"/>
      <c r="AX452">
        <f t="shared" si="276"/>
        <v>0</v>
      </c>
      <c r="AY452">
        <f t="shared" si="277"/>
        <v>0</v>
      </c>
    </row>
    <row r="453" spans="14:51" x14ac:dyDescent="0.2">
      <c r="N453" s="170">
        <v>35</v>
      </c>
      <c r="O453" s="199">
        <f t="shared" si="278"/>
        <v>223872.11385683404</v>
      </c>
      <c r="P453" s="189" t="str">
        <f t="shared" si="244"/>
        <v>6.8875</v>
      </c>
      <c r="Q453" s="160" t="str">
        <f t="shared" si="245"/>
        <v>1+351.657494118125i</v>
      </c>
      <c r="R453" s="160">
        <f t="shared" si="253"/>
        <v>351.65891595328441</v>
      </c>
      <c r="S453" s="160">
        <f t="shared" si="254"/>
        <v>1.5679526583924275</v>
      </c>
      <c r="T453" s="160" t="str">
        <f t="shared" si="246"/>
        <v>1+0.562651990589i</v>
      </c>
      <c r="U453" s="160">
        <f t="shared" si="255"/>
        <v>1.1474220071594252</v>
      </c>
      <c r="V453" s="160">
        <f t="shared" si="256"/>
        <v>0.51250491153854516</v>
      </c>
      <c r="W453" s="98" t="str">
        <f t="shared" si="247"/>
        <v>1-1.46118072348251i</v>
      </c>
      <c r="X453" s="160">
        <f t="shared" si="257"/>
        <v>1.770606988204009</v>
      </c>
      <c r="Y453" s="160">
        <f t="shared" si="258"/>
        <v>-0.97063202318115649</v>
      </c>
      <c r="Z453" s="98" t="str">
        <f t="shared" si="248"/>
        <v>-0.0355108132794999+1.67495743202987i</v>
      </c>
      <c r="AA453" s="160">
        <f t="shared" si="259"/>
        <v>1.6753338225475745</v>
      </c>
      <c r="AB453" s="160">
        <f t="shared" si="260"/>
        <v>1.5919941754849847</v>
      </c>
      <c r="AC453" s="171" t="str">
        <f t="shared" si="261"/>
        <v>-0.0211055788043732+0.0108935727475083i</v>
      </c>
      <c r="AD453" s="190">
        <f t="shared" si="262"/>
        <v>-32.486320565589637</v>
      </c>
      <c r="AE453" s="169">
        <f t="shared" si="263"/>
        <v>152.69963295545685</v>
      </c>
      <c r="AF453" s="98" t="str">
        <f t="shared" si="249"/>
        <v>-0.0000816326530612245</v>
      </c>
      <c r="AG453" s="98" t="str">
        <f t="shared" si="250"/>
        <v>0.0312553180772188i</v>
      </c>
      <c r="AH453" s="98">
        <f t="shared" si="264"/>
        <v>3.1255318077218798E-2</v>
      </c>
      <c r="AI453" s="98">
        <f t="shared" si="265"/>
        <v>1.5707963267948966</v>
      </c>
      <c r="AJ453" s="98" t="str">
        <f t="shared" si="251"/>
        <v>1+3.46225952624815i</v>
      </c>
      <c r="AK453" s="98">
        <f t="shared" si="266"/>
        <v>3.6037814899208396</v>
      </c>
      <c r="AL453" s="98">
        <f t="shared" si="267"/>
        <v>1.2896196565590441</v>
      </c>
      <c r="AM453" s="98" t="str">
        <f t="shared" si="252"/>
        <v>1+349.688212151064i</v>
      </c>
      <c r="AN453" s="98">
        <f t="shared" si="268"/>
        <v>349.68964199330748</v>
      </c>
      <c r="AO453" s="98">
        <f t="shared" si="269"/>
        <v>1.567936644256789</v>
      </c>
      <c r="AP453" s="168" t="str">
        <f t="shared" si="270"/>
        <v>-0.069627805365796+0.243681332845236i</v>
      </c>
      <c r="AQ453" s="98">
        <f t="shared" si="271"/>
        <v>-11.922713870030403</v>
      </c>
      <c r="AR453" s="169">
        <f t="shared" si="272"/>
        <v>105.9463887618752</v>
      </c>
      <c r="AS453" s="168" t="str">
        <f t="shared" si="273"/>
        <v>-0.001185025193436-0.00590153113652147i</v>
      </c>
      <c r="AT453" s="190">
        <f t="shared" si="274"/>
        <v>-44.409034435620043</v>
      </c>
      <c r="AU453" s="169">
        <f t="shared" si="275"/>
        <v>-101.35397828266797</v>
      </c>
      <c r="AV453" s="225"/>
      <c r="AX453">
        <f t="shared" si="276"/>
        <v>0</v>
      </c>
      <c r="AY453">
        <f t="shared" si="277"/>
        <v>0</v>
      </c>
    </row>
    <row r="454" spans="14:51" x14ac:dyDescent="0.2">
      <c r="N454" s="170">
        <v>36</v>
      </c>
      <c r="O454" s="199">
        <f t="shared" si="278"/>
        <v>229086.76527677779</v>
      </c>
      <c r="P454" s="189" t="str">
        <f t="shared" si="244"/>
        <v>6.8875</v>
      </c>
      <c r="Q454" s="160" t="str">
        <f t="shared" si="245"/>
        <v>1+359.848649414087i</v>
      </c>
      <c r="R454" s="160">
        <f t="shared" si="253"/>
        <v>359.85003888445317</v>
      </c>
      <c r="S454" s="160">
        <f t="shared" si="254"/>
        <v>1.5680173878508163</v>
      </c>
      <c r="T454" s="160" t="str">
        <f t="shared" si="246"/>
        <v>1+0.57575783906254i</v>
      </c>
      <c r="U454" s="160">
        <f t="shared" si="255"/>
        <v>1.1539051474198241</v>
      </c>
      <c r="V454" s="160">
        <f t="shared" si="256"/>
        <v>0.52240362946761387</v>
      </c>
      <c r="W454" s="98" t="str">
        <f t="shared" si="247"/>
        <v>1-1.49521599479538i</v>
      </c>
      <c r="X454" s="160">
        <f t="shared" si="257"/>
        <v>1.798797062231295</v>
      </c>
      <c r="Y454" s="160">
        <f t="shared" si="258"/>
        <v>-0.98131846534078748</v>
      </c>
      <c r="Z454" s="98" t="str">
        <f t="shared" si="248"/>
        <v>-0.0843129344003699+1.71397220256473i</v>
      </c>
      <c r="AA454" s="160">
        <f t="shared" si="259"/>
        <v>1.7160446911638962</v>
      </c>
      <c r="AB454" s="160">
        <f t="shared" si="260"/>
        <v>1.6199482475856912</v>
      </c>
      <c r="AC454" s="171" t="str">
        <f t="shared" si="261"/>
        <v>-0.0202576593037012+0.0112063020083261i</v>
      </c>
      <c r="AD454" s="190">
        <f t="shared" si="262"/>
        <v>-32.708725116741974</v>
      </c>
      <c r="AE454" s="169">
        <f t="shared" si="263"/>
        <v>151.04914060527469</v>
      </c>
      <c r="AF454" s="98" t="str">
        <f t="shared" si="249"/>
        <v>-0.0000816326530612245</v>
      </c>
      <c r="AG454" s="98" t="str">
        <f t="shared" si="250"/>
        <v>0.0319833479599241i</v>
      </c>
      <c r="AH454" s="98">
        <f t="shared" si="264"/>
        <v>3.1983347959924101E-2</v>
      </c>
      <c r="AI454" s="98">
        <f t="shared" si="265"/>
        <v>1.5707963267948966</v>
      </c>
      <c r="AJ454" s="98" t="str">
        <f t="shared" si="251"/>
        <v>1+3.54290591066702i</v>
      </c>
      <c r="AK454" s="98">
        <f t="shared" si="266"/>
        <v>3.6813288758054892</v>
      </c>
      <c r="AL454" s="98">
        <f t="shared" si="267"/>
        <v>1.2956985496943936</v>
      </c>
      <c r="AM454" s="98" t="str">
        <f t="shared" si="252"/>
        <v>1+357.833496977369i</v>
      </c>
      <c r="AN454" s="98">
        <f t="shared" si="268"/>
        <v>357.83489427255796</v>
      </c>
      <c r="AO454" s="98">
        <f t="shared" si="269"/>
        <v>1.5680017382356815</v>
      </c>
      <c r="AP454" s="168" t="str">
        <f t="shared" si="270"/>
        <v>-0.0667252750147738+0.238953719830482i</v>
      </c>
      <c r="AQ454" s="98">
        <f t="shared" si="271"/>
        <v>-12.107638810415569</v>
      </c>
      <c r="AR454" s="169">
        <f t="shared" si="272"/>
        <v>105.60182345137089</v>
      </c>
      <c r="AS454" s="168" t="str">
        <f t="shared" si="273"/>
        <v>-0.00132608966223827-0.00558838662908214i</v>
      </c>
      <c r="AT454" s="190">
        <f t="shared" si="274"/>
        <v>-44.816363927157553</v>
      </c>
      <c r="AU454" s="169">
        <f t="shared" si="275"/>
        <v>-103.34903594335442</v>
      </c>
      <c r="AV454" s="225"/>
      <c r="AX454">
        <f t="shared" si="276"/>
        <v>0</v>
      </c>
      <c r="AY454">
        <f t="shared" si="277"/>
        <v>0</v>
      </c>
    </row>
    <row r="455" spans="14:51" x14ac:dyDescent="0.2">
      <c r="N455" s="170">
        <v>37</v>
      </c>
      <c r="O455" s="199">
        <f t="shared" si="278"/>
        <v>234422.88153199267</v>
      </c>
      <c r="P455" s="189" t="str">
        <f t="shared" si="244"/>
        <v>6.8875</v>
      </c>
      <c r="Q455" s="160" t="str">
        <f t="shared" si="245"/>
        <v>1+368.23060122713i</v>
      </c>
      <c r="R455" s="160">
        <f t="shared" si="253"/>
        <v>368.23195906940731</v>
      </c>
      <c r="S455" s="160">
        <f t="shared" si="254"/>
        <v>1.5680806439093484</v>
      </c>
      <c r="T455" s="160" t="str">
        <f t="shared" si="246"/>
        <v>1+0.589168961963408i</v>
      </c>
      <c r="U455" s="160">
        <f t="shared" si="255"/>
        <v>1.160655015816948</v>
      </c>
      <c r="V455" s="160">
        <f t="shared" si="256"/>
        <v>0.5324174346378886</v>
      </c>
      <c r="W455" s="98" t="str">
        <f t="shared" si="247"/>
        <v>1-1.53004404942021i</v>
      </c>
      <c r="X455" s="160">
        <f t="shared" si="257"/>
        <v>1.8278497731395198</v>
      </c>
      <c r="Y455" s="160">
        <f t="shared" si="258"/>
        <v>-0.99191136040725247</v>
      </c>
      <c r="Z455" s="98" t="str">
        <f t="shared" si="248"/>
        <v>-0.13541502863147+1.7538957438485i</v>
      </c>
      <c r="AA455" s="160">
        <f t="shared" si="259"/>
        <v>1.7591155477310594</v>
      </c>
      <c r="AB455" s="160">
        <f t="shared" si="260"/>
        <v>1.6478515983955606</v>
      </c>
      <c r="AC455" s="171" t="str">
        <f t="shared" si="261"/>
        <v>-0.0194188426284264+0.0114780542692164i</v>
      </c>
      <c r="AD455" s="190">
        <f t="shared" si="262"/>
        <v>-32.934211639224557</v>
      </c>
      <c r="AE455" s="169">
        <f t="shared" si="263"/>
        <v>149.41359265740354</v>
      </c>
      <c r="AF455" s="98" t="str">
        <f t="shared" si="249"/>
        <v>-0.0000816326530612245</v>
      </c>
      <c r="AG455" s="98" t="str">
        <f t="shared" si="250"/>
        <v>0.0327283358370673i</v>
      </c>
      <c r="AH455" s="98">
        <f t="shared" si="264"/>
        <v>3.2728335837067302E-2</v>
      </c>
      <c r="AI455" s="98">
        <f t="shared" si="265"/>
        <v>1.5707963267948966</v>
      </c>
      <c r="AJ455" s="98" t="str">
        <f t="shared" si="251"/>
        <v>1+3.62543079069563i</v>
      </c>
      <c r="AK455" s="98">
        <f t="shared" si="266"/>
        <v>3.760817519918235</v>
      </c>
      <c r="AL455" s="98">
        <f t="shared" si="267"/>
        <v>1.3016592954015667</v>
      </c>
      <c r="AM455" s="98" t="str">
        <f t="shared" si="252"/>
        <v>1+366.168509860258i</v>
      </c>
      <c r="AN455" s="98">
        <f t="shared" si="268"/>
        <v>366.16987534924533</v>
      </c>
      <c r="AO455" s="98">
        <f t="shared" si="269"/>
        <v>1.5680653505175994</v>
      </c>
      <c r="AP455" s="168" t="str">
        <f t="shared" si="270"/>
        <v>-0.0639344722304718+0.234284254253992i</v>
      </c>
      <c r="AQ455" s="98">
        <f t="shared" si="271"/>
        <v>-12.293193216528735</v>
      </c>
      <c r="AR455" s="169">
        <f t="shared" si="272"/>
        <v>105.26394259487826</v>
      </c>
      <c r="AS455" s="168" t="str">
        <f t="shared" si="273"/>
        <v>-0.00144759392997518-0.00528337240561157i</v>
      </c>
      <c r="AT455" s="190">
        <f t="shared" si="274"/>
        <v>-45.227404855753299</v>
      </c>
      <c r="AU455" s="169">
        <f t="shared" si="275"/>
        <v>-105.32246474771819</v>
      </c>
      <c r="AV455" s="225"/>
      <c r="AX455">
        <f t="shared" si="276"/>
        <v>0</v>
      </c>
      <c r="AY455">
        <f t="shared" si="277"/>
        <v>0</v>
      </c>
    </row>
    <row r="456" spans="14:51" x14ac:dyDescent="0.2">
      <c r="N456" s="170">
        <v>38</v>
      </c>
      <c r="O456" s="199">
        <f t="shared" si="278"/>
        <v>239883.29190194907</v>
      </c>
      <c r="P456" s="189" t="str">
        <f t="shared" si="244"/>
        <v>6.8875</v>
      </c>
      <c r="Q456" s="160" t="str">
        <f t="shared" si="245"/>
        <v>1+376.80779377905i</v>
      </c>
      <c r="R456" s="160">
        <f t="shared" si="253"/>
        <v>376.80912071317363</v>
      </c>
      <c r="S456" s="160">
        <f t="shared" si="254"/>
        <v>1.568142460105197</v>
      </c>
      <c r="T456" s="160" t="str">
        <f t="shared" si="246"/>
        <v>1+0.60289247004648i</v>
      </c>
      <c r="U456" s="160">
        <f t="shared" si="255"/>
        <v>1.1676811767082425</v>
      </c>
      <c r="V456" s="160">
        <f t="shared" si="256"/>
        <v>0.54254360273729685</v>
      </c>
      <c r="W456" s="98" t="str">
        <f t="shared" si="247"/>
        <v>1-1.56568335365256i</v>
      </c>
      <c r="X456" s="160">
        <f t="shared" si="257"/>
        <v>1.8577848002136113</v>
      </c>
      <c r="Y456" s="160">
        <f t="shared" si="258"/>
        <v>-1.0024068157659247</v>
      </c>
      <c r="Z456" s="98" t="str">
        <f t="shared" si="248"/>
        <v>-0.18892549036603+1.79474922387121i</v>
      </c>
      <c r="AA456" s="160">
        <f t="shared" si="259"/>
        <v>1.8046655140209098</v>
      </c>
      <c r="AB456" s="160">
        <f t="shared" si="260"/>
        <v>1.6756757560697495</v>
      </c>
      <c r="AC456" s="171" t="str">
        <f t="shared" si="261"/>
        <v>-0.0185911953299626+0.0117099089745025i</v>
      </c>
      <c r="AD456" s="190">
        <f t="shared" si="262"/>
        <v>-33.162736584655747</v>
      </c>
      <c r="AE456" s="169">
        <f t="shared" si="263"/>
        <v>147.79468544565435</v>
      </c>
      <c r="AF456" s="98" t="str">
        <f t="shared" si="249"/>
        <v>-0.0000816326530612245</v>
      </c>
      <c r="AG456" s="98" t="str">
        <f t="shared" si="250"/>
        <v>0.0334906767110819i</v>
      </c>
      <c r="AH456" s="98">
        <f t="shared" si="264"/>
        <v>3.3490676711081899E-2</v>
      </c>
      <c r="AI456" s="98">
        <f t="shared" si="265"/>
        <v>1.5707963267948966</v>
      </c>
      <c r="AJ456" s="98" t="str">
        <f t="shared" si="251"/>
        <v>1+3.7098779221177i</v>
      </c>
      <c r="AK456" s="98">
        <f t="shared" si="266"/>
        <v>3.8422902281082751</v>
      </c>
      <c r="AL456" s="98">
        <f t="shared" si="267"/>
        <v>1.3075033591689778</v>
      </c>
      <c r="AM456" s="98" t="str">
        <f t="shared" si="252"/>
        <v>1+374.697670133888i</v>
      </c>
      <c r="AN456" s="98">
        <f t="shared" si="268"/>
        <v>374.69900454066322</v>
      </c>
      <c r="AO456" s="98">
        <f t="shared" si="269"/>
        <v>1.5681275148285565</v>
      </c>
      <c r="AP456" s="168" t="str">
        <f t="shared" si="270"/>
        <v>-0.0612518590764106+0.229674393656401i</v>
      </c>
      <c r="AQ456" s="98">
        <f t="shared" si="271"/>
        <v>-12.479352772671191</v>
      </c>
      <c r="AR456" s="169">
        <f t="shared" si="272"/>
        <v>104.93266415845446</v>
      </c>
      <c r="AS456" s="168" t="str">
        <f t="shared" si="273"/>
        <v>-0.00155072096707762-0.0049871752090607i</v>
      </c>
      <c r="AT456" s="190">
        <f t="shared" si="274"/>
        <v>-45.642089357326931</v>
      </c>
      <c r="AU456" s="169">
        <f t="shared" si="275"/>
        <v>-107.27265039589122</v>
      </c>
      <c r="AV456" s="225"/>
      <c r="AX456">
        <f t="shared" si="276"/>
        <v>0</v>
      </c>
      <c r="AY456">
        <f t="shared" si="277"/>
        <v>0</v>
      </c>
    </row>
    <row r="457" spans="14:51" x14ac:dyDescent="0.2">
      <c r="N457" s="170">
        <v>39</v>
      </c>
      <c r="O457" s="199">
        <f t="shared" si="278"/>
        <v>245470.89156850305</v>
      </c>
      <c r="P457" s="189" t="str">
        <f t="shared" si="244"/>
        <v>6.8875</v>
      </c>
      <c r="Q457" s="160" t="str">
        <f t="shared" si="245"/>
        <v>1+385.584774810872i</v>
      </c>
      <c r="R457" s="160">
        <f t="shared" si="253"/>
        <v>385.58607154039009</v>
      </c>
      <c r="S457" s="160">
        <f t="shared" si="254"/>
        <v>1.5682028692122365</v>
      </c>
      <c r="T457" s="160" t="str">
        <f t="shared" si="246"/>
        <v>1+0.616935639697396i</v>
      </c>
      <c r="U457" s="160">
        <f t="shared" si="255"/>
        <v>1.174993439781191</v>
      </c>
      <c r="V457" s="160">
        <f t="shared" si="256"/>
        <v>0.55277919564235223</v>
      </c>
      <c r="W457" s="98" t="str">
        <f t="shared" si="247"/>
        <v>1-1.60215280392329i</v>
      </c>
      <c r="X457" s="160">
        <f t="shared" si="257"/>
        <v>1.8886221451416001</v>
      </c>
      <c r="Y457" s="160">
        <f t="shared" si="258"/>
        <v>-1.012801147048134</v>
      </c>
      <c r="Z457" s="98" t="str">
        <f t="shared" si="248"/>
        <v>-0.24495782246768+1.83655430368873i</v>
      </c>
      <c r="AA457" s="160">
        <f t="shared" si="259"/>
        <v>1.8528184058848574</v>
      </c>
      <c r="AB457" s="160">
        <f t="shared" si="260"/>
        <v>1.703392752425704</v>
      </c>
      <c r="AC457" s="171" t="str">
        <f t="shared" si="261"/>
        <v>-0.017776682334321+0.0119031196066248i</v>
      </c>
      <c r="AD457" s="190">
        <f t="shared" si="262"/>
        <v>-33.394241249387512</v>
      </c>
      <c r="AE457" s="169">
        <f t="shared" si="263"/>
        <v>146.19406230774351</v>
      </c>
      <c r="AF457" s="98" t="str">
        <f t="shared" si="249"/>
        <v>-0.0000816326530612245</v>
      </c>
      <c r="AG457" s="98" t="str">
        <f t="shared" si="250"/>
        <v>0.0342707747851904i</v>
      </c>
      <c r="AH457" s="98">
        <f t="shared" si="264"/>
        <v>3.4270774785190403E-2</v>
      </c>
      <c r="AI457" s="98">
        <f t="shared" si="265"/>
        <v>1.5707963267948966</v>
      </c>
      <c r="AJ457" s="98" t="str">
        <f t="shared" si="251"/>
        <v>1+3.79629207992012i</v>
      </c>
      <c r="AK457" s="98">
        <f t="shared" si="266"/>
        <v>3.9257908191935327</v>
      </c>
      <c r="AL457" s="98">
        <f t="shared" si="267"/>
        <v>1.3132322422098521</v>
      </c>
      <c r="AM457" s="98" t="str">
        <f t="shared" si="252"/>
        <v>1+383.425500071932i</v>
      </c>
      <c r="AN457" s="98">
        <f t="shared" si="268"/>
        <v>383.4268041040051</v>
      </c>
      <c r="AO457" s="98">
        <f t="shared" si="269"/>
        <v>1.56818826412697</v>
      </c>
      <c r="AP457" s="168" t="str">
        <f t="shared" si="270"/>
        <v>-0.0586739460417749+0.225125426954574i</v>
      </c>
      <c r="AQ457" s="98">
        <f t="shared" si="271"/>
        <v>-12.666093940239357</v>
      </c>
      <c r="AR457" s="169">
        <f t="shared" si="272"/>
        <v>104.60790401729579</v>
      </c>
      <c r="AS457" s="168" t="str">
        <f t="shared" si="273"/>
        <v>-0.00163666678344705-0.00470038619787774i</v>
      </c>
      <c r="AT457" s="190">
        <f t="shared" si="274"/>
        <v>-46.060335189626883</v>
      </c>
      <c r="AU457" s="169">
        <f t="shared" si="275"/>
        <v>-109.19803367496074</v>
      </c>
      <c r="AV457" s="225"/>
      <c r="AX457">
        <f t="shared" si="276"/>
        <v>0</v>
      </c>
      <c r="AY457">
        <f t="shared" si="277"/>
        <v>0</v>
      </c>
    </row>
    <row r="458" spans="14:51" x14ac:dyDescent="0.2">
      <c r="N458" s="170">
        <v>40</v>
      </c>
      <c r="O458" s="199">
        <f t="shared" si="278"/>
        <v>251188.64315095844</v>
      </c>
      <c r="P458" s="189" t="str">
        <f t="shared" si="244"/>
        <v>6.8875</v>
      </c>
      <c r="Q458" s="160" t="str">
        <f t="shared" si="245"/>
        <v>1+394.56619799412i</v>
      </c>
      <c r="R458" s="160">
        <f t="shared" si="253"/>
        <v>394.56746520656651</v>
      </c>
      <c r="S458" s="160">
        <f t="shared" si="254"/>
        <v>1.5682619032584104</v>
      </c>
      <c r="T458" s="160" t="str">
        <f t="shared" si="246"/>
        <v>1+0.631305916790592i</v>
      </c>
      <c r="U458" s="160">
        <f t="shared" si="255"/>
        <v>1.1826018605493609</v>
      </c>
      <c r="V458" s="160">
        <f t="shared" si="256"/>
        <v>0.56312106111819116</v>
      </c>
      <c r="W458" s="98" t="str">
        <f t="shared" si="247"/>
        <v>1-1.63947173681767i</v>
      </c>
      <c r="X458" s="160">
        <f t="shared" si="257"/>
        <v>1.92038214317462</v>
      </c>
      <c r="Y458" s="160">
        <f t="shared" si="258"/>
        <v>-1.023090880954409</v>
      </c>
      <c r="Z458" s="98" t="str">
        <f t="shared" si="248"/>
        <v>-0.3036308770252+1.87933314890774i</v>
      </c>
      <c r="AA458" s="160">
        <f t="shared" si="259"/>
        <v>1.9037029164411585</v>
      </c>
      <c r="AB458" s="160">
        <f t="shared" si="260"/>
        <v>1.7309752932495563</v>
      </c>
      <c r="AC458" s="171" t="str">
        <f t="shared" si="261"/>
        <v>-0.0169771478187365+0.0120590991148756i</v>
      </c>
      <c r="AD458" s="190">
        <f t="shared" si="262"/>
        <v>-33.628652365836793</v>
      </c>
      <c r="AE458" s="169">
        <f t="shared" si="263"/>
        <v>144.61330364751149</v>
      </c>
      <c r="AF458" s="98" t="str">
        <f t="shared" si="249"/>
        <v>-0.0000816326530612245</v>
      </c>
      <c r="AG458" s="98" t="str">
        <f t="shared" si="250"/>
        <v>0.0350690436777173i</v>
      </c>
      <c r="AH458" s="98">
        <f t="shared" si="264"/>
        <v>3.50690436777173E-2</v>
      </c>
      <c r="AI458" s="98">
        <f t="shared" si="265"/>
        <v>1.5707963267948966</v>
      </c>
      <c r="AJ458" s="98" t="str">
        <f t="shared" si="251"/>
        <v>1+3.8847190820332i</v>
      </c>
      <c r="AK458" s="98">
        <f t="shared" si="266"/>
        <v>4.0113641503001034</v>
      </c>
      <c r="AL458" s="98">
        <f t="shared" si="267"/>
        <v>1.3188474772565235</v>
      </c>
      <c r="AM458" s="98" t="str">
        <f t="shared" si="252"/>
        <v>1+392.356627285353i</v>
      </c>
      <c r="AN458" s="98">
        <f t="shared" si="268"/>
        <v>392.35790163412969</v>
      </c>
      <c r="AO458" s="98">
        <f t="shared" si="269"/>
        <v>1.5682476306211279</v>
      </c>
      <c r="AP458" s="168" t="str">
        <f t="shared" si="270"/>
        <v>-0.0561972972919641+0.220638482728459i</v>
      </c>
      <c r="AQ458" s="98">
        <f t="shared" si="271"/>
        <v>-12.853393946427687</v>
      </c>
      <c r="AR458" s="169">
        <f t="shared" si="272"/>
        <v>104.28957619770728</v>
      </c>
      <c r="AS458" s="168" t="str">
        <f t="shared" si="273"/>
        <v>-0.0017066315086391-0.00442350091381471i</v>
      </c>
      <c r="AT458" s="190">
        <f t="shared" si="274"/>
        <v>-46.482046312264494</v>
      </c>
      <c r="AU458" s="169">
        <f t="shared" si="275"/>
        <v>-111.09712015478124</v>
      </c>
      <c r="AV458" s="225"/>
      <c r="AX458">
        <f t="shared" si="276"/>
        <v>0</v>
      </c>
      <c r="AY458">
        <f t="shared" si="277"/>
        <v>0</v>
      </c>
    </row>
    <row r="459" spans="14:51" x14ac:dyDescent="0.2">
      <c r="N459" s="170">
        <v>41</v>
      </c>
      <c r="O459" s="199">
        <f t="shared" si="278"/>
        <v>257039.57827688678</v>
      </c>
      <c r="P459" s="189" t="str">
        <f t="shared" si="244"/>
        <v>6.8875</v>
      </c>
      <c r="Q459" s="160" t="str">
        <f t="shared" si="245"/>
        <v>1+403.756825398242i</v>
      </c>
      <c r="R459" s="160">
        <f t="shared" si="253"/>
        <v>403.75806376550105</v>
      </c>
      <c r="S459" s="160">
        <f t="shared" si="254"/>
        <v>1.5683195935427046</v>
      </c>
      <c r="T459" s="160" t="str">
        <f t="shared" si="246"/>
        <v>1+0.646010920637188i</v>
      </c>
      <c r="U459" s="160">
        <f t="shared" si="255"/>
        <v>1.190516740572138</v>
      </c>
      <c r="V459" s="160">
        <f t="shared" si="256"/>
        <v>0.57356583336264566</v>
      </c>
      <c r="W459" s="98" t="str">
        <f t="shared" si="247"/>
        <v>1-1.67765993932788i</v>
      </c>
      <c r="X459" s="160">
        <f t="shared" si="257"/>
        <v>1.9530854748386273</v>
      </c>
      <c r="Y459" s="160">
        <f t="shared" si="258"/>
        <v>-1.0332727571432778</v>
      </c>
      <c r="Z459" s="98" t="str">
        <f t="shared" si="248"/>
        <v>-0.36506910745371+1.92310844143821i</v>
      </c>
      <c r="AA459" s="160">
        <f t="shared" si="259"/>
        <v>1.9574528169914975</v>
      </c>
      <c r="AB459" s="160">
        <f t="shared" si="260"/>
        <v>1.7583969177231449</v>
      </c>
      <c r="AC459" s="171" t="str">
        <f t="shared" si="261"/>
        <v>-0.0161942985601507+0.0121794030204997i</v>
      </c>
      <c r="AD459" s="190">
        <f t="shared" si="262"/>
        <v>-33.865882857314695</v>
      </c>
      <c r="AE459" s="169">
        <f t="shared" si="263"/>
        <v>143.05391772240904</v>
      </c>
      <c r="AF459" s="98" t="str">
        <f t="shared" si="249"/>
        <v>-0.0000816326530612245</v>
      </c>
      <c r="AG459" s="98" t="str">
        <f t="shared" si="250"/>
        <v>0.0358859066413958i</v>
      </c>
      <c r="AH459" s="98">
        <f t="shared" si="264"/>
        <v>3.58859066413958E-2</v>
      </c>
      <c r="AI459" s="98">
        <f t="shared" si="265"/>
        <v>1.5707963267948966</v>
      </c>
      <c r="AJ459" s="98" t="str">
        <f t="shared" si="251"/>
        <v>1+3.97520581362389i</v>
      </c>
      <c r="AK459" s="98">
        <f t="shared" si="266"/>
        <v>4.0990561426588403</v>
      </c>
      <c r="AL459" s="98">
        <f t="shared" si="267"/>
        <v>1.3243506245649443</v>
      </c>
      <c r="AM459" s="98" t="str">
        <f t="shared" si="252"/>
        <v>1+401.495787176013i</v>
      </c>
      <c r="AN459" s="98">
        <f t="shared" si="268"/>
        <v>401.49703251716107</v>
      </c>
      <c r="AO459" s="98">
        <f t="shared" si="269"/>
        <v>1.5683056457862561</v>
      </c>
      <c r="AP459" s="168" t="str">
        <f t="shared" si="270"/>
        <v>-0.0538185352819176+0.216214537408467i</v>
      </c>
      <c r="AQ459" s="98">
        <f t="shared" si="271"/>
        <v>-13.041230771842056</v>
      </c>
      <c r="AR459" s="169">
        <f t="shared" si="272"/>
        <v>103.97759310700557</v>
      </c>
      <c r="AS459" s="168" t="str">
        <f t="shared" si="273"/>
        <v>-0.00176181056156325-0.00415692040300904i</v>
      </c>
      <c r="AT459" s="190">
        <f t="shared" si="274"/>
        <v>-46.907113629156754</v>
      </c>
      <c r="AU459" s="169">
        <f t="shared" si="275"/>
        <v>-112.96848917058539</v>
      </c>
      <c r="AV459" s="225"/>
      <c r="AX459">
        <f t="shared" si="276"/>
        <v>0</v>
      </c>
      <c r="AY459">
        <f t="shared" si="277"/>
        <v>0</v>
      </c>
    </row>
    <row r="460" spans="14:51" x14ac:dyDescent="0.2">
      <c r="N460" s="170">
        <v>42</v>
      </c>
      <c r="O460" s="199">
        <f t="shared" si="278"/>
        <v>263026.79918953858</v>
      </c>
      <c r="P460" s="189" t="str">
        <f t="shared" si="244"/>
        <v>6.8875</v>
      </c>
      <c r="Q460" s="160" t="str">
        <f t="shared" si="245"/>
        <v>1+413.161530015545i</v>
      </c>
      <c r="R460" s="160">
        <f t="shared" si="253"/>
        <v>413.16274019420729</v>
      </c>
      <c r="S460" s="160">
        <f t="shared" si="254"/>
        <v>1.5683759706517348</v>
      </c>
      <c r="T460" s="160" t="str">
        <f t="shared" si="246"/>
        <v>1+0.661058448024872i</v>
      </c>
      <c r="U460" s="160">
        <f t="shared" si="255"/>
        <v>1.1987486274048669</v>
      </c>
      <c r="V460" s="160">
        <f t="shared" si="256"/>
        <v>0.58410993443441805</v>
      </c>
      <c r="W460" s="98" t="str">
        <f t="shared" si="247"/>
        <v>1-1.71673765934437i</v>
      </c>
      <c r="X460" s="160">
        <f t="shared" si="257"/>
        <v>1.9867531781807186</v>
      </c>
      <c r="Y460" s="160">
        <f t="shared" si="258"/>
        <v>-1.0433437292176648</v>
      </c>
      <c r="Z460" s="98" t="str">
        <f t="shared" si="248"/>
        <v>-0.42940283247714+1.96790339151968i</v>
      </c>
      <c r="AA460" s="160">
        <f t="shared" si="259"/>
        <v>2.0142071767556704</v>
      </c>
      <c r="AB460" s="160">
        <f t="shared" si="260"/>
        <v>1.7856321446816146</v>
      </c>
      <c r="AC460" s="171" t="str">
        <f t="shared" si="261"/>
        <v>-0.0154296900551331+0.0122657106656239i</v>
      </c>
      <c r="AD460" s="190">
        <f t="shared" si="262"/>
        <v>-34.105832739519641</v>
      </c>
      <c r="AE460" s="169">
        <f t="shared" si="263"/>
        <v>141.51733228791466</v>
      </c>
      <c r="AF460" s="98" t="str">
        <f t="shared" si="249"/>
        <v>-0.0000816326530612245</v>
      </c>
      <c r="AG460" s="98" t="str">
        <f t="shared" si="250"/>
        <v>0.0367217967877817i</v>
      </c>
      <c r="AH460" s="98">
        <f t="shared" si="264"/>
        <v>3.6721796787781702E-2</v>
      </c>
      <c r="AI460" s="98">
        <f t="shared" si="265"/>
        <v>1.5707963267948966</v>
      </c>
      <c r="AJ460" s="98" t="str">
        <f t="shared" si="251"/>
        <v>1+4.06780025195503i</v>
      </c>
      <c r="AK460" s="98">
        <f t="shared" si="266"/>
        <v>4.1889138078749486</v>
      </c>
      <c r="AL460" s="98">
        <f t="shared" si="267"/>
        <v>1.329743268126478</v>
      </c>
      <c r="AM460" s="98" t="str">
        <f t="shared" si="252"/>
        <v>1+410.847825447458i</v>
      </c>
      <c r="AN460" s="98">
        <f t="shared" si="268"/>
        <v>410.84904244126557</v>
      </c>
      <c r="AO460" s="98">
        <f t="shared" si="269"/>
        <v>1.5683623403811999</v>
      </c>
      <c r="AP460" s="168" t="str">
        <f t="shared" si="270"/>
        <v>-0.0515343447704149+0.211854423331985i</v>
      </c>
      <c r="AQ460" s="98">
        <f t="shared" si="271"/>
        <v>-13.229583137158896</v>
      </c>
      <c r="AR460" s="169">
        <f t="shared" si="272"/>
        <v>103.67186575152283</v>
      </c>
      <c r="AS460" s="168" t="str">
        <f t="shared" si="273"/>
        <v>-0.00180338609282086-0.0039009534511179i</v>
      </c>
      <c r="AT460" s="190">
        <f t="shared" si="274"/>
        <v>-47.335415876678546</v>
      </c>
      <c r="AU460" s="169">
        <f t="shared" si="275"/>
        <v>-114.81080196056257</v>
      </c>
      <c r="AV460" s="225"/>
      <c r="AX460">
        <f t="shared" si="276"/>
        <v>0</v>
      </c>
      <c r="AY460">
        <f t="shared" si="277"/>
        <v>0</v>
      </c>
    </row>
    <row r="461" spans="14:51" x14ac:dyDescent="0.2">
      <c r="N461" s="170">
        <v>43</v>
      </c>
      <c r="O461" s="199">
        <f t="shared" si="278"/>
        <v>269153.48039269145</v>
      </c>
      <c r="P461" s="189" t="str">
        <f t="shared" si="244"/>
        <v>6.8875</v>
      </c>
      <c r="Q461" s="160" t="str">
        <f t="shared" si="245"/>
        <v>1+422.785298344903i</v>
      </c>
      <c r="R461" s="160">
        <f t="shared" si="253"/>
        <v>422.78648097661386</v>
      </c>
      <c r="S461" s="160">
        <f t="shared" si="254"/>
        <v>1.5684310644759558</v>
      </c>
      <c r="T461" s="160" t="str">
        <f t="shared" si="246"/>
        <v>1+0.676456477351844i</v>
      </c>
      <c r="U461" s="160">
        <f t="shared" si="255"/>
        <v>1.2073083142889665</v>
      </c>
      <c r="V461" s="160">
        <f t="shared" si="256"/>
        <v>0.59474957660021122</v>
      </c>
      <c r="W461" s="98" t="str">
        <f t="shared" si="247"/>
        <v>1-1.75672561639156i</v>
      </c>
      <c r="X461" s="160">
        <f t="shared" si="257"/>
        <v>2.0214066615320894</v>
      </c>
      <c r="Y461" s="160">
        <f t="shared" si="258"/>
        <v>-1.0533009648464033</v>
      </c>
      <c r="Z461" s="98" t="str">
        <f t="shared" si="248"/>
        <v>-0.49676851255163+2.01374175002762i</v>
      </c>
      <c r="AA461" s="160">
        <f t="shared" si="259"/>
        <v>2.0741106023708236</v>
      </c>
      <c r="AB461" s="160">
        <f t="shared" si="260"/>
        <v>1.8126566037953769</v>
      </c>
      <c r="AC461" s="171" t="str">
        <f t="shared" si="261"/>
        <v>-0.0146847156141015+0.0123198051102895i</v>
      </c>
      <c r="AD461" s="190">
        <f t="shared" si="262"/>
        <v>-34.348390149114906</v>
      </c>
      <c r="AE461" s="169">
        <f t="shared" si="263"/>
        <v>140.00488720795229</v>
      </c>
      <c r="AF461" s="98" t="str">
        <f t="shared" si="249"/>
        <v>-0.0000816326530612245</v>
      </c>
      <c r="AG461" s="98" t="str">
        <f t="shared" si="250"/>
        <v>0.0375771573168949i</v>
      </c>
      <c r="AH461" s="98">
        <f t="shared" si="264"/>
        <v>3.7577157316894899E-2</v>
      </c>
      <c r="AI461" s="98">
        <f t="shared" si="265"/>
        <v>1.5707963267948966</v>
      </c>
      <c r="AJ461" s="98" t="str">
        <f t="shared" si="251"/>
        <v>1+4.16255149182348i</v>
      </c>
      <c r="AK461" s="98">
        <f t="shared" si="266"/>
        <v>4.2809852746864108</v>
      </c>
      <c r="AL461" s="98">
        <f t="shared" si="267"/>
        <v>1.3350270120832484</v>
      </c>
      <c r="AM461" s="98" t="str">
        <f t="shared" si="252"/>
        <v>1+420.417700674171i</v>
      </c>
      <c r="AN461" s="98">
        <f t="shared" si="268"/>
        <v>420.41888996589671</v>
      </c>
      <c r="AO461" s="98">
        <f t="shared" si="269"/>
        <v>1.5684177444647258</v>
      </c>
      <c r="AP461" s="168" t="str">
        <f t="shared" si="270"/>
        <v>-0.0493414762733403+0.20755883664186i</v>
      </c>
      <c r="AQ461" s="98">
        <f t="shared" si="271"/>
        <v>-13.418430488959226</v>
      </c>
      <c r="AR461" s="169">
        <f t="shared" si="272"/>
        <v>103.37230394292592</v>
      </c>
      <c r="AS461" s="168" t="str">
        <f t="shared" si="273"/>
        <v>-0.00183251886929219-0.00365581986082099i</v>
      </c>
      <c r="AT461" s="190">
        <f t="shared" si="274"/>
        <v>-47.766820638074137</v>
      </c>
      <c r="AU461" s="169">
        <f t="shared" si="275"/>
        <v>-116.62280884912177</v>
      </c>
      <c r="AV461" s="225"/>
      <c r="AX461">
        <f t="shared" si="276"/>
        <v>0</v>
      </c>
      <c r="AY461">
        <f t="shared" si="277"/>
        <v>0</v>
      </c>
    </row>
    <row r="462" spans="14:51" x14ac:dyDescent="0.2">
      <c r="N462" s="170">
        <v>44</v>
      </c>
      <c r="O462" s="199">
        <f t="shared" si="278"/>
        <v>275422.87033381703</v>
      </c>
      <c r="P462" s="189" t="str">
        <f t="shared" si="244"/>
        <v>6.8875</v>
      </c>
      <c r="Q462" s="160" t="str">
        <f t="shared" si="245"/>
        <v>1+432.633233035668i</v>
      </c>
      <c r="R462" s="160">
        <f t="shared" si="253"/>
        <v>432.63438874746726</v>
      </c>
      <c r="S462" s="160">
        <f t="shared" si="254"/>
        <v>1.568484904225504</v>
      </c>
      <c r="T462" s="160" t="str">
        <f t="shared" si="246"/>
        <v>1+0.692213172857068i</v>
      </c>
      <c r="U462" s="160">
        <f t="shared" si="255"/>
        <v>1.2162068395946675</v>
      </c>
      <c r="V462" s="160">
        <f t="shared" si="256"/>
        <v>0.60548076562990139</v>
      </c>
      <c r="W462" s="98" t="str">
        <f t="shared" si="247"/>
        <v>1-1.79764501261358i</v>
      </c>
      <c r="X462" s="160">
        <f t="shared" si="257"/>
        <v>2.0570677167693039</v>
      </c>
      <c r="Y462" s="160">
        <f t="shared" si="258"/>
        <v>-1.0631418450631522</v>
      </c>
      <c r="Z462" s="98" t="str">
        <f t="shared" si="248"/>
        <v>-0.56730903931651+2.06064782106645i</v>
      </c>
      <c r="AA462" s="160">
        <f t="shared" si="259"/>
        <v>2.1373134979586239</v>
      </c>
      <c r="AB462" s="160">
        <f t="shared" si="260"/>
        <v>1.8394471501945513</v>
      </c>
      <c r="AC462" s="171" t="str">
        <f t="shared" si="261"/>
        <v>-0.0139605985330608+0.0123435521972706i</v>
      </c>
      <c r="AD462" s="190">
        <f t="shared" si="262"/>
        <v>-34.59343247778029</v>
      </c>
      <c r="AE462" s="169">
        <f t="shared" si="263"/>
        <v>138.51782811545615</v>
      </c>
      <c r="AF462" s="98" t="str">
        <f t="shared" si="249"/>
        <v>-0.0000816326530612245</v>
      </c>
      <c r="AG462" s="98" t="str">
        <f t="shared" si="250"/>
        <v>0.0384524417522101i</v>
      </c>
      <c r="AH462" s="98">
        <f t="shared" si="264"/>
        <v>3.8452441752210097E-2</v>
      </c>
      <c r="AI462" s="98">
        <f t="shared" si="265"/>
        <v>1.5707963267948966</v>
      </c>
      <c r="AJ462" s="98" t="str">
        <f t="shared" si="251"/>
        <v>1+4.25950977159077i</v>
      </c>
      <c r="AK462" s="98">
        <f t="shared" si="266"/>
        <v>4.3753198162279814</v>
      </c>
      <c r="AL462" s="98">
        <f t="shared" si="267"/>
        <v>1.340203477342726</v>
      </c>
      <c r="AM462" s="98" t="str">
        <f t="shared" si="252"/>
        <v>1+430.210486930668i</v>
      </c>
      <c r="AN462" s="98">
        <f t="shared" si="268"/>
        <v>430.21164915088303</v>
      </c>
      <c r="AO462" s="98">
        <f t="shared" si="269"/>
        <v>1.5684718874114505</v>
      </c>
      <c r="AP462" s="168" t="str">
        <f t="shared" si="270"/>
        <v>-0.0472367489933891+0.203328345003707i</v>
      </c>
      <c r="AQ462" s="98">
        <f t="shared" si="271"/>
        <v>-13.607752984857463</v>
      </c>
      <c r="AR462" s="169">
        <f t="shared" si="272"/>
        <v>103.07881649309945</v>
      </c>
      <c r="AS462" s="168" t="str">
        <f t="shared" si="273"/>
        <v>-0.00185034075103423-0.0034216546718177i</v>
      </c>
      <c r="AT462" s="190">
        <f t="shared" si="274"/>
        <v>-48.201185462637753</v>
      </c>
      <c r="AU462" s="169">
        <f t="shared" si="275"/>
        <v>-118.40335539144438</v>
      </c>
      <c r="AV462" s="225"/>
      <c r="AX462">
        <f t="shared" si="276"/>
        <v>0</v>
      </c>
      <c r="AY462">
        <f t="shared" si="277"/>
        <v>0</v>
      </c>
    </row>
    <row r="463" spans="14:51" x14ac:dyDescent="0.2">
      <c r="N463" s="170">
        <v>45</v>
      </c>
      <c r="O463" s="199">
        <f t="shared" si="278"/>
        <v>281838.29312644573</v>
      </c>
      <c r="P463" s="189" t="str">
        <f t="shared" si="244"/>
        <v>6.8875</v>
      </c>
      <c r="Q463" s="160" t="str">
        <f t="shared" si="245"/>
        <v>1+442.710555593165i</v>
      </c>
      <c r="R463" s="160">
        <f t="shared" si="253"/>
        <v>442.71168499781976</v>
      </c>
      <c r="S463" s="160">
        <f t="shared" si="254"/>
        <v>1.568537518445678</v>
      </c>
      <c r="T463" s="160" t="str">
        <f t="shared" si="246"/>
        <v>1+0.708336888949064i</v>
      </c>
      <c r="U463" s="160">
        <f t="shared" si="255"/>
        <v>1.2254554860320461</v>
      </c>
      <c r="V463" s="160">
        <f t="shared" si="256"/>
        <v>0.61629930506222863</v>
      </c>
      <c r="W463" s="98" t="str">
        <f t="shared" si="247"/>
        <v>1-1.83951754401592i</v>
      </c>
      <c r="X463" s="160">
        <f t="shared" si="257"/>
        <v>2.0937585330554147</v>
      </c>
      <c r="Y463" s="160">
        <f t="shared" si="258"/>
        <v>-1.0728639627890115</v>
      </c>
      <c r="Z463" s="98" t="str">
        <f t="shared" si="248"/>
        <v>-0.64117403868654+2.1086464748559i</v>
      </c>
      <c r="AA463" s="160">
        <f t="shared" si="259"/>
        <v>2.2039723464253864</v>
      </c>
      <c r="AB463" s="160">
        <f t="shared" si="260"/>
        <v>1.8659819614992337</v>
      </c>
      <c r="AC463" s="171" t="str">
        <f t="shared" si="261"/>
        <v>-0.0132583873484919+0.0123388792989305i</v>
      </c>
      <c r="AD463" s="190">
        <f t="shared" si="262"/>
        <v>-34.840827588844554</v>
      </c>
      <c r="AE463" s="169">
        <f t="shared" si="263"/>
        <v>137.0573011811104</v>
      </c>
      <c r="AF463" s="98" t="str">
        <f t="shared" si="249"/>
        <v>-0.0000816326530612245</v>
      </c>
      <c r="AG463" s="98" t="str">
        <f t="shared" si="250"/>
        <v>0.0393481141811204i</v>
      </c>
      <c r="AH463" s="98">
        <f t="shared" si="264"/>
        <v>3.93481141811204E-2</v>
      </c>
      <c r="AI463" s="98">
        <f t="shared" si="265"/>
        <v>1.5707963267948966</v>
      </c>
      <c r="AJ463" s="98" t="str">
        <f t="shared" si="251"/>
        <v>1+4.35872649982023i</v>
      </c>
      <c r="AK463" s="98">
        <f t="shared" si="266"/>
        <v>4.4719678778178986</v>
      </c>
      <c r="AL463" s="98">
        <f t="shared" si="267"/>
        <v>1.3452742983866817</v>
      </c>
      <c r="AM463" s="98" t="str">
        <f t="shared" si="252"/>
        <v>1+440.231376481843i</v>
      </c>
      <c r="AN463" s="98">
        <f t="shared" si="268"/>
        <v>440.23251224676505</v>
      </c>
      <c r="AO463" s="98">
        <f t="shared" si="269"/>
        <v>1.5685247979274106</v>
      </c>
      <c r="AP463" s="168" t="str">
        <f t="shared" si="270"/>
        <v>-0.045217053262943+0.199163395122616i</v>
      </c>
      <c r="AQ463" s="98">
        <f t="shared" si="271"/>
        <v>-13.797531478035662</v>
      </c>
      <c r="AR463" s="169">
        <f t="shared" si="272"/>
        <v>102.79131139787107</v>
      </c>
      <c r="AS463" s="168" t="str">
        <f t="shared" si="273"/>
        <v>-0.00185794788626567-0.00319851320064115i</v>
      </c>
      <c r="AT463" s="190">
        <f t="shared" si="274"/>
        <v>-48.638359066880227</v>
      </c>
      <c r="AU463" s="169">
        <f t="shared" si="275"/>
        <v>-120.15138742101847</v>
      </c>
      <c r="AV463" s="225"/>
      <c r="AX463">
        <f t="shared" si="276"/>
        <v>0</v>
      </c>
      <c r="AY463">
        <f t="shared" si="277"/>
        <v>0</v>
      </c>
    </row>
    <row r="464" spans="14:51" x14ac:dyDescent="0.2">
      <c r="N464" s="170">
        <v>46</v>
      </c>
      <c r="O464" s="199">
        <f t="shared" si="278"/>
        <v>288403.1503126609</v>
      </c>
      <c r="P464" s="189" t="str">
        <f t="shared" si="244"/>
        <v>6.8875</v>
      </c>
      <c r="Q464" s="160" t="str">
        <f t="shared" si="245"/>
        <v>1+453.022609147205i</v>
      </c>
      <c r="R464" s="160">
        <f t="shared" si="253"/>
        <v>453.02371284353455</v>
      </c>
      <c r="S464" s="160">
        <f t="shared" si="254"/>
        <v>1.5685889350320681</v>
      </c>
      <c r="T464" s="160" t="str">
        <f t="shared" si="246"/>
        <v>1+0.724836174635528i</v>
      </c>
      <c r="U464" s="160">
        <f t="shared" si="255"/>
        <v>1.2350657796491107</v>
      </c>
      <c r="V464" s="160">
        <f t="shared" si="256"/>
        <v>0.62720080145625334</v>
      </c>
      <c r="W464" s="98" t="str">
        <f t="shared" si="247"/>
        <v>1-1.882365411969i</v>
      </c>
      <c r="X464" s="160">
        <f t="shared" si="257"/>
        <v>2.1315017110425276</v>
      </c>
      <c r="Y464" s="160">
        <f t="shared" si="258"/>
        <v>-1.0824651206283764</v>
      </c>
      <c r="Z464" s="98" t="str">
        <f t="shared" si="248"/>
        <v>-0.71852018822867+2.15776316091756i</v>
      </c>
      <c r="AA464" s="160">
        <f t="shared" si="259"/>
        <v>2.2742500125327254</v>
      </c>
      <c r="AB464" s="160">
        <f t="shared" si="260"/>
        <v>1.8922406166679417</v>
      </c>
      <c r="AC464" s="171" t="str">
        <f t="shared" si="261"/>
        <v>-0.0125789540899516+0.0123077542358572i</v>
      </c>
      <c r="AD464" s="190">
        <f t="shared" si="262"/>
        <v>-35.090435093066908</v>
      </c>
      <c r="AE464" s="169">
        <f t="shared" si="263"/>
        <v>135.62434902197705</v>
      </c>
      <c r="AF464" s="98" t="str">
        <f t="shared" si="249"/>
        <v>-0.0000816326530612245</v>
      </c>
      <c r="AG464" s="98" t="str">
        <f t="shared" si="250"/>
        <v>0.0402646495010035i</v>
      </c>
      <c r="AH464" s="98">
        <f t="shared" si="264"/>
        <v>4.0264649501003502E-2</v>
      </c>
      <c r="AI464" s="98">
        <f t="shared" si="265"/>
        <v>1.5707963267948966</v>
      </c>
      <c r="AJ464" s="98" t="str">
        <f t="shared" si="251"/>
        <v>1+4.46025428253446i</v>
      </c>
      <c r="AK464" s="98">
        <f t="shared" si="266"/>
        <v>4.5709811052843987</v>
      </c>
      <c r="AL464" s="98">
        <f t="shared" si="267"/>
        <v>1.3502411202691627</v>
      </c>
      <c r="AM464" s="98" t="str">
        <f t="shared" si="252"/>
        <v>1+450.485682535981i</v>
      </c>
      <c r="AN464" s="98">
        <f t="shared" si="268"/>
        <v>450.48679244780163</v>
      </c>
      <c r="AO464" s="98">
        <f t="shared" si="269"/>
        <v>1.5685765040652764</v>
      </c>
      <c r="AP464" s="168" t="str">
        <f t="shared" si="270"/>
        <v>-0.0432793525358758+0.195064320043161i</v>
      </c>
      <c r="AQ464" s="98">
        <f t="shared" si="271"/>
        <v>-13.987747501288757</v>
      </c>
      <c r="AR464" s="169">
        <f t="shared" si="272"/>
        <v>102.50969600988638</v>
      </c>
      <c r="AS464" s="168" t="str">
        <f t="shared" si="273"/>
        <v>-0.00185639472268421-0.00298637676090913i</v>
      </c>
      <c r="AT464" s="190">
        <f t="shared" si="274"/>
        <v>-49.07818259435566</v>
      </c>
      <c r="AU464" s="169">
        <f t="shared" si="275"/>
        <v>-121.86595496813661</v>
      </c>
      <c r="AV464" s="225"/>
      <c r="AX464">
        <f t="shared" si="276"/>
        <v>0</v>
      </c>
      <c r="AY464">
        <f t="shared" si="277"/>
        <v>0</v>
      </c>
    </row>
    <row r="465" spans="14:51" x14ac:dyDescent="0.2">
      <c r="N465" s="170">
        <v>47</v>
      </c>
      <c r="O465" s="199">
        <f t="shared" si="278"/>
        <v>295120.92266663886</v>
      </c>
      <c r="P465" s="189" t="str">
        <f t="shared" si="244"/>
        <v>6.8875</v>
      </c>
      <c r="Q465" s="160" t="str">
        <f t="shared" si="245"/>
        <v>1+463.574861285078i</v>
      </c>
      <c r="R465" s="160">
        <f t="shared" si="253"/>
        <v>463.575939858271</v>
      </c>
      <c r="S465" s="160">
        <f t="shared" si="254"/>
        <v>1.5686391812453404</v>
      </c>
      <c r="T465" s="160" t="str">
        <f t="shared" si="246"/>
        <v>1+0.741719778056124i</v>
      </c>
      <c r="U465" s="160">
        <f t="shared" si="255"/>
        <v>1.2450494886387551</v>
      </c>
      <c r="V465" s="160">
        <f t="shared" si="256"/>
        <v>0.63818067063601824</v>
      </c>
      <c r="W465" s="98" t="str">
        <f t="shared" si="247"/>
        <v>1-1.92621133497955i</v>
      </c>
      <c r="X465" s="160">
        <f t="shared" si="257"/>
        <v>2.1703202775175146</v>
      </c>
      <c r="Y465" s="160">
        <f t="shared" si="258"/>
        <v>-1.0919433279900002</v>
      </c>
      <c r="Z465" s="98" t="str">
        <f t="shared" si="248"/>
        <v>-0.79951154949604+2.20802392156851i</v>
      </c>
      <c r="AA465" s="160">
        <f t="shared" si="259"/>
        <v>2.3483160681638107</v>
      </c>
      <c r="AB465" s="160">
        <f t="shared" si="260"/>
        <v>1.91820415651097</v>
      </c>
      <c r="AC465" s="171" t="str">
        <f t="shared" si="261"/>
        <v>-0.0119229953641143+0.0122521648160903i</v>
      </c>
      <c r="AD465" s="190">
        <f t="shared" si="262"/>
        <v>-35.342107660315733</v>
      </c>
      <c r="AE465" s="169">
        <f t="shared" si="263"/>
        <v>134.21990775623038</v>
      </c>
      <c r="AF465" s="98" t="str">
        <f t="shared" si="249"/>
        <v>-0.0000816326530612245</v>
      </c>
      <c r="AG465" s="98" t="str">
        <f t="shared" si="250"/>
        <v>0.0412025336710177i</v>
      </c>
      <c r="AH465" s="98">
        <f t="shared" si="264"/>
        <v>4.1202533671017699E-2</v>
      </c>
      <c r="AI465" s="98">
        <f t="shared" si="265"/>
        <v>1.5707963267948966</v>
      </c>
      <c r="AJ465" s="98" t="str">
        <f t="shared" si="251"/>
        <v>1+4.56414695110773i</v>
      </c>
      <c r="AK465" s="98">
        <f t="shared" si="266"/>
        <v>4.6724123738499364</v>
      </c>
      <c r="AL465" s="98">
        <f t="shared" si="267"/>
        <v>1.3551055957978062</v>
      </c>
      <c r="AM465" s="98" t="str">
        <f t="shared" si="252"/>
        <v>1+460.978842061881i</v>
      </c>
      <c r="AN465" s="98">
        <f t="shared" si="268"/>
        <v>460.97992670908417</v>
      </c>
      <c r="AO465" s="98">
        <f t="shared" si="269"/>
        <v>1.5686270332392203</v>
      </c>
      <c r="AP465" s="168" t="str">
        <f t="shared" si="270"/>
        <v>-0.0414206849629349+0.191031346219803i</v>
      </c>
      <c r="AQ465" s="98">
        <f t="shared" si="271"/>
        <v>-14.178383250675228</v>
      </c>
      <c r="AR465" s="169">
        <f t="shared" si="272"/>
        <v>102.23387720095968</v>
      </c>
      <c r="AS465" s="168" t="str">
        <f t="shared" si="273"/>
        <v>-0.00184668890413312-0.00278515891434046i</v>
      </c>
      <c r="AT465" s="190">
        <f t="shared" si="274"/>
        <v>-49.520490910990958</v>
      </c>
      <c r="AU465" s="169">
        <f t="shared" si="275"/>
        <v>-123.54621504280988</v>
      </c>
      <c r="AV465" s="225"/>
      <c r="AX465">
        <f t="shared" si="276"/>
        <v>0</v>
      </c>
      <c r="AY465">
        <f t="shared" si="277"/>
        <v>0</v>
      </c>
    </row>
    <row r="466" spans="14:51" x14ac:dyDescent="0.2">
      <c r="N466" s="170">
        <v>48</v>
      </c>
      <c r="O466" s="199">
        <f t="shared" si="278"/>
        <v>301995.17204020242</v>
      </c>
      <c r="P466" s="189" t="str">
        <f t="shared" si="244"/>
        <v>6.8875</v>
      </c>
      <c r="Q466" s="160" t="str">
        <f t="shared" si="245"/>
        <v>1+474.372906950543i</v>
      </c>
      <c r="R466" s="160">
        <f t="shared" si="253"/>
        <v>474.3739609724679</v>
      </c>
      <c r="S466" s="160">
        <f t="shared" si="254"/>
        <v>1.5686882837256875</v>
      </c>
      <c r="T466" s="160" t="str">
        <f t="shared" si="246"/>
        <v>1+0.758996651120868i</v>
      </c>
      <c r="U466" s="160">
        <f t="shared" si="255"/>
        <v>1.2554186219794148</v>
      </c>
      <c r="V466" s="160">
        <f t="shared" si="256"/>
        <v>0.64923414492753062</v>
      </c>
      <c r="W466" s="98" t="str">
        <f t="shared" si="247"/>
        <v>1-1.97107856073633i</v>
      </c>
      <c r="X466" s="160">
        <f t="shared" si="257"/>
        <v>2.2102377004735039</v>
      </c>
      <c r="Y466" s="160">
        <f t="shared" si="258"/>
        <v>-1.1012967975871593</v>
      </c>
      <c r="Z466" s="98" t="str">
        <f t="shared" si="248"/>
        <v>-0.88431991602461+2.25945540572932i</v>
      </c>
      <c r="AA466" s="160">
        <f t="shared" si="259"/>
        <v>2.4263471401176746</v>
      </c>
      <c r="AB466" s="160">
        <f t="shared" si="260"/>
        <v>1.943855126121635</v>
      </c>
      <c r="AC466" s="171" t="str">
        <f t="shared" si="261"/>
        <v>-0.0112910360362129+0.0121740993897901i</v>
      </c>
      <c r="AD466" s="190">
        <f t="shared" si="262"/>
        <v>-35.595692344715673</v>
      </c>
      <c r="AE466" s="169">
        <f t="shared" si="263"/>
        <v>132.8448051863723</v>
      </c>
      <c r="AF466" s="98" t="str">
        <f t="shared" si="249"/>
        <v>-0.0000816326530612245</v>
      </c>
      <c r="AG466" s="98" t="str">
        <f t="shared" si="250"/>
        <v>0.0421622639697643i</v>
      </c>
      <c r="AH466" s="98">
        <f t="shared" si="264"/>
        <v>4.2162263969764302E-2</v>
      </c>
      <c r="AI466" s="98">
        <f t="shared" si="265"/>
        <v>1.5707963267948966</v>
      </c>
      <c r="AJ466" s="98" t="str">
        <f t="shared" si="251"/>
        <v>1+4.67045959080812i</v>
      </c>
      <c r="AK466" s="98">
        <f t="shared" si="266"/>
        <v>4.776315817591164</v>
      </c>
      <c r="AL466" s="98">
        <f t="shared" si="267"/>
        <v>1.359869382892497</v>
      </c>
      <c r="AM466" s="98" t="str">
        <f t="shared" si="252"/>
        <v>1+471.71641867162i</v>
      </c>
      <c r="AN466" s="98">
        <f t="shared" si="268"/>
        <v>471.71747862929465</v>
      </c>
      <c r="AO466" s="98">
        <f t="shared" si="269"/>
        <v>1.5686764122394461</v>
      </c>
      <c r="AP466" s="168" t="str">
        <f t="shared" si="270"/>
        <v>-0.0396381645840742+0.187064600347567i</v>
      </c>
      <c r="AQ466" s="98">
        <f t="shared" si="271"/>
        <v>-14.369421568862016</v>
      </c>
      <c r="AR466" s="169">
        <f t="shared" si="272"/>
        <v>101.96376151424451</v>
      </c>
      <c r="AS466" s="168" t="str">
        <f t="shared" si="273"/>
        <v>-0.00182978709221452-0.00259471209889952i</v>
      </c>
      <c r="AT466" s="190">
        <f t="shared" si="274"/>
        <v>-49.965113913577703</v>
      </c>
      <c r="AU466" s="169">
        <f t="shared" si="275"/>
        <v>-125.19143329938311</v>
      </c>
      <c r="AV466" s="225"/>
      <c r="AX466">
        <f t="shared" si="276"/>
        <v>0</v>
      </c>
      <c r="AY466">
        <f t="shared" si="277"/>
        <v>0</v>
      </c>
    </row>
    <row r="467" spans="14:51" x14ac:dyDescent="0.2">
      <c r="N467" s="170">
        <v>49</v>
      </c>
      <c r="O467" s="199">
        <f t="shared" si="278"/>
        <v>309029.54325135931</v>
      </c>
      <c r="P467" s="189" t="str">
        <f t="shared" ref="P467:P530" si="279">COMPLEX(Adc,0)</f>
        <v>6.8875</v>
      </c>
      <c r="Q467" s="160" t="str">
        <f t="shared" ref="Q467:Q530" si="280">IMSUM(COMPLEX(1,0),IMDIV(COMPLEX(0,2*PI()*O467),COMPLEX(wp_lf,0)))</f>
        <v>1+485.42247141034i</v>
      </c>
      <c r="R467" s="160">
        <f t="shared" si="253"/>
        <v>485.42350143984828</v>
      </c>
      <c r="S467" s="160">
        <f t="shared" si="254"/>
        <v>1.5687362685069464</v>
      </c>
      <c r="T467" s="160" t="str">
        <f t="shared" ref="T467:T530" si="281">IMSUM(COMPLEX(1,0),IMDIV(COMPLEX(0,2*PI()*O467),COMPLEX(wz_esr,0)))</f>
        <v>1+0.776675954256544i</v>
      </c>
      <c r="U467" s="160">
        <f t="shared" si="255"/>
        <v>1.2661854279371223</v>
      </c>
      <c r="V467" s="160">
        <f t="shared" si="256"/>
        <v>0.66035628137840574</v>
      </c>
      <c r="W467" s="98" t="str">
        <f t="shared" ref="W467:W530" si="282">IMSUB(COMPLEX(1,0),IMDIV(COMPLEX(0,2*PI()*O467),COMPLEX(wz_rhp,0)))</f>
        <v>1-2.01699087843632i</v>
      </c>
      <c r="X467" s="160">
        <f t="shared" si="257"/>
        <v>2.2512779045900393</v>
      </c>
      <c r="Y467" s="160">
        <f t="shared" si="258"/>
        <v>-1.1105239413717851</v>
      </c>
      <c r="Z467" s="98" t="str">
        <f t="shared" ref="Z467:Z530" si="283">IF(Dc_Mode_Loop="CCM",IMSUM(COMPLEX(1,0),IMDIV(COMPLEX(0,2*PI()*O467),COMPLEX(Q*(wsl/2),0)),IMDIV(IMPOWER(COMPLEX(0,2*PI()*O467),2),IMPOWER(COMPLEX(wsl/2,0),2))),COMPLEX(1,0))</f>
        <v>-0.97312517773025+2.31208488305368i</v>
      </c>
      <c r="AA467" s="160">
        <f t="shared" si="259"/>
        <v>2.5085272806923746</v>
      </c>
      <c r="AB467" s="160">
        <f t="shared" si="260"/>
        <v>1.9691775998427223</v>
      </c>
      <c r="AC467" s="171" t="str">
        <f t="shared" si="261"/>
        <v>-0.0106834352219139+0.0120755287509285i</v>
      </c>
      <c r="AD467" s="190">
        <f t="shared" si="262"/>
        <v>-35.851031902213805</v>
      </c>
      <c r="AE467" s="169">
        <f t="shared" si="263"/>
        <v>131.49976007186015</v>
      </c>
      <c r="AF467" s="98" t="str">
        <f t="shared" ref="AF467:AF530" si="284">COMPLEX(Adc_ea,0)</f>
        <v>-0.0000816326530612245</v>
      </c>
      <c r="AG467" s="98" t="str">
        <f t="shared" ref="AG467:AG530" si="285">COMPLEX(0,2*PI()*O467*wp0_ea)</f>
        <v>0.043144349258951i</v>
      </c>
      <c r="AH467" s="98">
        <f t="shared" si="264"/>
        <v>4.3144349258950998E-2</v>
      </c>
      <c r="AI467" s="98">
        <f t="shared" si="265"/>
        <v>1.5707963267948966</v>
      </c>
      <c r="AJ467" s="98" t="str">
        <f t="shared" ref="AJ467:AJ530" si="286">IMSUM(COMPLEX(1,0),IMDIV(COMPLEX(0,2*PI()*O467),COMPLEX(wp1_ea,0)))</f>
        <v>1+4.77924857000438i</v>
      </c>
      <c r="AK467" s="98">
        <f t="shared" si="266"/>
        <v>4.8827468594930155</v>
      </c>
      <c r="AL467" s="98">
        <f t="shared" si="267"/>
        <v>1.3645341421151542</v>
      </c>
      <c r="AM467" s="98" t="str">
        <f t="shared" ref="AM467:AM530" si="287">IMSUM(COMPLEX(1,0),IMDIV(COMPLEX(0,2*PI()*O467),COMPLEX(wz_ea,0)))</f>
        <v>1+482.704105570442i</v>
      </c>
      <c r="AN467" s="98">
        <f t="shared" si="268"/>
        <v>482.70514140058668</v>
      </c>
      <c r="AO467" s="98">
        <f t="shared" si="269"/>
        <v>1.5687246672463897</v>
      </c>
      <c r="AP467" s="168" t="str">
        <f t="shared" si="270"/>
        <v>-0.0379289821697445+0.18316411594543i</v>
      </c>
      <c r="AQ467" s="98">
        <f t="shared" si="271"/>
        <v>-14.560845928245218</v>
      </c>
      <c r="AR467" s="169">
        <f t="shared" si="272"/>
        <v>101.69925530657976</v>
      </c>
      <c r="AS467" s="168" t="str">
        <f t="shared" si="273"/>
        <v>-0.00180659172419385-0.00241483448236633i</v>
      </c>
      <c r="AT467" s="190">
        <f t="shared" si="274"/>
        <v>-50.411877830459026</v>
      </c>
      <c r="AU467" s="169">
        <f t="shared" si="275"/>
        <v>-126.80098462156013</v>
      </c>
      <c r="AV467" s="225"/>
      <c r="AX467">
        <f t="shared" si="276"/>
        <v>0</v>
      </c>
      <c r="AY467">
        <f t="shared" si="277"/>
        <v>0</v>
      </c>
    </row>
    <row r="468" spans="14:51" x14ac:dyDescent="0.2">
      <c r="N468" s="170">
        <v>50</v>
      </c>
      <c r="O468" s="199">
        <f t="shared" si="278"/>
        <v>316227.7660168382</v>
      </c>
      <c r="P468" s="189" t="str">
        <f t="shared" si="279"/>
        <v>6.8875</v>
      </c>
      <c r="Q468" s="160" t="str">
        <f t="shared" si="280"/>
        <v>1+496.729413289805i</v>
      </c>
      <c r="R468" s="160">
        <f t="shared" ref="R468:R531" si="288">IMABS(Q468)</f>
        <v>496.73041987302719</v>
      </c>
      <c r="S468" s="160">
        <f t="shared" ref="S468:S531" si="289">IMARGUMENT(Q468)</f>
        <v>1.5687831610303986</v>
      </c>
      <c r="T468" s="160" t="str">
        <f t="shared" si="281"/>
        <v>1+0.794767061263688i</v>
      </c>
      <c r="U468" s="160">
        <f t="shared" ref="U468:U531" si="290">IMABS(T468)</f>
        <v>1.2773623924594457</v>
      </c>
      <c r="V468" s="160">
        <f t="shared" ref="V468:V531" si="291">IMARGUMENT(T468)</f>
        <v>0.67154197094147428</v>
      </c>
      <c r="W468" s="98" t="str">
        <f t="shared" si="282"/>
        <v>1-2.06397263139808i</v>
      </c>
      <c r="X468" s="160">
        <f t="shared" ref="X468:X531" si="292">IMABS(W468)</f>
        <v>2.2934652871060237</v>
      </c>
      <c r="Y468" s="160">
        <f t="shared" ref="Y468:Y531" si="293">IMARGUMENT(W468)</f>
        <v>-1.1196233659580177</v>
      </c>
      <c r="Z468" s="98" t="str">
        <f t="shared" si="283"/>
        <v>-1.06611570247934+2.3659402583871i</v>
      </c>
      <c r="AA468" s="160">
        <f t="shared" ref="AA468:AA531" si="294">IMABS(Z468)</f>
        <v>2.5950483612699466</v>
      </c>
      <c r="AB468" s="160">
        <f t="shared" ref="AB468:AB531" si="295">IMARGUMENT(Z468)</f>
        <v>1.9941571897000065</v>
      </c>
      <c r="AC468" s="171" t="str">
        <f t="shared" ref="AC468:AC531" si="296">(IMDIV(IMPRODUCT(P468,T468,W468),IMPRODUCT(Q468,Z468)))</f>
        <v>-0.010100394265349+0.0119583896488347i</v>
      </c>
      <c r="AD468" s="190">
        <f t="shared" ref="AD468:AD531" si="297">20*LOG(IMABS(AC468))</f>
        <v>-36.107966081355173</v>
      </c>
      <c r="AE468" s="169">
        <f t="shared" ref="AE468:AE531" si="298">(180/PI())*IMARGUMENT(AC468)</f>
        <v>130.18538243350409</v>
      </c>
      <c r="AF468" s="98" t="str">
        <f t="shared" si="284"/>
        <v>-0.0000816326530612245</v>
      </c>
      <c r="AG468" s="98" t="str">
        <f t="shared" si="285"/>
        <v>0.0441493102531979i</v>
      </c>
      <c r="AH468" s="98">
        <f t="shared" ref="AH468:AH531" si="299">IMABS(AG468)</f>
        <v>4.4149310253197897E-2</v>
      </c>
      <c r="AI468" s="98">
        <f t="shared" ref="AI468:AI531" si="300">IMARGUMENT(AG468)</f>
        <v>1.5707963267948966</v>
      </c>
      <c r="AJ468" s="98" t="str">
        <f t="shared" si="286"/>
        <v>1+4.89057157005329i</v>
      </c>
      <c r="AK468" s="98">
        <f t="shared" ref="AK468:AK531" si="301">IMABS(AJ468)</f>
        <v>4.991762242115855</v>
      </c>
      <c r="AL468" s="98">
        <f t="shared" ref="AL468:AL531" si="302">IMARGUMENT(AJ468)</f>
        <v>1.3691015343642801</v>
      </c>
      <c r="AM468" s="98" t="str">
        <f t="shared" si="287"/>
        <v>1+493.947728575382i</v>
      </c>
      <c r="AN468" s="98">
        <f t="shared" ref="AN468:AN531" si="303">IMABS(AM468)</f>
        <v>493.94874082720287</v>
      </c>
      <c r="AO468" s="98">
        <f t="shared" ref="AO468:AO531" si="304">IMARGUMENT(AM468)</f>
        <v>1.5687718238445951</v>
      </c>
      <c r="AP468" s="168" t="str">
        <f t="shared" ref="AP468:AP531" si="305">IMPRODUCT(AF468,IMDIV(AM468,IMPRODUCT(AG468,AJ468)))</f>
        <v>-0.0362904057417118+0.179329839687181i</v>
      </c>
      <c r="AQ468" s="98">
        <f t="shared" ref="AQ468:AQ531" si="306">20*LOG(IMABS(AP468))</f>
        <v>-14.75264041392033</v>
      </c>
      <c r="AR468" s="169">
        <f t="shared" ref="AR468:AR531" si="307">(180/PI())*IMARGUMENT(AP468)</f>
        <v>101.44026488137746</v>
      </c>
      <c r="AS468" s="168" t="str">
        <f t="shared" ref="AS468:AS531" si="308">IMPRODUCT(AC468,AP468)</f>
        <v>-0.0017779486926016-0.00224527689675606i</v>
      </c>
      <c r="AT468" s="190">
        <f t="shared" ref="AT468:AT531" si="309">20*LOG(IMABS(AS468))</f>
        <v>-50.860606495275498</v>
      </c>
      <c r="AU468" s="169">
        <f t="shared" ref="AU468:AU531" si="310">(180/PI())*IMARGUMENT(AS468)</f>
        <v>-128.37435268511842</v>
      </c>
      <c r="AV468" s="225"/>
      <c r="AX468">
        <f t="shared" ref="AX468:AX531" si="311">SUM((AT469&lt;0)*(AT468&gt;0))*O468</f>
        <v>0</v>
      </c>
      <c r="AY468">
        <f t="shared" ref="AY468:AY531" si="312">IF(AX468&gt;0,AU468,0)</f>
        <v>0</v>
      </c>
    </row>
    <row r="469" spans="14:51" x14ac:dyDescent="0.2">
      <c r="N469" s="170">
        <v>51</v>
      </c>
      <c r="O469" s="199">
        <f t="shared" si="278"/>
        <v>323593.65692962846</v>
      </c>
      <c r="P469" s="189" t="str">
        <f t="shared" si="279"/>
        <v>6.8875</v>
      </c>
      <c r="Q469" s="160" t="str">
        <f t="shared" si="280"/>
        <v>1+508.299727679187i</v>
      </c>
      <c r="R469" s="160">
        <f t="shared" si="288"/>
        <v>508.30071134982262</v>
      </c>
      <c r="S469" s="160">
        <f t="shared" si="289"/>
        <v>1.5688289861582561</v>
      </c>
      <c r="T469" s="160" t="str">
        <f t="shared" si="281"/>
        <v>1+0.8132795642867i</v>
      </c>
      <c r="U469" s="160">
        <f t="shared" si="290"/>
        <v>1.2889622374943204</v>
      </c>
      <c r="V469" s="160">
        <f t="shared" si="291"/>
        <v>0.68278594859437514</v>
      </c>
      <c r="W469" s="98" t="str">
        <f t="shared" si="282"/>
        <v>1-2.11204872996892i</v>
      </c>
      <c r="X469" s="160">
        <f t="shared" si="292"/>
        <v>2.3368247340704285</v>
      </c>
      <c r="Y469" s="160">
        <f t="shared" si="293"/>
        <v>-1.1285938675904703</v>
      </c>
      <c r="Z469" s="98" t="str">
        <f t="shared" si="283"/>
        <v>-1.16348873564235+2.42105008656243i</v>
      </c>
      <c r="AA469" s="160">
        <f t="shared" si="294"/>
        <v>2.6861104890920968</v>
      </c>
      <c r="AB469" s="160">
        <f t="shared" si="295"/>
        <v>2.0187810384928113</v>
      </c>
      <c r="AC469" s="171" t="str">
        <f t="shared" si="296"/>
        <v>-0.00954196635719365+0.0118245701018723i</v>
      </c>
      <c r="AD469" s="190">
        <f t="shared" si="297"/>
        <v>-36.366332870230224</v>
      </c>
      <c r="AE469" s="169">
        <f t="shared" si="298"/>
        <v>128.90217481668228</v>
      </c>
      <c r="AF469" s="98" t="str">
        <f t="shared" si="284"/>
        <v>-0.0000816326530612245</v>
      </c>
      <c r="AG469" s="98" t="str">
        <f t="shared" si="285"/>
        <v>0.0451776797961263i</v>
      </c>
      <c r="AH469" s="98">
        <f t="shared" si="299"/>
        <v>4.5177679796126302E-2</v>
      </c>
      <c r="AI469" s="98">
        <f t="shared" si="300"/>
        <v>1.5707963267948966</v>
      </c>
      <c r="AJ469" s="98" t="str">
        <f t="shared" si="286"/>
        <v>1+5.00448761588301i</v>
      </c>
      <c r="AK469" s="98">
        <f t="shared" si="301"/>
        <v>5.1034200588944678</v>
      </c>
      <c r="AL469" s="98">
        <f t="shared" si="302"/>
        <v>1.3735732187277745</v>
      </c>
      <c r="AM469" s="98" t="str">
        <f t="shared" si="287"/>
        <v>1+505.453249204184i</v>
      </c>
      <c r="AN469" s="98">
        <f t="shared" si="303"/>
        <v>505.454238414386</v>
      </c>
      <c r="AO469" s="98">
        <f t="shared" si="304"/>
        <v>1.5688179070362755</v>
      </c>
      <c r="AP469" s="168" t="str">
        <f t="shared" si="305"/>
        <v>-0.0347197808024754+0.175561637476558i</v>
      </c>
      <c r="AQ469" s="98">
        <f t="shared" si="306"/>
        <v>-14.94478970656971</v>
      </c>
      <c r="AR469" s="169">
        <f t="shared" si="307"/>
        <v>101.18669661242436</v>
      </c>
      <c r="AS469" s="168" t="str">
        <f t="shared" si="308"/>
        <v>-0.00174464590919469-0.00208574972043566i</v>
      </c>
      <c r="AT469" s="190">
        <f t="shared" si="309"/>
        <v>-51.311122576799931</v>
      </c>
      <c r="AU469" s="169">
        <f t="shared" si="310"/>
        <v>-129.91112857089325</v>
      </c>
      <c r="AV469" s="225"/>
      <c r="AX469">
        <f t="shared" si="311"/>
        <v>0</v>
      </c>
      <c r="AY469">
        <f t="shared" si="312"/>
        <v>0</v>
      </c>
    </row>
    <row r="470" spans="14:51" x14ac:dyDescent="0.2">
      <c r="N470" s="170">
        <v>52</v>
      </c>
      <c r="O470" s="199">
        <f t="shared" si="278"/>
        <v>331131.12148259126</v>
      </c>
      <c r="P470" s="189" t="str">
        <f t="shared" si="279"/>
        <v>6.8875</v>
      </c>
      <c r="Q470" s="160" t="str">
        <f t="shared" si="280"/>
        <v>1+520.13954931233i</v>
      </c>
      <c r="R470" s="160">
        <f t="shared" si="288"/>
        <v>520.14051059193014</v>
      </c>
      <c r="S470" s="160">
        <f t="shared" si="289"/>
        <v>1.5688737681868374</v>
      </c>
      <c r="T470" s="160" t="str">
        <f t="shared" si="281"/>
        <v>1+0.832223278899728i</v>
      </c>
      <c r="U470" s="160">
        <f t="shared" si="290"/>
        <v>1.3009979192691334</v>
      </c>
      <c r="V470" s="160">
        <f t="shared" si="291"/>
        <v>0.6940828043578624</v>
      </c>
      <c r="W470" s="98" t="str">
        <f t="shared" si="282"/>
        <v>1-2.16124466473267i</v>
      </c>
      <c r="X470" s="160">
        <f t="shared" si="292"/>
        <v>2.3813816369568803</v>
      </c>
      <c r="Y470" s="160">
        <f t="shared" si="293"/>
        <v>-1.1374344267118766</v>
      </c>
      <c r="Z470" s="98" t="str">
        <f t="shared" si="283"/>
        <v>-1.26545081847767+2.47744358754006i</v>
      </c>
      <c r="AA470" s="160">
        <f t="shared" si="294"/>
        <v>2.7819224474145878</v>
      </c>
      <c r="AB470" s="160">
        <f t="shared" si="295"/>
        <v>2.0430377989306781</v>
      </c>
      <c r="AC470" s="171" t="str">
        <f t="shared" si="296"/>
        <v>-0.0090080674393511+0.0116758966364186i</v>
      </c>
      <c r="AD470" s="190">
        <f t="shared" si="297"/>
        <v>-36.625969684966286</v>
      </c>
      <c r="AE470" s="169">
        <f t="shared" si="298"/>
        <v>127.65053442852027</v>
      </c>
      <c r="AF470" s="98" t="str">
        <f t="shared" si="284"/>
        <v>-0.0000816326530612245</v>
      </c>
      <c r="AG470" s="98" t="str">
        <f t="shared" si="285"/>
        <v>0.0462300031428798i</v>
      </c>
      <c r="AH470" s="98">
        <f t="shared" si="299"/>
        <v>4.6230003142879797E-2</v>
      </c>
      <c r="AI470" s="98">
        <f t="shared" si="300"/>
        <v>1.5707963267948966</v>
      </c>
      <c r="AJ470" s="98" t="str">
        <f t="shared" si="286"/>
        <v>1+5.12105710728892i</v>
      </c>
      <c r="AK470" s="98">
        <f t="shared" si="301"/>
        <v>5.2177797860885589</v>
      </c>
      <c r="AL470" s="98">
        <f t="shared" si="302"/>
        <v>1.3779508504874887</v>
      </c>
      <c r="AM470" s="98" t="str">
        <f t="shared" si="287"/>
        <v>1+517.226767836181i</v>
      </c>
      <c r="AN470" s="98">
        <f t="shared" si="303"/>
        <v>517.2277345292523</v>
      </c>
      <c r="AO470" s="98">
        <f t="shared" si="304"/>
        <v>1.5688629412545658</v>
      </c>
      <c r="AP470" s="168" t="str">
        <f t="shared" si="305"/>
        <v>-0.033214530300826+0.171859300265283i</v>
      </c>
      <c r="AQ470" s="98">
        <f t="shared" si="306"/>
        <v>-15.137279065329201</v>
      </c>
      <c r="AR470" s="169">
        <f t="shared" si="307"/>
        <v>100.93845705897203</v>
      </c>
      <c r="AS470" s="168" t="str">
        <f t="shared" si="308"/>
        <v>-0.00170741269698846-0.001935929589489i</v>
      </c>
      <c r="AT470" s="190">
        <f t="shared" si="309"/>
        <v>-51.763248750295475</v>
      </c>
      <c r="AU470" s="169">
        <f t="shared" si="310"/>
        <v>-131.41100851250764</v>
      </c>
      <c r="AV470" s="225"/>
      <c r="AX470">
        <f t="shared" si="311"/>
        <v>0</v>
      </c>
      <c r="AY470">
        <f t="shared" si="312"/>
        <v>0</v>
      </c>
    </row>
    <row r="471" spans="14:51" x14ac:dyDescent="0.2">
      <c r="N471" s="170">
        <v>53</v>
      </c>
      <c r="O471" s="199">
        <f t="shared" si="278"/>
        <v>338844.15613920329</v>
      </c>
      <c r="P471" s="189" t="str">
        <f t="shared" si="279"/>
        <v>6.8875</v>
      </c>
      <c r="Q471" s="160" t="str">
        <f t="shared" si="280"/>
        <v>1+532.255155819377i</v>
      </c>
      <c r="R471" s="160">
        <f t="shared" si="288"/>
        <v>532.25609521762101</v>
      </c>
      <c r="S471" s="160">
        <f t="shared" si="289"/>
        <v>1.5689175308594481</v>
      </c>
      <c r="T471" s="160" t="str">
        <f t="shared" si="281"/>
        <v>1+0.851608249311004i</v>
      </c>
      <c r="U471" s="160">
        <f t="shared" si="290"/>
        <v>1.3134826265674597</v>
      </c>
      <c r="V471" s="160">
        <f t="shared" si="291"/>
        <v>0.70542699516629903</v>
      </c>
      <c r="W471" s="98" t="str">
        <f t="shared" si="282"/>
        <v>1-2.21158652002511i</v>
      </c>
      <c r="X471" s="160">
        <f t="shared" si="292"/>
        <v>2.4271619096295938</v>
      </c>
      <c r="Y471" s="160">
        <f t="shared" si="293"/>
        <v>-1.1461442021836872</v>
      </c>
      <c r="Z471" s="98" t="str">
        <f t="shared" si="283"/>
        <v>-1.37221822623325+2.53515066190063i</v>
      </c>
      <c r="AA471" s="160">
        <f t="shared" si="294"/>
        <v>2.882702159249535</v>
      </c>
      <c r="AB471" s="160">
        <f t="shared" si="295"/>
        <v>2.0669176003457661</v>
      </c>
      <c r="AC471" s="171" t="str">
        <f t="shared" si="296"/>
        <v>-0.0084984880484057+0.0115141235094421i</v>
      </c>
      <c r="AD471" s="190">
        <f t="shared" si="297"/>
        <v>-36.886714487655851</v>
      </c>
      <c r="AE471" s="169">
        <f t="shared" si="298"/>
        <v>126.43075605565755</v>
      </c>
      <c r="AF471" s="98" t="str">
        <f t="shared" si="284"/>
        <v>-0.0000816326530612245</v>
      </c>
      <c r="AG471" s="98" t="str">
        <f t="shared" si="285"/>
        <v>0.0473068382492262i</v>
      </c>
      <c r="AH471" s="98">
        <f t="shared" si="299"/>
        <v>4.7306838249226199E-2</v>
      </c>
      <c r="AI471" s="98">
        <f t="shared" si="300"/>
        <v>1.5707963267948966</v>
      </c>
      <c r="AJ471" s="98" t="str">
        <f t="shared" si="286"/>
        <v>1+5.24034185095831i</v>
      </c>
      <c r="AK471" s="98">
        <f t="shared" si="301"/>
        <v>5.3349023154042063</v>
      </c>
      <c r="AL471" s="98">
        <f t="shared" si="302"/>
        <v>1.3822360792689516</v>
      </c>
      <c r="AM471" s="98" t="str">
        <f t="shared" si="287"/>
        <v>1+529.274526946789i</v>
      </c>
      <c r="AN471" s="98">
        <f t="shared" si="303"/>
        <v>529.27547163527936</v>
      </c>
      <c r="AO471" s="98">
        <f t="shared" si="304"/>
        <v>1.5689069503764734</v>
      </c>
      <c r="AP471" s="168" t="str">
        <f t="shared" si="305"/>
        <v>-0.0317721543595501+0.168222549614259i</v>
      </c>
      <c r="AQ471" s="98">
        <f t="shared" si="306"/>
        <v>-15.330094310688484</v>
      </c>
      <c r="AR471" s="169">
        <f t="shared" si="307"/>
        <v>100.69545307249155</v>
      </c>
      <c r="AS471" s="168" t="str">
        <f t="shared" si="308"/>
        <v>-0.00166691993923509-0.00179546583682603i</v>
      </c>
      <c r="AT471" s="190">
        <f t="shared" si="309"/>
        <v>-52.21680879834436</v>
      </c>
      <c r="AU471" s="169">
        <f t="shared" si="310"/>
        <v>-132.87379087185093</v>
      </c>
      <c r="AV471" s="225"/>
      <c r="AX471">
        <f t="shared" si="311"/>
        <v>0</v>
      </c>
      <c r="AY471">
        <f t="shared" si="312"/>
        <v>0</v>
      </c>
    </row>
    <row r="472" spans="14:51" x14ac:dyDescent="0.2">
      <c r="N472" s="170">
        <v>54</v>
      </c>
      <c r="O472" s="199">
        <f t="shared" si="278"/>
        <v>346736.85045253241</v>
      </c>
      <c r="P472" s="189" t="str">
        <f t="shared" si="279"/>
        <v>6.8875</v>
      </c>
      <c r="Q472" s="160" t="str">
        <f t="shared" si="280"/>
        <v>1+544.65297105527i</v>
      </c>
      <c r="R472" s="160">
        <f t="shared" si="288"/>
        <v>544.65388907023578</v>
      </c>
      <c r="S472" s="160">
        <f t="shared" si="289"/>
        <v>1.5689602973789656</v>
      </c>
      <c r="T472" s="160" t="str">
        <f t="shared" si="281"/>
        <v>1+0.871444753688432i</v>
      </c>
      <c r="U472" s="160">
        <f t="shared" si="290"/>
        <v>1.3264297790426345</v>
      </c>
      <c r="V472" s="160">
        <f t="shared" si="291"/>
        <v>0.71681285753484258</v>
      </c>
      <c r="W472" s="98" t="str">
        <f t="shared" si="282"/>
        <v>1-2.26310098776428i</v>
      </c>
      <c r="X472" s="160">
        <f t="shared" si="292"/>
        <v>2.474192005649452</v>
      </c>
      <c r="Y472" s="160">
        <f t="shared" si="293"/>
        <v>-1.1547225252116682</v>
      </c>
      <c r="Z472" s="98" t="str">
        <f t="shared" si="283"/>
        <v>-1.4840174268955+2.59420190669884i</v>
      </c>
      <c r="AA472" s="160">
        <f t="shared" si="294"/>
        <v>2.9886771749470427</v>
      </c>
      <c r="AB472" s="160">
        <f t="shared" si="295"/>
        <v>2.0904120045947208</v>
      </c>
      <c r="AC472" s="171" t="str">
        <f t="shared" si="296"/>
        <v>-0.00801290576653304+0.0113409239144361i</v>
      </c>
      <c r="AD472" s="190">
        <f t="shared" si="297"/>
        <v>-37.14840682416142</v>
      </c>
      <c r="AE472" s="169">
        <f t="shared" si="298"/>
        <v>125.24303566397653</v>
      </c>
      <c r="AF472" s="98" t="str">
        <f t="shared" si="284"/>
        <v>-0.0000816326530612245</v>
      </c>
      <c r="AG472" s="98" t="str">
        <f t="shared" si="285"/>
        <v>0.0484087560673923i</v>
      </c>
      <c r="AH472" s="98">
        <f t="shared" si="299"/>
        <v>4.8408756067392297E-2</v>
      </c>
      <c r="AI472" s="98">
        <f t="shared" si="300"/>
        <v>1.5707963267948966</v>
      </c>
      <c r="AJ472" s="98" t="str">
        <f t="shared" si="286"/>
        <v>1+5.3624050932412i</v>
      </c>
      <c r="AK472" s="98">
        <f t="shared" si="301"/>
        <v>5.4548499873066332</v>
      </c>
      <c r="AL472" s="98">
        <f t="shared" si="302"/>
        <v>1.386430547329756</v>
      </c>
      <c r="AM472" s="98" t="str">
        <f t="shared" si="287"/>
        <v>1+541.602914417361i</v>
      </c>
      <c r="AN472" s="98">
        <f t="shared" si="303"/>
        <v>541.60383760215291</v>
      </c>
      <c r="AO472" s="98">
        <f t="shared" si="304"/>
        <v>1.5689499577355352</v>
      </c>
      <c r="AP472" s="168" t="str">
        <f t="shared" si="305"/>
        <v>-0.0303902297897408+0.164651042999561i</v>
      </c>
      <c r="AQ472" s="98">
        <f t="shared" si="306"/>
        <v>-15.523221807476169</v>
      </c>
      <c r="AR472" s="169">
        <f t="shared" si="307"/>
        <v>100.45759189546727</v>
      </c>
      <c r="AS472" s="168" t="str">
        <f t="shared" si="308"/>
        <v>-0.00162378090356209-0.00166398657570454i</v>
      </c>
      <c r="AT472" s="190">
        <f t="shared" si="309"/>
        <v>-52.671628631637589</v>
      </c>
      <c r="AU472" s="169">
        <f t="shared" si="310"/>
        <v>-134.29937244055623</v>
      </c>
      <c r="AV472" s="225"/>
      <c r="AX472">
        <f t="shared" si="311"/>
        <v>0</v>
      </c>
      <c r="AY472">
        <f t="shared" si="312"/>
        <v>0</v>
      </c>
    </row>
    <row r="473" spans="14:51" x14ac:dyDescent="0.2">
      <c r="N473" s="170">
        <v>55</v>
      </c>
      <c r="O473" s="199">
        <f t="shared" si="278"/>
        <v>354813.38923357555</v>
      </c>
      <c r="P473" s="189" t="str">
        <f t="shared" si="279"/>
        <v>6.8875</v>
      </c>
      <c r="Q473" s="160" t="str">
        <f t="shared" si="280"/>
        <v>1+557.339568505747i</v>
      </c>
      <c r="R473" s="160">
        <f t="shared" si="288"/>
        <v>557.34046562417507</v>
      </c>
      <c r="S473" s="160">
        <f t="shared" si="289"/>
        <v>1.5690020904201385</v>
      </c>
      <c r="T473" s="160" t="str">
        <f t="shared" si="281"/>
        <v>1+0.891743309609196i</v>
      </c>
      <c r="U473" s="160">
        <f t="shared" si="290"/>
        <v>1.3398530256086905</v>
      </c>
      <c r="V473" s="160">
        <f t="shared" si="291"/>
        <v>0.72823462095913094</v>
      </c>
      <c r="W473" s="98" t="str">
        <f t="shared" si="282"/>
        <v>1-2.31581538160283i</v>
      </c>
      <c r="X473" s="160">
        <f t="shared" si="292"/>
        <v>2.5224989359102334</v>
      </c>
      <c r="Y473" s="160">
        <f t="shared" si="293"/>
        <v>-1.163168893026618</v>
      </c>
      <c r="Z473" s="98" t="str">
        <f t="shared" si="283"/>
        <v>-1.60108556155819+2.65462863168628i</v>
      </c>
      <c r="AA473" s="160">
        <f t="shared" si="294"/>
        <v>3.1000851839261894</v>
      </c>
      <c r="AB473" s="160">
        <f t="shared" si="295"/>
        <v>2.1135139527962536</v>
      </c>
      <c r="AC473" s="171" t="str">
        <f t="shared" si="296"/>
        <v>-0.0075508979737567+0.0111578831197747i</v>
      </c>
      <c r="AD473" s="190">
        <f t="shared" si="297"/>
        <v>-37.410888774714003</v>
      </c>
      <c r="AE473" s="169">
        <f t="shared" si="298"/>
        <v>124.08747457942353</v>
      </c>
      <c r="AF473" s="98" t="str">
        <f t="shared" si="284"/>
        <v>-0.0000816326530612245</v>
      </c>
      <c r="AG473" s="98" t="str">
        <f t="shared" si="285"/>
        <v>0.0495363408487909i</v>
      </c>
      <c r="AH473" s="98">
        <f t="shared" si="299"/>
        <v>4.9536340848790897E-2</v>
      </c>
      <c r="AI473" s="98">
        <f t="shared" si="300"/>
        <v>1.5707963267948966</v>
      </c>
      <c r="AJ473" s="98" t="str">
        <f t="shared" si="286"/>
        <v>1+5.48731155368431i</v>
      </c>
      <c r="AK473" s="98">
        <f t="shared" si="301"/>
        <v>5.5776866250442323</v>
      </c>
      <c r="AL473" s="98">
        <f t="shared" si="302"/>
        <v>1.390535887980116</v>
      </c>
      <c r="AM473" s="98" t="str">
        <f t="shared" si="287"/>
        <v>1+554.218466922116i</v>
      </c>
      <c r="AN473" s="98">
        <f t="shared" si="303"/>
        <v>554.21936909269107</v>
      </c>
      <c r="AO473" s="98">
        <f t="shared" si="304"/>
        <v>1.5689919861341852</v>
      </c>
      <c r="AP473" s="168" t="str">
        <f t="shared" si="305"/>
        <v>-0.0290664094146602+0.16114437886613i</v>
      </c>
      <c r="AQ473" s="98">
        <f t="shared" si="306"/>
        <v>-15.716648447972734</v>
      </c>
      <c r="AR473" s="169">
        <f t="shared" si="307"/>
        <v>100.22478125260056</v>
      </c>
      <c r="AS473" s="168" t="str">
        <f t="shared" si="308"/>
        <v>-0.00157855265284343-0.00154110436282284i</v>
      </c>
      <c r="AT473" s="190">
        <f t="shared" si="309"/>
        <v>-53.12753722268674</v>
      </c>
      <c r="AU473" s="169">
        <f t="shared" si="310"/>
        <v>-135.68774416797586</v>
      </c>
      <c r="AV473" s="225"/>
      <c r="AX473">
        <f t="shared" si="311"/>
        <v>0</v>
      </c>
      <c r="AY473">
        <f t="shared" si="312"/>
        <v>0</v>
      </c>
    </row>
    <row r="474" spans="14:51" x14ac:dyDescent="0.2">
      <c r="N474" s="170">
        <v>56</v>
      </c>
      <c r="O474" s="199">
        <f t="shared" si="278"/>
        <v>363078.05477010203</v>
      </c>
      <c r="P474" s="189" t="str">
        <f t="shared" si="279"/>
        <v>6.8875</v>
      </c>
      <c r="Q474" s="160" t="str">
        <f t="shared" si="280"/>
        <v>1+570.321674772713i</v>
      </c>
      <c r="R474" s="160">
        <f t="shared" si="288"/>
        <v>570.32255147026433</v>
      </c>
      <c r="S474" s="160">
        <f t="shared" si="289"/>
        <v>1.5690429321416062</v>
      </c>
      <c r="T474" s="160" t="str">
        <f t="shared" si="281"/>
        <v>1+0.91251467963634i</v>
      </c>
      <c r="U474" s="160">
        <f t="shared" si="290"/>
        <v>1.3537662429503154</v>
      </c>
      <c r="V474" s="160">
        <f t="shared" si="291"/>
        <v>0.7396864219752316</v>
      </c>
      <c r="W474" s="98" t="str">
        <f t="shared" si="282"/>
        <v>1-2.36975765141016i</v>
      </c>
      <c r="X474" s="160">
        <f t="shared" si="292"/>
        <v>2.5721102865967853</v>
      </c>
      <c r="Y474" s="160">
        <f t="shared" si="293"/>
        <v>-1.1714829623682157</v>
      </c>
      <c r="Z474" s="98" t="str">
        <f t="shared" si="283"/>
        <v>-1.7236709474306+2.71646287591242i</v>
      </c>
      <c r="AA474" s="160">
        <f t="shared" si="294"/>
        <v>3.2171745509416607</v>
      </c>
      <c r="AB474" s="160">
        <f t="shared" si="295"/>
        <v>2.1362177045376094</v>
      </c>
      <c r="AC474" s="171" t="str">
        <f t="shared" si="296"/>
        <v>-0.00711195462699184+0.0109664934465642i</v>
      </c>
      <c r="AD474" s="190">
        <f t="shared" si="297"/>
        <v>-37.674005812570016</v>
      </c>
      <c r="AE474" s="169">
        <f t="shared" si="298"/>
        <v>122.96408414945655</v>
      </c>
      <c r="AF474" s="98" t="str">
        <f t="shared" si="284"/>
        <v>-0.0000816326530612245</v>
      </c>
      <c r="AG474" s="98" t="str">
        <f t="shared" si="285"/>
        <v>0.0506901904537987i</v>
      </c>
      <c r="AH474" s="98">
        <f t="shared" si="299"/>
        <v>5.0690190453798703E-2</v>
      </c>
      <c r="AI474" s="98">
        <f t="shared" si="300"/>
        <v>1.5707963267948966</v>
      </c>
      <c r="AJ474" s="98" t="str">
        <f t="shared" si="286"/>
        <v>1+5.61512745934639i</v>
      </c>
      <c r="AK474" s="98">
        <f t="shared" si="301"/>
        <v>5.7034775694049893</v>
      </c>
      <c r="AL474" s="98">
        <f t="shared" si="302"/>
        <v>1.394553724129231</v>
      </c>
      <c r="AM474" s="98" t="str">
        <f t="shared" si="287"/>
        <v>1+567.127873393986i</v>
      </c>
      <c r="AN474" s="98">
        <f t="shared" si="303"/>
        <v>567.12875502868383</v>
      </c>
      <c r="AO474" s="98">
        <f t="shared" si="304"/>
        <v>1.5690330578558427</v>
      </c>
      <c r="AP474" s="168" t="str">
        <f t="shared" si="305"/>
        <v>-0.0277984212245931+0.157702101433071i</v>
      </c>
      <c r="AQ474" s="98">
        <f t="shared" si="306"/>
        <v>-15.910361635192769</v>
      </c>
      <c r="AR474" s="169">
        <f t="shared" si="307"/>
        <v>99.996929434789465</v>
      </c>
      <c r="AS474" s="168" t="str">
        <f t="shared" si="308"/>
        <v>-0.00153173795142386-0.0014264213941576i</v>
      </c>
      <c r="AT474" s="190">
        <f t="shared" si="309"/>
        <v>-53.58436744776278</v>
      </c>
      <c r="AU474" s="169">
        <f t="shared" si="310"/>
        <v>-137.03898641575387</v>
      </c>
      <c r="AV474" s="225"/>
      <c r="AX474">
        <f t="shared" si="311"/>
        <v>0</v>
      </c>
      <c r="AY474">
        <f t="shared" si="312"/>
        <v>0</v>
      </c>
    </row>
    <row r="475" spans="14:51" x14ac:dyDescent="0.2">
      <c r="N475" s="170">
        <v>57</v>
      </c>
      <c r="O475" s="199">
        <f t="shared" si="278"/>
        <v>371535.2290971732</v>
      </c>
      <c r="P475" s="189" t="str">
        <f t="shared" si="279"/>
        <v>6.8875</v>
      </c>
      <c r="Q475" s="160" t="str">
        <f t="shared" si="280"/>
        <v>1+583.60617314074i</v>
      </c>
      <c r="R475" s="160">
        <f t="shared" si="288"/>
        <v>583.6070298822483</v>
      </c>
      <c r="S475" s="160">
        <f t="shared" si="289"/>
        <v>1.5690828441976443</v>
      </c>
      <c r="T475" s="160" t="str">
        <f t="shared" si="281"/>
        <v>1+0.933769877025184i</v>
      </c>
      <c r="U475" s="160">
        <f t="shared" si="290"/>
        <v>1.3681835341940156</v>
      </c>
      <c r="V475" s="160">
        <f t="shared" si="291"/>
        <v>0.75116231880007023</v>
      </c>
      <c r="W475" s="98" t="str">
        <f t="shared" si="282"/>
        <v>1-2.42495639809172i</v>
      </c>
      <c r="X475" s="160">
        <f t="shared" si="292"/>
        <v>2.6230542374579233</v>
      </c>
      <c r="Y475" s="160">
        <f t="shared" si="293"/>
        <v>-1.1796645428174823</v>
      </c>
      <c r="Z475" s="98" t="str">
        <f t="shared" si="283"/>
        <v>-1.85203360455142+2.77973742471201i</v>
      </c>
      <c r="AA475" s="160">
        <f t="shared" si="294"/>
        <v>3.3402048773589148</v>
      </c>
      <c r="AB475" s="160">
        <f t="shared" si="295"/>
        <v>2.1585187711311646</v>
      </c>
      <c r="AC475" s="171" t="str">
        <f t="shared" si="296"/>
        <v>-0.00669549082699495+0.0107681509600832i</v>
      </c>
      <c r="AD475" s="190">
        <f t="shared" si="297"/>
        <v>-37.93760756814229</v>
      </c>
      <c r="AE475" s="169">
        <f t="shared" si="298"/>
        <v>121.87279078734396</v>
      </c>
      <c r="AF475" s="98" t="str">
        <f t="shared" si="284"/>
        <v>-0.0000816326530612245</v>
      </c>
      <c r="AG475" s="98" t="str">
        <f t="shared" si="285"/>
        <v>0.051870916668749i</v>
      </c>
      <c r="AH475" s="98">
        <f t="shared" si="299"/>
        <v>5.1870916668748997E-2</v>
      </c>
      <c r="AI475" s="98">
        <f t="shared" si="300"/>
        <v>1.5707963267948966</v>
      </c>
      <c r="AJ475" s="98" t="str">
        <f t="shared" si="286"/>
        <v>1+5.7459205799124i</v>
      </c>
      <c r="AK475" s="98">
        <f t="shared" si="301"/>
        <v>5.8322897142255243</v>
      </c>
      <c r="AL475" s="98">
        <f t="shared" si="302"/>
        <v>1.3984856669511598</v>
      </c>
      <c r="AM475" s="98" t="str">
        <f t="shared" si="287"/>
        <v>1+580.337978571152i</v>
      </c>
      <c r="AN475" s="98">
        <f t="shared" si="303"/>
        <v>580.3388401374242</v>
      </c>
      <c r="AO475" s="98">
        <f t="shared" si="304"/>
        <v>1.5690731946767233</v>
      </c>
      <c r="AP475" s="168" t="str">
        <f t="shared" si="305"/>
        <v>-0.026584067382686+0.154323705255406i</v>
      </c>
      <c r="AQ475" s="98">
        <f t="shared" si="306"/>
        <v>-16.104349266370399</v>
      </c>
      <c r="AR475" s="169">
        <f t="shared" si="307"/>
        <v>99.773945376245692</v>
      </c>
      <c r="AS475" s="168" t="str">
        <f t="shared" si="308"/>
        <v>-0.00148378757560461-0.00131953420363523i</v>
      </c>
      <c r="AT475" s="190">
        <f t="shared" si="309"/>
        <v>-54.041956834512675</v>
      </c>
      <c r="AU475" s="169">
        <f t="shared" si="310"/>
        <v>-138.35326383641038</v>
      </c>
      <c r="AV475" s="225"/>
      <c r="AX475">
        <f t="shared" si="311"/>
        <v>0</v>
      </c>
      <c r="AY475">
        <f t="shared" si="312"/>
        <v>0</v>
      </c>
    </row>
    <row r="476" spans="14:51" x14ac:dyDescent="0.2">
      <c r="N476" s="170">
        <v>58</v>
      </c>
      <c r="O476" s="199">
        <f t="shared" si="278"/>
        <v>380189.39632056188</v>
      </c>
      <c r="P476" s="189" t="str">
        <f t="shared" si="279"/>
        <v>6.8875</v>
      </c>
      <c r="Q476" s="160" t="str">
        <f t="shared" si="280"/>
        <v>1+597.200107226707i</v>
      </c>
      <c r="R476" s="160">
        <f t="shared" si="288"/>
        <v>597.2009444664252</v>
      </c>
      <c r="S476" s="160">
        <f t="shared" si="289"/>
        <v>1.5691218477496449</v>
      </c>
      <c r="T476" s="160" t="str">
        <f t="shared" si="281"/>
        <v>1+0.955520171562732i</v>
      </c>
      <c r="U476" s="160">
        <f t="shared" si="290"/>
        <v>1.3831192277830833</v>
      </c>
      <c r="V476" s="160">
        <f t="shared" si="291"/>
        <v>0.76265630646601623</v>
      </c>
      <c r="W476" s="98" t="str">
        <f t="shared" si="282"/>
        <v>1-2.48144088875363i</v>
      </c>
      <c r="X476" s="160">
        <f t="shared" si="292"/>
        <v>2.6753595803888501</v>
      </c>
      <c r="Y476" s="160">
        <f t="shared" si="293"/>
        <v>-1.1877135900208144</v>
      </c>
      <c r="Z476" s="98" t="str">
        <f t="shared" si="283"/>
        <v>-1.98644580732631+2.84448582708834i</v>
      </c>
      <c r="AA476" s="160">
        <f t="shared" si="294"/>
        <v>3.4694475880103326</v>
      </c>
      <c r="AB476" s="160">
        <f t="shared" si="295"/>
        <v>2.1804138444192058</v>
      </c>
      <c r="AC476" s="171" t="str">
        <f t="shared" si="296"/>
        <v>-0.00630085897207936+0.0105641537247407i</v>
      </c>
      <c r="AD476" s="190">
        <f t="shared" si="297"/>
        <v>-38.201548497956892</v>
      </c>
      <c r="AE476" s="169">
        <f t="shared" si="298"/>
        <v>120.81344130607555</v>
      </c>
      <c r="AF476" s="98" t="str">
        <f t="shared" si="284"/>
        <v>-0.0000816326530612245</v>
      </c>
      <c r="AG476" s="98" t="str">
        <f t="shared" si="285"/>
        <v>0.0530791455303098i</v>
      </c>
      <c r="AH476" s="98">
        <f t="shared" si="299"/>
        <v>5.3079145530309797E-2</v>
      </c>
      <c r="AI476" s="98">
        <f t="shared" si="300"/>
        <v>1.5707963267948966</v>
      </c>
      <c r="AJ476" s="98" t="str">
        <f t="shared" si="286"/>
        <v>1+5.87976026362612i</v>
      </c>
      <c r="AK476" s="98">
        <f t="shared" si="301"/>
        <v>5.9641915426750591</v>
      </c>
      <c r="AL476" s="98">
        <f t="shared" si="302"/>
        <v>1.4023333146640991</v>
      </c>
      <c r="AM476" s="98" t="str">
        <f t="shared" si="287"/>
        <v>1+593.855786626238i</v>
      </c>
      <c r="AN476" s="98">
        <f t="shared" si="303"/>
        <v>593.85662858089574</v>
      </c>
      <c r="AO476" s="98">
        <f t="shared" si="304"/>
        <v>1.5691124178773834</v>
      </c>
      <c r="AP476" s="168" t="str">
        <f t="shared" si="305"/>
        <v>-0.02542122310033+0.151008639547856i</v>
      </c>
      <c r="AQ476" s="98">
        <f t="shared" si="306"/>
        <v>-16.298599716679281</v>
      </c>
      <c r="AR476" s="169">
        <f t="shared" si="307"/>
        <v>99.555738725097953</v>
      </c>
      <c r="AS476" s="168" t="str">
        <f t="shared" si="308"/>
        <v>-0.00143510294029456-0.00122003785005942i</v>
      </c>
      <c r="AT476" s="190">
        <f t="shared" si="309"/>
        <v>-54.500148214636191</v>
      </c>
      <c r="AU476" s="169">
        <f t="shared" si="310"/>
        <v>-139.63081996882647</v>
      </c>
      <c r="AV476" s="225"/>
      <c r="AX476">
        <f t="shared" si="311"/>
        <v>0</v>
      </c>
      <c r="AY476">
        <f t="shared" si="312"/>
        <v>0</v>
      </c>
    </row>
    <row r="477" spans="14:51" x14ac:dyDescent="0.2">
      <c r="N477" s="170">
        <v>59</v>
      </c>
      <c r="O477" s="199">
        <f t="shared" si="278"/>
        <v>389045.14499428123</v>
      </c>
      <c r="P477" s="189" t="str">
        <f t="shared" si="279"/>
        <v>6.8875</v>
      </c>
      <c r="Q477" s="160" t="str">
        <f t="shared" si="280"/>
        <v>1+611.110684714405i</v>
      </c>
      <c r="R477" s="160">
        <f t="shared" si="288"/>
        <v>611.11150289624629</v>
      </c>
      <c r="S477" s="160">
        <f t="shared" si="289"/>
        <v>1.5691599634773323</v>
      </c>
      <c r="T477" s="160" t="str">
        <f t="shared" si="281"/>
        <v>1+0.977777095543048i</v>
      </c>
      <c r="U477" s="160">
        <f t="shared" si="290"/>
        <v>1.3985878765986064</v>
      </c>
      <c r="V477" s="160">
        <f t="shared" si="291"/>
        <v>0.77416233235741061</v>
      </c>
      <c r="W477" s="98" t="str">
        <f t="shared" si="282"/>
        <v>1-2.53924107222052i</v>
      </c>
      <c r="X477" s="160">
        <f t="shared" si="292"/>
        <v>2.7290557383189546</v>
      </c>
      <c r="Y477" s="160">
        <f t="shared" si="293"/>
        <v>-1.1956301988457101</v>
      </c>
      <c r="Z477" s="98" t="str">
        <f t="shared" si="283"/>
        <v>-2.12719266205829+2.91074241350143i</v>
      </c>
      <c r="AA477" s="160">
        <f t="shared" si="294"/>
        <v>3.6051865443095683</v>
      </c>
      <c r="AB477" s="160">
        <f t="shared" si="295"/>
        <v>2.2019007225171974</v>
      </c>
      <c r="AC477" s="171" t="str">
        <f t="shared" si="296"/>
        <v>-0.00592736033550736+0.0103557014566065i</v>
      </c>
      <c r="AD477" s="190">
        <f t="shared" si="297"/>
        <v>-38.465688459460708</v>
      </c>
      <c r="AE477" s="169">
        <f t="shared" si="298"/>
        <v>119.78580845464145</v>
      </c>
      <c r="AF477" s="98" t="str">
        <f t="shared" si="284"/>
        <v>-0.0000816326530612245</v>
      </c>
      <c r="AG477" s="98" t="str">
        <f t="shared" si="285"/>
        <v>0.0543155176574163i</v>
      </c>
      <c r="AH477" s="98">
        <f t="shared" si="299"/>
        <v>5.4315517657416303E-2</v>
      </c>
      <c r="AI477" s="98">
        <f t="shared" si="300"/>
        <v>1.5707963267948966</v>
      </c>
      <c r="AJ477" s="98" t="str">
        <f t="shared" si="286"/>
        <v>1+6.01671747405945i</v>
      </c>
      <c r="AK477" s="98">
        <f t="shared" si="301"/>
        <v>6.0992531643351491</v>
      </c>
      <c r="AL477" s="98">
        <f t="shared" si="302"/>
        <v>1.406098251417049</v>
      </c>
      <c r="AM477" s="98" t="str">
        <f t="shared" si="287"/>
        <v>1+607.688464880005i</v>
      </c>
      <c r="AN477" s="98">
        <f t="shared" si="303"/>
        <v>607.68928766946101</v>
      </c>
      <c r="AO477" s="98">
        <f t="shared" si="304"/>
        <v>1.5691507482540001</v>
      </c>
      <c r="AP477" s="168" t="str">
        <f t="shared" si="305"/>
        <v>-0.0243078353992992+0.147756312276859i</v>
      </c>
      <c r="AQ477" s="98">
        <f t="shared" si="306"/>
        <v>-16.493101823213944</v>
      </c>
      <c r="AR477" s="169">
        <f t="shared" si="307"/>
        <v>99.34221990782747</v>
      </c>
      <c r="AS477" s="168" t="str">
        <f t="shared" si="308"/>
        <v>-0.00138603895888043-0.00112752959116217i</v>
      </c>
      <c r="AT477" s="190">
        <f t="shared" si="309"/>
        <v>-54.958790282674627</v>
      </c>
      <c r="AU477" s="169">
        <f t="shared" si="310"/>
        <v>-140.87197163753106</v>
      </c>
      <c r="AV477" s="225"/>
      <c r="AX477">
        <f t="shared" si="311"/>
        <v>0</v>
      </c>
      <c r="AY477">
        <f t="shared" si="312"/>
        <v>0</v>
      </c>
    </row>
    <row r="478" spans="14:51" x14ac:dyDescent="0.2">
      <c r="N478" s="170">
        <v>60</v>
      </c>
      <c r="O478" s="199">
        <f t="shared" si="278"/>
        <v>398107.17055349716</v>
      </c>
      <c r="P478" s="189" t="str">
        <f t="shared" si="279"/>
        <v>6.8875</v>
      </c>
      <c r="Q478" s="160" t="str">
        <f t="shared" si="280"/>
        <v>1+625.345281176143i</v>
      </c>
      <c r="R478" s="160">
        <f t="shared" si="288"/>
        <v>625.34608073391587</v>
      </c>
      <c r="S478" s="160">
        <f t="shared" si="289"/>
        <v>1.5691972115897266</v>
      </c>
      <c r="T478" s="160" t="str">
        <f t="shared" si="281"/>
        <v>1+1.00055244988183i</v>
      </c>
      <c r="U478" s="160">
        <f t="shared" si="290"/>
        <v>1.4146042573683042</v>
      </c>
      <c r="V478" s="160">
        <f t="shared" si="291"/>
        <v>0.78567431205219596</v>
      </c>
      <c r="W478" s="98" t="str">
        <f t="shared" si="282"/>
        <v>1-2.59838759491472i</v>
      </c>
      <c r="X478" s="160">
        <f t="shared" si="292"/>
        <v>2.7841727844023447</v>
      </c>
      <c r="Y478" s="160">
        <f t="shared" si="293"/>
        <v>-1.203414596505453</v>
      </c>
      <c r="Z478" s="98" t="str">
        <f t="shared" si="283"/>
        <v>-2.27457271169651+2.97854231407037i</v>
      </c>
      <c r="AA478" s="160">
        <f t="shared" si="294"/>
        <v>3.7477186844135053</v>
      </c>
      <c r="AB478" s="160">
        <f t="shared" si="295"/>
        <v>2.2229782337615642</v>
      </c>
      <c r="AC478" s="171" t="str">
        <f t="shared" si="296"/>
        <v>-0.00557425594034111+0.0101438963991262i</v>
      </c>
      <c r="AD478" s="190">
        <f t="shared" si="297"/>
        <v>-38.729893194131513</v>
      </c>
      <c r="AE478" s="169">
        <f t="shared" si="298"/>
        <v>118.78959657646151</v>
      </c>
      <c r="AF478" s="98" t="str">
        <f t="shared" si="284"/>
        <v>-0.0000816326530612245</v>
      </c>
      <c r="AG478" s="98" t="str">
        <f t="shared" si="285"/>
        <v>0.0555806885909356i</v>
      </c>
      <c r="AH478" s="98">
        <f t="shared" si="299"/>
        <v>5.5580688590935602E-2</v>
      </c>
      <c r="AI478" s="98">
        <f t="shared" si="300"/>
        <v>1.5707963267948966</v>
      </c>
      <c r="AJ478" s="98" t="str">
        <f t="shared" si="286"/>
        <v>1+6.15686482773818i</v>
      </c>
      <c r="AK478" s="98">
        <f t="shared" si="301"/>
        <v>6.2375463530974642</v>
      </c>
      <c r="AL478" s="98">
        <f t="shared" si="302"/>
        <v>1.4097820462780588</v>
      </c>
      <c r="AM478" s="98" t="str">
        <f t="shared" si="287"/>
        <v>1+621.843347601556i</v>
      </c>
      <c r="AN478" s="98">
        <f t="shared" si="303"/>
        <v>621.84415166206213</v>
      </c>
      <c r="AO478" s="98">
        <f t="shared" si="304"/>
        <v>1.5691882061293954</v>
      </c>
      <c r="AP478" s="168" t="str">
        <f t="shared" si="305"/>
        <v>-0.0232419217765312+0.144566094027519i</v>
      </c>
      <c r="AQ478" s="98">
        <f t="shared" si="306"/>
        <v>-16.687844869256448</v>
      </c>
      <c r="AR478" s="169">
        <f t="shared" si="307"/>
        <v>99.133300187869366</v>
      </c>
      <c r="AS478" s="168" t="str">
        <f t="shared" si="308"/>
        <v>-0.00133690706011372-0.00104161205502254i</v>
      </c>
      <c r="AT478" s="190">
        <f t="shared" si="309"/>
        <v>-55.417738063387944</v>
      </c>
      <c r="AU478" s="169">
        <f t="shared" si="310"/>
        <v>-142.07710323566906</v>
      </c>
      <c r="AV478" s="225"/>
      <c r="AX478">
        <f t="shared" si="311"/>
        <v>0</v>
      </c>
      <c r="AY478">
        <f t="shared" si="312"/>
        <v>0</v>
      </c>
    </row>
    <row r="479" spans="14:51" x14ac:dyDescent="0.2">
      <c r="N479" s="170">
        <v>61</v>
      </c>
      <c r="O479" s="199">
        <f t="shared" si="278"/>
        <v>407380.27780411334</v>
      </c>
      <c r="P479" s="189" t="str">
        <f t="shared" si="279"/>
        <v>6.8875</v>
      </c>
      <c r="Q479" s="160" t="str">
        <f t="shared" si="280"/>
        <v>1+639.911443983385i</v>
      </c>
      <c r="R479" s="160">
        <f t="shared" si="288"/>
        <v>639.91222534102349</v>
      </c>
      <c r="S479" s="160">
        <f t="shared" si="289"/>
        <v>1.5692336118358565</v>
      </c>
      <c r="T479" s="160" t="str">
        <f t="shared" si="281"/>
        <v>1+1.02385831037342i</v>
      </c>
      <c r="U479" s="160">
        <f t="shared" si="290"/>
        <v>1.4311833704039165</v>
      </c>
      <c r="V479" s="160">
        <f t="shared" si="291"/>
        <v>0.7971861453681468</v>
      </c>
      <c r="W479" s="98" t="str">
        <f t="shared" si="282"/>
        <v>1-2.65891181710548i</v>
      </c>
      <c r="X479" s="160">
        <f t="shared" si="292"/>
        <v>2.8407414615102105</v>
      </c>
      <c r="Y479" s="160">
        <f t="shared" si="293"/>
        <v>-1.2110671356871527</v>
      </c>
      <c r="Z479" s="98" t="str">
        <f t="shared" si="283"/>
        <v>-2.42889856908587+3.04792147719992i</v>
      </c>
      <c r="AA479" s="160">
        <f t="shared" si="294"/>
        <v>3.897354691336667</v>
      </c>
      <c r="AB479" s="160">
        <f t="shared" si="295"/>
        <v>2.2436461599923585</v>
      </c>
      <c r="AC479" s="171" t="str">
        <f t="shared" si="296"/>
        <v>-0.0052407766401114+0.00992974524564347i</v>
      </c>
      <c r="AD479" s="190">
        <f t="shared" si="297"/>
        <v>-38.994034722504686</v>
      </c>
      <c r="AE479" s="169">
        <f t="shared" si="298"/>
        <v>117.8244473174649</v>
      </c>
      <c r="AF479" s="98" t="str">
        <f t="shared" si="284"/>
        <v>-0.0000816326530612245</v>
      </c>
      <c r="AG479" s="98" t="str">
        <f t="shared" si="285"/>
        <v>0.0568753291412433i</v>
      </c>
      <c r="AH479" s="98">
        <f t="shared" si="299"/>
        <v>5.6875329141243297E-2</v>
      </c>
      <c r="AI479" s="98">
        <f t="shared" si="300"/>
        <v>1.5707963267948966</v>
      </c>
      <c r="AJ479" s="98" t="str">
        <f t="shared" si="286"/>
        <v>1+6.30027663264434i</v>
      </c>
      <c r="AK479" s="98">
        <f t="shared" si="301"/>
        <v>6.3791445859021181</v>
      </c>
      <c r="AL479" s="98">
        <f t="shared" si="302"/>
        <v>1.4133862523184029</v>
      </c>
      <c r="AM479" s="98" t="str">
        <f t="shared" si="287"/>
        <v>1+636.327939897078i</v>
      </c>
      <c r="AN479" s="98">
        <f t="shared" si="303"/>
        <v>636.32872565495506</v>
      </c>
      <c r="AO479" s="98">
        <f t="shared" si="304"/>
        <v>1.5692248113638103</v>
      </c>
      <c r="AP479" s="168" t="str">
        <f t="shared" si="305"/>
        <v>-0.0222215687861878+0.14143732165263i</v>
      </c>
      <c r="AQ479" s="98">
        <f t="shared" si="306"/>
        <v>-16.88281856884635</v>
      </c>
      <c r="AR479" s="169">
        <f t="shared" si="307"/>
        <v>98.928891718702104</v>
      </c>
      <c r="AS479" s="168" t="str">
        <f t="shared" si="308"/>
        <v>-0.00128797829363547-0.000961895928362413i</v>
      </c>
      <c r="AT479" s="190">
        <f t="shared" si="309"/>
        <v>-55.876853291351026</v>
      </c>
      <c r="AU479" s="169">
        <f t="shared" si="310"/>
        <v>-143.24666096383305</v>
      </c>
      <c r="AV479" s="225"/>
      <c r="AX479">
        <f t="shared" si="311"/>
        <v>0</v>
      </c>
      <c r="AY479">
        <f t="shared" si="312"/>
        <v>0</v>
      </c>
    </row>
    <row r="480" spans="14:51" x14ac:dyDescent="0.2">
      <c r="N480" s="170">
        <v>62</v>
      </c>
      <c r="O480" s="199">
        <f t="shared" si="278"/>
        <v>416869.38347033598</v>
      </c>
      <c r="P480" s="189" t="str">
        <f t="shared" si="279"/>
        <v>6.8875</v>
      </c>
      <c r="Q480" s="160" t="str">
        <f t="shared" si="280"/>
        <v>1+654.816896308457i</v>
      </c>
      <c r="R480" s="160">
        <f t="shared" si="288"/>
        <v>654.81765988024529</v>
      </c>
      <c r="S480" s="160">
        <f t="shared" si="289"/>
        <v>1.5692691835152279</v>
      </c>
      <c r="T480" s="160" t="str">
        <f t="shared" si="281"/>
        <v>1+1.04770703409353i</v>
      </c>
      <c r="U480" s="160">
        <f t="shared" si="290"/>
        <v>1.4483404397064459</v>
      </c>
      <c r="V480" s="160">
        <f t="shared" si="291"/>
        <v>0.80869173251074056</v>
      </c>
      <c r="W480" s="98" t="str">
        <f t="shared" si="282"/>
        <v>1-2.72084582953653i</v>
      </c>
      <c r="X480" s="160">
        <f t="shared" si="292"/>
        <v>2.8987932020249958</v>
      </c>
      <c r="Y480" s="160">
        <f t="shared" si="293"/>
        <v>-1.2185882877145255</v>
      </c>
      <c r="Z480" s="98" t="str">
        <f t="shared" si="283"/>
        <v>-2.59049758006071+3.11891668864069i</v>
      </c>
      <c r="AA480" s="160">
        <f t="shared" si="294"/>
        <v>4.0544196900397234</v>
      </c>
      <c r="AB480" s="160">
        <f t="shared" si="295"/>
        <v>2.2639051601609781</v>
      </c>
      <c r="AC480" s="171" t="str">
        <f t="shared" si="296"/>
        <v>-0.00492613234511974+0.00971416193571588i</v>
      </c>
      <c r="AD480" s="190">
        <f t="shared" si="297"/>
        <v>-39.257991655648404</v>
      </c>
      <c r="AE480" s="169">
        <f t="shared" si="298"/>
        <v>116.88994531939601</v>
      </c>
      <c r="AF480" s="98" t="str">
        <f t="shared" si="284"/>
        <v>-0.0000816326530612245</v>
      </c>
      <c r="AG480" s="98" t="str">
        <f t="shared" si="285"/>
        <v>0.0582001257438957i</v>
      </c>
      <c r="AH480" s="98">
        <f t="shared" si="299"/>
        <v>5.82001257438957E-2</v>
      </c>
      <c r="AI480" s="98">
        <f t="shared" si="300"/>
        <v>1.5707963267948966</v>
      </c>
      <c r="AJ480" s="98" t="str">
        <f t="shared" si="286"/>
        <v>1+6.44702892761515i</v>
      </c>
      <c r="AK480" s="98">
        <f t="shared" si="301"/>
        <v>6.5241230823388472</v>
      </c>
      <c r="AL480" s="98">
        <f t="shared" si="302"/>
        <v>1.4169124057872193</v>
      </c>
      <c r="AM480" s="98" t="str">
        <f t="shared" si="287"/>
        <v>1+651.14992168913i</v>
      </c>
      <c r="AN480" s="98">
        <f t="shared" si="303"/>
        <v>651.15068956099572</v>
      </c>
      <c r="AO480" s="98">
        <f t="shared" si="304"/>
        <v>1.5692605833654318</v>
      </c>
      <c r="AP480" s="168" t="str">
        <f t="shared" si="305"/>
        <v>-0.0212449305524367+0.138369301711139i</v>
      </c>
      <c r="AQ480" s="98">
        <f t="shared" si="306"/>
        <v>-17.078013051673476</v>
      </c>
      <c r="AR480" s="169">
        <f t="shared" si="307"/>
        <v>98.728907591741148</v>
      </c>
      <c r="AS480" s="168" t="str">
        <f t="shared" si="308"/>
        <v>-0.00123948646418975-0.000888002188430282i</v>
      </c>
      <c r="AT480" s="190">
        <f t="shared" si="309"/>
        <v>-56.336004707321891</v>
      </c>
      <c r="AU480" s="169">
        <f t="shared" si="310"/>
        <v>-144.3811470888628</v>
      </c>
      <c r="AV480" s="225"/>
      <c r="AX480">
        <f t="shared" si="311"/>
        <v>0</v>
      </c>
      <c r="AY480">
        <f t="shared" si="312"/>
        <v>0</v>
      </c>
    </row>
    <row r="481" spans="14:51" x14ac:dyDescent="0.2">
      <c r="N481" s="170">
        <v>63</v>
      </c>
      <c r="O481" s="199">
        <f t="shared" si="278"/>
        <v>426579.51880159322</v>
      </c>
      <c r="P481" s="189" t="str">
        <f t="shared" si="279"/>
        <v>6.8875</v>
      </c>
      <c r="Q481" s="160" t="str">
        <f t="shared" si="280"/>
        <v>1+670.069541219478i</v>
      </c>
      <c r="R481" s="160">
        <f t="shared" si="288"/>
        <v>670.07028741026988</v>
      </c>
      <c r="S481" s="160">
        <f t="shared" si="289"/>
        <v>1.569303945488056</v>
      </c>
      <c r="T481" s="160" t="str">
        <f t="shared" si="281"/>
        <v>1+1.07211126595116i</v>
      </c>
      <c r="U481" s="160">
        <f t="shared" si="290"/>
        <v>1.4660909134768549</v>
      </c>
      <c r="V481" s="160">
        <f t="shared" si="291"/>
        <v>0.82018499021855329</v>
      </c>
      <c r="W481" s="98" t="str">
        <f t="shared" si="282"/>
        <v>1-2.78422247044104i</v>
      </c>
      <c r="X481" s="160">
        <f t="shared" si="292"/>
        <v>2.9583601479381798</v>
      </c>
      <c r="Y481" s="160">
        <f t="shared" si="293"/>
        <v>-1.2259786357739597</v>
      </c>
      <c r="Z481" s="98" t="str">
        <f t="shared" si="283"/>
        <v>-2.75971251778924+3.19156559099351i</v>
      </c>
      <c r="AA481" s="160">
        <f t="shared" si="294"/>
        <v>4.2192539746330011</v>
      </c>
      <c r="AB481" s="160">
        <f t="shared" si="295"/>
        <v>2.283756695112237</v>
      </c>
      <c r="AC481" s="171" t="str">
        <f t="shared" si="296"/>
        <v>-0.00462952036200311+0.00949797115982785i</v>
      </c>
      <c r="AD481" s="190">
        <f t="shared" si="297"/>
        <v>-39.521649428309331</v>
      </c>
      <c r="AE481" s="169">
        <f t="shared" si="298"/>
        <v>115.98562384207753</v>
      </c>
      <c r="AF481" s="98" t="str">
        <f t="shared" si="284"/>
        <v>-0.0000816326530612245</v>
      </c>
      <c r="AG481" s="98" t="str">
        <f t="shared" si="285"/>
        <v>0.0595557808235871i</v>
      </c>
      <c r="AH481" s="98">
        <f t="shared" si="299"/>
        <v>5.9555780823587097E-2</v>
      </c>
      <c r="AI481" s="98">
        <f t="shared" si="300"/>
        <v>1.5707963267948966</v>
      </c>
      <c r="AJ481" s="98" t="str">
        <f t="shared" si="286"/>
        <v>1+6.59719952265989i</v>
      </c>
      <c r="AK481" s="98">
        <f t="shared" si="301"/>
        <v>6.6725588451345921</v>
      </c>
      <c r="AL481" s="98">
        <f t="shared" si="302"/>
        <v>1.420362025371352</v>
      </c>
      <c r="AM481" s="98" t="str">
        <f t="shared" si="287"/>
        <v>1+666.317151788649i</v>
      </c>
      <c r="AN481" s="98">
        <f t="shared" si="303"/>
        <v>666.3179021816369</v>
      </c>
      <c r="AO481" s="98">
        <f t="shared" si="304"/>
        <v>1.5692955411006824</v>
      </c>
      <c r="AP481" s="168" t="str">
        <f t="shared" si="305"/>
        <v>-0.0203102272252601+0.13536131370372i</v>
      </c>
      <c r="AQ481" s="98">
        <f t="shared" si="306"/>
        <v>-17.27341884830529</v>
      </c>
      <c r="AR481" s="169">
        <f t="shared" si="307"/>
        <v>98.533261879335896</v>
      </c>
      <c r="AS481" s="168" t="str">
        <f t="shared" si="308"/>
        <v>-0.00119163124321809-0.000819563910453933i</v>
      </c>
      <c r="AT481" s="190">
        <f t="shared" si="309"/>
        <v>-56.795068276614629</v>
      </c>
      <c r="AU481" s="169">
        <f t="shared" si="310"/>
        <v>-145.48111427858655</v>
      </c>
      <c r="AV481" s="225"/>
      <c r="AX481">
        <f t="shared" si="311"/>
        <v>0</v>
      </c>
      <c r="AY481">
        <f t="shared" si="312"/>
        <v>0</v>
      </c>
    </row>
    <row r="482" spans="14:51" x14ac:dyDescent="0.2">
      <c r="N482" s="170">
        <v>64</v>
      </c>
      <c r="O482" s="199">
        <f t="shared" si="278"/>
        <v>436515.83224016649</v>
      </c>
      <c r="P482" s="189" t="str">
        <f t="shared" si="279"/>
        <v>6.8875</v>
      </c>
      <c r="Q482" s="160" t="str">
        <f t="shared" si="280"/>
        <v>1+685.67746587067i</v>
      </c>
      <c r="R482" s="160">
        <f t="shared" si="288"/>
        <v>685.67819507610398</v>
      </c>
      <c r="S482" s="160">
        <f t="shared" si="289"/>
        <v>1.5693379161852625</v>
      </c>
      <c r="T482" s="160" t="str">
        <f t="shared" si="281"/>
        <v>1+1.09708394539307i</v>
      </c>
      <c r="U482" s="160">
        <f t="shared" si="290"/>
        <v>1.4844504650675361</v>
      </c>
      <c r="V482" s="160">
        <f t="shared" si="291"/>
        <v>0.83165986780199275</v>
      </c>
      <c r="W482" s="98" t="str">
        <f t="shared" si="282"/>
        <v>1-2.84907534295292i</v>
      </c>
      <c r="X482" s="160">
        <f t="shared" si="292"/>
        <v>3.0194751712544843</v>
      </c>
      <c r="Y482" s="160">
        <f t="shared" si="293"/>
        <v>-1.2332388682294935</v>
      </c>
      <c r="Z482" s="98" t="str">
        <f t="shared" si="283"/>
        <v>-2.93690230984142+3.26590670366803i</v>
      </c>
      <c r="AA482" s="160">
        <f t="shared" si="294"/>
        <v>4.3922137669534758</v>
      </c>
      <c r="AB482" s="160">
        <f t="shared" si="295"/>
        <v>2.3032029542530985</v>
      </c>
      <c r="AC482" s="171" t="str">
        <f t="shared" si="296"/>
        <v>-0.0043501328381029+0.0092819124179233i</v>
      </c>
      <c r="AD482" s="190">
        <f t="shared" si="297"/>
        <v>-39.784900459429871</v>
      </c>
      <c r="AE482" s="169">
        <f t="shared" si="298"/>
        <v>115.11097026638566</v>
      </c>
      <c r="AF482" s="98" t="str">
        <f t="shared" si="284"/>
        <v>-0.0000816326530612245</v>
      </c>
      <c r="AG482" s="98" t="str">
        <f t="shared" si="285"/>
        <v>0.0609430131665852i</v>
      </c>
      <c r="AH482" s="98">
        <f t="shared" si="299"/>
        <v>6.0943013166585201E-2</v>
      </c>
      <c r="AI482" s="98">
        <f t="shared" si="300"/>
        <v>1.5707963267948966</v>
      </c>
      <c r="AJ482" s="98" t="str">
        <f t="shared" si="286"/>
        <v>1+6.75086804021579i</v>
      </c>
      <c r="AK482" s="98">
        <f t="shared" si="301"/>
        <v>6.8245307015506196</v>
      </c>
      <c r="AL482" s="98">
        <f t="shared" si="302"/>
        <v>1.4237366115353127</v>
      </c>
      <c r="AM482" s="98" t="str">
        <f t="shared" si="287"/>
        <v>1+681.837672061795i</v>
      </c>
      <c r="AN482" s="98">
        <f t="shared" si="303"/>
        <v>681.83840537377182</v>
      </c>
      <c r="AO482" s="98">
        <f t="shared" si="304"/>
        <v>1.5693297031042739</v>
      </c>
      <c r="AP482" s="168" t="str">
        <f t="shared" si="305"/>
        <v>-0.0194157433905303+0.132412613113225i</v>
      </c>
      <c r="AQ482" s="98">
        <f t="shared" si="306"/>
        <v>-17.469026875760825</v>
      </c>
      <c r="AR482" s="169">
        <f t="shared" si="307"/>
        <v>98.34186967316316</v>
      </c>
      <c r="AS482" s="168" t="str">
        <f t="shared" si="308"/>
        <v>-0.00114458121504599-0.00075622768616263i</v>
      </c>
      <c r="AT482" s="190">
        <f t="shared" si="309"/>
        <v>-57.25392733519071</v>
      </c>
      <c r="AU482" s="169">
        <f t="shared" si="310"/>
        <v>-146.54716006045115</v>
      </c>
      <c r="AV482" s="225"/>
      <c r="AX482">
        <f t="shared" si="311"/>
        <v>0</v>
      </c>
      <c r="AY482">
        <f t="shared" si="312"/>
        <v>0</v>
      </c>
    </row>
    <row r="483" spans="14:51" x14ac:dyDescent="0.2">
      <c r="N483" s="170">
        <v>65</v>
      </c>
      <c r="O483" s="199">
        <f t="shared" si="278"/>
        <v>446683.59215096442</v>
      </c>
      <c r="P483" s="189" t="str">
        <f t="shared" si="279"/>
        <v>6.8875</v>
      </c>
      <c r="Q483" s="160" t="str">
        <f t="shared" si="280"/>
        <v>1+701.648945790285i</v>
      </c>
      <c r="R483" s="160">
        <f t="shared" si="288"/>
        <v>701.64965839699391</v>
      </c>
      <c r="S483" s="160">
        <f t="shared" si="289"/>
        <v>1.5693711136182473</v>
      </c>
      <c r="T483" s="160" t="str">
        <f t="shared" si="281"/>
        <v>1+1.12263831326446i</v>
      </c>
      <c r="U483" s="160">
        <f t="shared" si="290"/>
        <v>1.503434994407564</v>
      </c>
      <c r="V483" s="160">
        <f t="shared" si="291"/>
        <v>0.84311036297256992</v>
      </c>
      <c r="W483" s="98" t="str">
        <f t="shared" si="282"/>
        <v>1-2.91543883292362i</v>
      </c>
      <c r="X483" s="160">
        <f t="shared" si="292"/>
        <v>3.0821718947065624</v>
      </c>
      <c r="Y483" s="160">
        <f t="shared" si="293"/>
        <v>-1.2403697720495421</v>
      </c>
      <c r="Z483" s="98" t="str">
        <f t="shared" si="283"/>
        <v>-3.12244279952251+3.34197944330625i</v>
      </c>
      <c r="AA483" s="160">
        <f t="shared" si="294"/>
        <v>4.5736720078916377</v>
      </c>
      <c r="AB483" s="160">
        <f t="shared" si="295"/>
        <v>2.3222467846899413</v>
      </c>
      <c r="AC483" s="171" t="str">
        <f t="shared" si="296"/>
        <v>-0.0040871633221309+0.00906664449022614i</v>
      </c>
      <c r="AD483" s="190">
        <f t="shared" si="297"/>
        <v>-40.04764424603686</v>
      </c>
      <c r="AE483" s="169">
        <f t="shared" si="298"/>
        <v>114.26543143739758</v>
      </c>
      <c r="AF483" s="98" t="str">
        <f t="shared" si="284"/>
        <v>-0.0000816326530612245</v>
      </c>
      <c r="AG483" s="98" t="str">
        <f t="shared" si="285"/>
        <v>0.0623625583018405i</v>
      </c>
      <c r="AH483" s="98">
        <f t="shared" si="299"/>
        <v>6.2362558301840502E-2</v>
      </c>
      <c r="AI483" s="98">
        <f t="shared" si="300"/>
        <v>1.5707963267948966</v>
      </c>
      <c r="AJ483" s="98" t="str">
        <f t="shared" si="286"/>
        <v>1+6.90811595736495i</v>
      </c>
      <c r="AK483" s="98">
        <f t="shared" si="301"/>
        <v>6.9801193457132422</v>
      </c>
      <c r="AL483" s="98">
        <f t="shared" si="302"/>
        <v>1.4270376459364971</v>
      </c>
      <c r="AM483" s="98" t="str">
        <f t="shared" si="287"/>
        <v>1+697.71971169386i</v>
      </c>
      <c r="AN483" s="98">
        <f t="shared" si="303"/>
        <v>697.72042831363558</v>
      </c>
      <c r="AO483" s="98">
        <f t="shared" si="304"/>
        <v>1.5693630874890339</v>
      </c>
      <c r="AP483" s="168" t="str">
        <f t="shared" si="305"/>
        <v>-0.0185598264445746+0.129522434257861i</v>
      </c>
      <c r="AQ483" s="98">
        <f t="shared" si="306"/>
        <v>-17.664828423440934</v>
      </c>
      <c r="AR483" s="169">
        <f t="shared" si="307"/>
        <v>98.154647118296225</v>
      </c>
      <c r="AS483" s="168" t="str">
        <f t="shared" si="308"/>
        <v>-0.00109847682301533-0.000697654690865096i</v>
      </c>
      <c r="AT483" s="190">
        <f t="shared" si="309"/>
        <v>-57.712472669477812</v>
      </c>
      <c r="AU483" s="169">
        <f t="shared" si="310"/>
        <v>-147.57992144430614</v>
      </c>
      <c r="AV483" s="225"/>
      <c r="AX483">
        <f t="shared" si="311"/>
        <v>0</v>
      </c>
      <c r="AY483">
        <f t="shared" si="312"/>
        <v>0</v>
      </c>
    </row>
    <row r="484" spans="14:51" x14ac:dyDescent="0.2">
      <c r="N484" s="170">
        <v>66</v>
      </c>
      <c r="O484" s="199">
        <f t="shared" ref="O484:O518" si="313">10^(5+(N484/100))</f>
        <v>457088.18961487547</v>
      </c>
      <c r="P484" s="189" t="str">
        <f t="shared" si="279"/>
        <v>6.8875</v>
      </c>
      <c r="Q484" s="160" t="str">
        <f t="shared" si="280"/>
        <v>1+717.992449268375i</v>
      </c>
      <c r="R484" s="160">
        <f t="shared" si="288"/>
        <v>717.99314565419081</v>
      </c>
      <c r="S484" s="160">
        <f t="shared" si="289"/>
        <v>1.5694035553884356</v>
      </c>
      <c r="T484" s="160" t="str">
        <f t="shared" si="281"/>
        <v>1+1.1487879188294i</v>
      </c>
      <c r="U484" s="160">
        <f t="shared" si="290"/>
        <v>1.5230606299318434</v>
      </c>
      <c r="V484" s="160">
        <f t="shared" si="291"/>
        <v>0.85453053736231321</v>
      </c>
      <c r="W484" s="98" t="str">
        <f t="shared" si="282"/>
        <v>1-2.98334812715391i</v>
      </c>
      <c r="X484" s="160">
        <f t="shared" si="292"/>
        <v>3.1464847127854823</v>
      </c>
      <c r="Y484" s="160">
        <f t="shared" si="293"/>
        <v>-1.2473722263655185</v>
      </c>
      <c r="Z484" s="98" t="str">
        <f t="shared" si="283"/>
        <v>-3.31672754308686+3.41982414468161i</v>
      </c>
      <c r="AA484" s="160">
        <f t="shared" si="294"/>
        <v>4.764019182960781</v>
      </c>
      <c r="AB484" s="160">
        <f t="shared" si="295"/>
        <v>2.3408916232948203</v>
      </c>
      <c r="AC484" s="171" t="str">
        <f t="shared" si="296"/>
        <v>-0.00383981246873581+0.00885275019324116i</v>
      </c>
      <c r="AD484" s="190">
        <f t="shared" si="297"/>
        <v>-40.309787396638711</v>
      </c>
      <c r="AE484" s="169">
        <f t="shared" si="298"/>
        <v>113.44841881442076</v>
      </c>
      <c r="AF484" s="98" t="str">
        <f t="shared" si="284"/>
        <v>-0.0000816326530612245</v>
      </c>
      <c r="AG484" s="98" t="str">
        <f t="shared" si="285"/>
        <v>0.0638151688909732i</v>
      </c>
      <c r="AH484" s="98">
        <f t="shared" si="299"/>
        <v>6.3815168890973203E-2</v>
      </c>
      <c r="AI484" s="98">
        <f t="shared" si="300"/>
        <v>1.5707963267948966</v>
      </c>
      <c r="AJ484" s="98" t="str">
        <f t="shared" si="286"/>
        <v>1+7.06902664903438i</v>
      </c>
      <c r="AK484" s="98">
        <f t="shared" si="301"/>
        <v>7.1394073819021022</v>
      </c>
      <c r="AL484" s="98">
        <f t="shared" si="302"/>
        <v>1.4302665909109715</v>
      </c>
      <c r="AM484" s="98" t="str">
        <f t="shared" si="287"/>
        <v>1+713.971691552473i</v>
      </c>
      <c r="AN484" s="98">
        <f t="shared" si="303"/>
        <v>713.97239186000729</v>
      </c>
      <c r="AO484" s="98">
        <f t="shared" si="304"/>
        <v>1.5693957119555069</v>
      </c>
      <c r="AP484" s="168" t="str">
        <f t="shared" si="305"/>
        <v>-0.0177408849425085+0.126689992964998i</v>
      </c>
      <c r="AQ484" s="98">
        <f t="shared" si="306"/>
        <v>-17.860815139420048</v>
      </c>
      <c r="AR484" s="169">
        <f t="shared" si="307"/>
        <v>97.971511443216656</v>
      </c>
      <c r="AS484" s="168" t="str">
        <f t="shared" si="308"/>
        <v>-0.00105343318849396-0.000643521437254113i</v>
      </c>
      <c r="AT484" s="190">
        <f t="shared" si="309"/>
        <v>-58.17060253605873</v>
      </c>
      <c r="AU484" s="169">
        <f t="shared" si="310"/>
        <v>-148.58006974236267</v>
      </c>
      <c r="AV484" s="225"/>
      <c r="AX484">
        <f t="shared" si="311"/>
        <v>0</v>
      </c>
      <c r="AY484">
        <f t="shared" si="312"/>
        <v>0</v>
      </c>
    </row>
    <row r="485" spans="14:51" x14ac:dyDescent="0.2">
      <c r="N485" s="170">
        <v>67</v>
      </c>
      <c r="O485" s="199">
        <f t="shared" si="313"/>
        <v>467735.14128719864</v>
      </c>
      <c r="P485" s="189" t="str">
        <f t="shared" si="279"/>
        <v>6.8875</v>
      </c>
      <c r="Q485" s="160" t="str">
        <f t="shared" si="280"/>
        <v>1+734.716641846822i</v>
      </c>
      <c r="R485" s="160">
        <f t="shared" si="288"/>
        <v>734.71732238097627</v>
      </c>
      <c r="S485" s="160">
        <f t="shared" si="289"/>
        <v>1.5694352586966103</v>
      </c>
      <c r="T485" s="160" t="str">
        <f t="shared" si="281"/>
        <v>1+1.17554662695492i</v>
      </c>
      <c r="U485" s="160">
        <f t="shared" si="290"/>
        <v>1.5433437310414975</v>
      </c>
      <c r="V485" s="160">
        <f t="shared" si="291"/>
        <v>0.86591453163673227</v>
      </c>
      <c r="W485" s="98" t="str">
        <f t="shared" si="282"/>
        <v>1-3.05283923205051i</v>
      </c>
      <c r="X485" s="160">
        <f t="shared" si="292"/>
        <v>3.2124488130936419</v>
      </c>
      <c r="Y485" s="160">
        <f t="shared" si="293"/>
        <v>-1.2542471961799169</v>
      </c>
      <c r="Z485" s="98" t="str">
        <f t="shared" si="283"/>
        <v>-3.52016864452386+3.49948208208521i</v>
      </c>
      <c r="AA485" s="160">
        <f t="shared" si="294"/>
        <v>4.9636641837179498</v>
      </c>
      <c r="AB485" s="160">
        <f t="shared" si="295"/>
        <v>2.3591414320503326</v>
      </c>
      <c r="AC485" s="171" t="str">
        <f t="shared" si="296"/>
        <v>-0.00360729292708165+0.00864074130889148i</v>
      </c>
      <c r="AD485" s="190">
        <f t="shared" si="297"/>
        <v>-40.571243610278096</v>
      </c>
      <c r="AE485" s="169">
        <f t="shared" si="298"/>
        <v>112.65931340133446</v>
      </c>
      <c r="AF485" s="98" t="str">
        <f t="shared" si="284"/>
        <v>-0.0000816326530612245</v>
      </c>
      <c r="AG485" s="98" t="str">
        <f t="shared" si="285"/>
        <v>0.0653016151273457i</v>
      </c>
      <c r="AH485" s="98">
        <f t="shared" si="299"/>
        <v>6.5301615127345697E-2</v>
      </c>
      <c r="AI485" s="98">
        <f t="shared" si="300"/>
        <v>1.5707963267948966</v>
      </c>
      <c r="AJ485" s="98" t="str">
        <f t="shared" si="286"/>
        <v>1+7.23368543220278i</v>
      </c>
      <c r="AK485" s="98">
        <f t="shared" si="301"/>
        <v>7.3024793688214364</v>
      </c>
      <c r="AL485" s="98">
        <f t="shared" si="302"/>
        <v>1.433424889025374</v>
      </c>
      <c r="AM485" s="98" t="str">
        <f t="shared" si="287"/>
        <v>1+730.602228652481i</v>
      </c>
      <c r="AN485" s="98">
        <f t="shared" si="303"/>
        <v>730.60291301908455</v>
      </c>
      <c r="AO485" s="98">
        <f t="shared" si="304"/>
        <v>1.5694275938013391</v>
      </c>
      <c r="AP485" s="168" t="str">
        <f t="shared" si="305"/>
        <v>-0.0169573869287222+0.123914489073432i</v>
      </c>
      <c r="AQ485" s="98">
        <f t="shared" si="306"/>
        <v>-18.056979017106425</v>
      </c>
      <c r="AR485" s="169">
        <f t="shared" si="307"/>
        <v>97.792380986026501</v>
      </c>
      <c r="AS485" s="168" t="str">
        <f t="shared" si="308"/>
        <v>-0.00100954278257722-0.000593520253723394i</v>
      </c>
      <c r="AT485" s="190">
        <f t="shared" si="309"/>
        <v>-58.62822262738451</v>
      </c>
      <c r="AU485" s="169">
        <f t="shared" si="310"/>
        <v>-149.54830561263904</v>
      </c>
      <c r="AV485" s="225"/>
      <c r="AX485">
        <f t="shared" si="311"/>
        <v>0</v>
      </c>
      <c r="AY485">
        <f t="shared" si="312"/>
        <v>0</v>
      </c>
    </row>
    <row r="486" spans="14:51" x14ac:dyDescent="0.2">
      <c r="N486" s="170">
        <v>68</v>
      </c>
      <c r="O486" s="199">
        <f t="shared" si="313"/>
        <v>478630.09232263872</v>
      </c>
      <c r="P486" s="189" t="str">
        <f t="shared" si="279"/>
        <v>6.8875</v>
      </c>
      <c r="Q486" s="160" t="str">
        <f t="shared" si="280"/>
        <v>1+751.830390913903i</v>
      </c>
      <c r="R486" s="160">
        <f t="shared" si="288"/>
        <v>751.83105595722247</v>
      </c>
      <c r="S486" s="160">
        <f t="shared" si="289"/>
        <v>1.5694662403520296</v>
      </c>
      <c r="T486" s="160" t="str">
        <f t="shared" si="281"/>
        <v>1+1.20292862546224i</v>
      </c>
      <c r="U486" s="160">
        <f t="shared" si="290"/>
        <v>1.5643008911192482</v>
      </c>
      <c r="V486" s="160">
        <f t="shared" si="291"/>
        <v>0.87725658010929608</v>
      </c>
      <c r="W486" s="98" t="str">
        <f t="shared" si="282"/>
        <v>1-3.12394899271705i</v>
      </c>
      <c r="X486" s="160">
        <f t="shared" si="292"/>
        <v>3.2801001980271685</v>
      </c>
      <c r="Y486" s="160">
        <f t="shared" si="293"/>
        <v>-1.2609957262388971</v>
      </c>
      <c r="Z486" s="98" t="str">
        <f t="shared" si="283"/>
        <v>-3.73319762968548+3.58099549120986i</v>
      </c>
      <c r="AA486" s="160">
        <f t="shared" si="294"/>
        <v>5.173035206757695</v>
      </c>
      <c r="AB486" s="160">
        <f t="shared" si="295"/>
        <v>2.3770006369229342</v>
      </c>
      <c r="AC486" s="171" t="str">
        <f t="shared" si="296"/>
        <v>-0.00338883346278434+0.00843106358987076i</v>
      </c>
      <c r="AD486" s="190">
        <f t="shared" si="297"/>
        <v>-40.831933607281329</v>
      </c>
      <c r="AE486" s="169">
        <f t="shared" si="298"/>
        <v>111.89747043679111</v>
      </c>
      <c r="AF486" s="98" t="str">
        <f t="shared" si="284"/>
        <v>-0.0000816326530612245</v>
      </c>
      <c r="AG486" s="98" t="str">
        <f t="shared" si="285"/>
        <v>0.0668226851444277i</v>
      </c>
      <c r="AH486" s="98">
        <f t="shared" si="299"/>
        <v>6.6822685144427699E-2</v>
      </c>
      <c r="AI486" s="98">
        <f t="shared" si="300"/>
        <v>1.5707963267948966</v>
      </c>
      <c r="AJ486" s="98" t="str">
        <f t="shared" si="286"/>
        <v>1+7.40217961113648i</v>
      </c>
      <c r="AK486" s="98">
        <f t="shared" si="301"/>
        <v>7.4694218648784743</v>
      </c>
      <c r="AL486" s="98">
        <f t="shared" si="302"/>
        <v>1.4365139626906362</v>
      </c>
      <c r="AM486" s="98" t="str">
        <f t="shared" si="287"/>
        <v>1+747.620140724785i</v>
      </c>
      <c r="AN486" s="98">
        <f t="shared" si="303"/>
        <v>747.62080951331689</v>
      </c>
      <c r="AO486" s="98">
        <f t="shared" si="304"/>
        <v>1.569458749930448</v>
      </c>
      <c r="AP486" s="168" t="str">
        <f t="shared" si="305"/>
        <v>-0.0162078582570824+0.12119510877192i</v>
      </c>
      <c r="AQ486" s="98">
        <f t="shared" si="306"/>
        <v>-18.253312382271801</v>
      </c>
      <c r="AR486" s="169">
        <f t="shared" si="307"/>
        <v>97.617175217105924</v>
      </c>
      <c r="AS486" s="168" t="str">
        <f t="shared" si="308"/>
        <v>-0.000966877936415695-0.000547359523753144i</v>
      </c>
      <c r="AT486" s="190">
        <f t="shared" si="309"/>
        <v>-59.08524598955313</v>
      </c>
      <c r="AU486" s="169">
        <f t="shared" si="310"/>
        <v>-150.48535434610298</v>
      </c>
      <c r="AV486" s="225"/>
      <c r="AX486">
        <f t="shared" si="311"/>
        <v>0</v>
      </c>
      <c r="AY486">
        <f t="shared" si="312"/>
        <v>0</v>
      </c>
    </row>
    <row r="487" spans="14:51" x14ac:dyDescent="0.2">
      <c r="N487" s="170">
        <v>69</v>
      </c>
      <c r="O487" s="199">
        <f t="shared" si="313"/>
        <v>489778.81936844654</v>
      </c>
      <c r="P487" s="189" t="str">
        <f t="shared" si="279"/>
        <v>6.8875</v>
      </c>
      <c r="Q487" s="160" t="str">
        <f t="shared" si="280"/>
        <v>1+769.342770405898i</v>
      </c>
      <c r="R487" s="160">
        <f t="shared" si="288"/>
        <v>769.34342031099629</v>
      </c>
      <c r="S487" s="160">
        <f t="shared" si="289"/>
        <v>1.5694965167813397</v>
      </c>
      <c r="T487" s="160" t="str">
        <f t="shared" si="281"/>
        <v>1+1.23094843264944i</v>
      </c>
      <c r="U487" s="160">
        <f t="shared" si="290"/>
        <v>1.5859489411207768</v>
      </c>
      <c r="V487" s="160">
        <f t="shared" si="291"/>
        <v>0.88855102477150372</v>
      </c>
      <c r="W487" s="98" t="str">
        <f t="shared" si="282"/>
        <v>1-3.19671511248988i</v>
      </c>
      <c r="X487" s="160">
        <f t="shared" si="292"/>
        <v>3.3494757067966896</v>
      </c>
      <c r="Y487" s="160">
        <f t="shared" si="293"/>
        <v>-1.2676189350821625</v>
      </c>
      <c r="Z487" s="98" t="str">
        <f t="shared" si="283"/>
        <v>-3.95626636161053+3.66440759154403i</v>
      </c>
      <c r="AA487" s="160">
        <f t="shared" si="294"/>
        <v>5.3925806921154686</v>
      </c>
      <c r="AB487" s="160">
        <f t="shared" si="295"/>
        <v>2.3944740704269476</v>
      </c>
      <c r="AC487" s="171" t="str">
        <f t="shared" si="296"/>
        <v>-0.00318368236888605+0.00822410175898348i</v>
      </c>
      <c r="AD487" s="190">
        <f t="shared" si="297"/>
        <v>-41.091785017560099</v>
      </c>
      <c r="AE487" s="169">
        <f t="shared" si="298"/>
        <v>111.16222382932622</v>
      </c>
      <c r="AF487" s="98" t="str">
        <f t="shared" si="284"/>
        <v>-0.0000816326530612245</v>
      </c>
      <c r="AG487" s="98" t="str">
        <f t="shared" si="285"/>
        <v>0.0683791854336761i</v>
      </c>
      <c r="AH487" s="98">
        <f t="shared" si="299"/>
        <v>6.8379185433676104E-2</v>
      </c>
      <c r="AI487" s="98">
        <f t="shared" si="300"/>
        <v>1.5707963267948966</v>
      </c>
      <c r="AJ487" s="98" t="str">
        <f t="shared" si="286"/>
        <v>1+7.57459852367945i</v>
      </c>
      <c r="AK487" s="98">
        <f t="shared" si="301"/>
        <v>7.6403234744954949</v>
      </c>
      <c r="AL487" s="98">
        <f t="shared" si="302"/>
        <v>1.4395352138334665</v>
      </c>
      <c r="AM487" s="98" t="str">
        <f t="shared" si="287"/>
        <v>1+765.034450891625i</v>
      </c>
      <c r="AN487" s="98">
        <f t="shared" si="303"/>
        <v>765.03510445668462</v>
      </c>
      <c r="AO487" s="98">
        <f t="shared" si="304"/>
        <v>1.5694891968619833</v>
      </c>
      <c r="AP487" s="168" t="str">
        <f t="shared" si="305"/>
        <v>-0.015490880907626+0.118531026781642i</v>
      </c>
      <c r="AQ487" s="98">
        <f t="shared" si="306"/>
        <v>-18.449807880453502</v>
      </c>
      <c r="AR487" s="169">
        <f t="shared" si="307"/>
        <v>97.445814758448748</v>
      </c>
      <c r="AS487" s="168" t="str">
        <f t="shared" si="308"/>
        <v>-0.000925493181424897-0.000504763721051284i</v>
      </c>
      <c r="AT487" s="190">
        <f t="shared" si="309"/>
        <v>-59.541592898013604</v>
      </c>
      <c r="AU487" s="169">
        <f t="shared" si="310"/>
        <v>-151.39196141222502</v>
      </c>
      <c r="AV487" s="225"/>
      <c r="AX487">
        <f t="shared" si="311"/>
        <v>0</v>
      </c>
      <c r="AY487">
        <f t="shared" si="312"/>
        <v>0</v>
      </c>
    </row>
    <row r="488" spans="14:51" x14ac:dyDescent="0.2">
      <c r="N488" s="170">
        <v>70</v>
      </c>
      <c r="O488" s="199">
        <f t="shared" si="313"/>
        <v>501187.23362727347</v>
      </c>
      <c r="P488" s="189" t="str">
        <f t="shared" si="279"/>
        <v>6.8875</v>
      </c>
      <c r="Q488" s="160" t="str">
        <f t="shared" si="280"/>
        <v>1+787.263065618217i</v>
      </c>
      <c r="R488" s="160">
        <f t="shared" si="288"/>
        <v>787.2637007296812</v>
      </c>
      <c r="S488" s="160">
        <f t="shared" si="289"/>
        <v>1.5695261040372817</v>
      </c>
      <c r="T488" s="160" t="str">
        <f t="shared" si="281"/>
        <v>1+1.25962090498915i</v>
      </c>
      <c r="U488" s="160">
        <f t="shared" si="290"/>
        <v>1.6083049537589833</v>
      </c>
      <c r="V488" s="160">
        <f t="shared" si="291"/>
        <v>0.89979232865898207</v>
      </c>
      <c r="W488" s="98" t="str">
        <f t="shared" si="282"/>
        <v>1-3.27117617292888i</v>
      </c>
      <c r="X488" s="160">
        <f t="shared" si="292"/>
        <v>3.4206130377956572</v>
      </c>
      <c r="Y488" s="160">
        <f t="shared" si="293"/>
        <v>-1.2741180092806652</v>
      </c>
      <c r="Z488" s="98" t="str">
        <f t="shared" si="283"/>
        <v>-4.18984799898677+3.74976260928741i</v>
      </c>
      <c r="AA488" s="160">
        <f t="shared" si="294"/>
        <v>5.6227703030288705</v>
      </c>
      <c r="AB488" s="160">
        <f t="shared" si="295"/>
        <v>2.4115669179652124</v>
      </c>
      <c r="AC488" s="171" t="str">
        <f t="shared" si="296"/>
        <v>-0.00299111022537984+0.00802018443417411i</v>
      </c>
      <c r="AD488" s="190">
        <f t="shared" si="297"/>
        <v>-41.350732232068061</v>
      </c>
      <c r="AE488" s="169">
        <f t="shared" si="298"/>
        <v>110.45289032729005</v>
      </c>
      <c r="AF488" s="98" t="str">
        <f t="shared" si="284"/>
        <v>-0.0000816326530612245</v>
      </c>
      <c r="AG488" s="98" t="str">
        <f t="shared" si="285"/>
        <v>0.0699719412721471i</v>
      </c>
      <c r="AH488" s="98">
        <f t="shared" si="299"/>
        <v>6.9971941272147106E-2</v>
      </c>
      <c r="AI488" s="98">
        <f t="shared" si="300"/>
        <v>1.5707963267948966</v>
      </c>
      <c r="AJ488" s="98" t="str">
        <f t="shared" si="286"/>
        <v>1+7.75103358862134i</v>
      </c>
      <c r="AK488" s="98">
        <f t="shared" si="301"/>
        <v>7.8152748954810418</v>
      </c>
      <c r="AL488" s="98">
        <f t="shared" si="302"/>
        <v>1.4424900236217015</v>
      </c>
      <c r="AM488" s="98" t="str">
        <f t="shared" si="287"/>
        <v>1+782.854392450756i</v>
      </c>
      <c r="AN488" s="98">
        <f t="shared" si="303"/>
        <v>782.85503113887069</v>
      </c>
      <c r="AO488" s="98">
        <f t="shared" si="304"/>
        <v>1.5695189507390852</v>
      </c>
      <c r="AP488" s="168" t="str">
        <f t="shared" si="305"/>
        <v>-0.0148050913058151+0.115921408390137i</v>
      </c>
      <c r="AQ488" s="98">
        <f t="shared" si="306"/>
        <v>-18.64645846472871</v>
      </c>
      <c r="AR488" s="169">
        <f t="shared" si="307"/>
        <v>97.278221399901</v>
      </c>
      <c r="AS488" s="168" t="str">
        <f t="shared" si="308"/>
        <v>-0.000885427415165611-0.000465473272813596i</v>
      </c>
      <c r="AT488" s="190">
        <f t="shared" si="309"/>
        <v>-59.997190696796771</v>
      </c>
      <c r="AU488" s="169">
        <f t="shared" si="310"/>
        <v>-152.26888827280894</v>
      </c>
      <c r="AV488" s="225"/>
      <c r="AX488">
        <f t="shared" si="311"/>
        <v>0</v>
      </c>
      <c r="AY488">
        <f t="shared" si="312"/>
        <v>0</v>
      </c>
    </row>
    <row r="489" spans="14:51" x14ac:dyDescent="0.2">
      <c r="N489" s="170">
        <v>71</v>
      </c>
      <c r="O489" s="199">
        <f t="shared" si="313"/>
        <v>512861.38399136515</v>
      </c>
      <c r="P489" s="189" t="str">
        <f t="shared" si="279"/>
        <v>6.8875</v>
      </c>
      <c r="Q489" s="160" t="str">
        <f t="shared" si="280"/>
        <v>1+805.600778128583i</v>
      </c>
      <c r="R489" s="160">
        <f t="shared" si="288"/>
        <v>805.60139878315647</v>
      </c>
      <c r="S489" s="160">
        <f t="shared" si="289"/>
        <v>1.5695550178072031</v>
      </c>
      <c r="T489" s="160" t="str">
        <f t="shared" si="281"/>
        <v>1+1.28896124500573i</v>
      </c>
      <c r="U489" s="160">
        <f t="shared" si="290"/>
        <v>1.6313862482952102</v>
      </c>
      <c r="V489" s="160">
        <f t="shared" si="291"/>
        <v>0.91097508848187536</v>
      </c>
      <c r="W489" s="98" t="str">
        <f t="shared" si="282"/>
        <v>1-3.34737165427389i</v>
      </c>
      <c r="X489" s="160">
        <f t="shared" si="292"/>
        <v>3.4935507713265479</v>
      </c>
      <c r="Y489" s="160">
        <f t="shared" si="293"/>
        <v>-1.280494197870667</v>
      </c>
      <c r="Z489" s="98" t="str">
        <f t="shared" si="283"/>
        <v>-4.43443799978382+3.83710580080019i</v>
      </c>
      <c r="AA489" s="160">
        <f t="shared" si="294"/>
        <v>5.8640959491179192</v>
      </c>
      <c r="AB489" s="160">
        <f t="shared" si="295"/>
        <v>2.4282846679675414</v>
      </c>
      <c r="AC489" s="171" t="str">
        <f t="shared" si="296"/>
        <v>-0.00281041206853389+0.00781958892385902i</v>
      </c>
      <c r="AD489" s="190">
        <f t="shared" si="297"/>
        <v>-41.608716222709823</v>
      </c>
      <c r="AE489" s="169">
        <f t="shared" si="298"/>
        <v>109.76877341778912</v>
      </c>
      <c r="AF489" s="98" t="str">
        <f t="shared" si="284"/>
        <v>-0.0000816326530612245</v>
      </c>
      <c r="AG489" s="98" t="str">
        <f t="shared" si="285"/>
        <v>0.0716017971600685i</v>
      </c>
      <c r="AH489" s="98">
        <f t="shared" si="299"/>
        <v>7.1601797160068495E-2</v>
      </c>
      <c r="AI489" s="98">
        <f t="shared" si="300"/>
        <v>1.5707963267948966</v>
      </c>
      <c r="AJ489" s="98" t="str">
        <f t="shared" si="286"/>
        <v>1+7.93157835416894i</v>
      </c>
      <c r="AK489" s="98">
        <f t="shared" si="301"/>
        <v>7.9943689674871319</v>
      </c>
      <c r="AL489" s="98">
        <f t="shared" si="302"/>
        <v>1.4453797522398397</v>
      </c>
      <c r="AM489" s="98" t="str">
        <f t="shared" si="287"/>
        <v>1+801.089413771063i</v>
      </c>
      <c r="AN489" s="98">
        <f t="shared" si="303"/>
        <v>801.09003792087287</v>
      </c>
      <c r="AO489" s="98">
        <f t="shared" si="304"/>
        <v>1.5695480273374423</v>
      </c>
      <c r="AP489" s="168" t="str">
        <f t="shared" si="305"/>
        <v>-0.0141491786497472+0.113365411344099i</v>
      </c>
      <c r="AQ489" s="98">
        <f t="shared" si="306"/>
        <v>-18.843257383859012</v>
      </c>
      <c r="AR489" s="169">
        <f t="shared" si="307"/>
        <v>97.114318112511953</v>
      </c>
      <c r="AS489" s="168" t="str">
        <f t="shared" si="308"/>
        <v>-0.000846705892457947-0.00042924428084703i</v>
      </c>
      <c r="AT489" s="190">
        <f t="shared" si="309"/>
        <v>-60.451973606568842</v>
      </c>
      <c r="AU489" s="169">
        <f t="shared" si="310"/>
        <v>-153.11690846969893</v>
      </c>
      <c r="AV489" s="225"/>
      <c r="AX489">
        <f t="shared" si="311"/>
        <v>0</v>
      </c>
      <c r="AY489">
        <f t="shared" si="312"/>
        <v>0</v>
      </c>
    </row>
    <row r="490" spans="14:51" x14ac:dyDescent="0.2">
      <c r="N490" s="170">
        <v>72</v>
      </c>
      <c r="O490" s="199">
        <f t="shared" si="313"/>
        <v>524807.46024977288</v>
      </c>
      <c r="P490" s="189" t="str">
        <f t="shared" si="279"/>
        <v>6.8875</v>
      </c>
      <c r="Q490" s="160" t="str">
        <f t="shared" si="280"/>
        <v>1+824.365630834903i</v>
      </c>
      <c r="R490" s="160">
        <f t="shared" si="288"/>
        <v>824.36623736166416</v>
      </c>
      <c r="S490" s="160">
        <f t="shared" si="289"/>
        <v>1.5695832734213739</v>
      </c>
      <c r="T490" s="160" t="str">
        <f t="shared" si="281"/>
        <v>1+1.31898500933584i</v>
      </c>
      <c r="U490" s="160">
        <f t="shared" si="290"/>
        <v>1.655210395947496</v>
      </c>
      <c r="V490" s="160">
        <f t="shared" si="291"/>
        <v>0.9220940464556574</v>
      </c>
      <c r="W490" s="98" t="str">
        <f t="shared" si="282"/>
        <v>1-3.42534195637771i</v>
      </c>
      <c r="X490" s="160">
        <f t="shared" si="292"/>
        <v>3.5683283926961482</v>
      </c>
      <c r="Y490" s="160">
        <f t="shared" si="293"/>
        <v>-1.2867488069907922</v>
      </c>
      <c r="Z490" s="98" t="str">
        <f t="shared" si="283"/>
        <v>-4.69055517218629+3.92648347659867i</v>
      </c>
      <c r="AA490" s="160">
        <f t="shared" si="294"/>
        <v>6.1170728551592335</v>
      </c>
      <c r="AB490" s="160">
        <f t="shared" si="295"/>
        <v>2.4446330657939921</v>
      </c>
      <c r="AC490" s="171" t="str">
        <f t="shared" si="296"/>
        <v>-0.00264090903127604+0.00762254584890887i</v>
      </c>
      <c r="AD490" s="190">
        <f t="shared" si="297"/>
        <v>-41.865684335669712</v>
      </c>
      <c r="AE490" s="169">
        <f t="shared" si="298"/>
        <v>109.10916695248699</v>
      </c>
      <c r="AF490" s="98" t="str">
        <f t="shared" si="284"/>
        <v>-0.0000816326530612245</v>
      </c>
      <c r="AG490" s="98" t="str">
        <f t="shared" si="285"/>
        <v>0.0732696172686061i</v>
      </c>
      <c r="AH490" s="98">
        <f t="shared" si="299"/>
        <v>7.3269617268606105E-2</v>
      </c>
      <c r="AI490" s="98">
        <f t="shared" si="300"/>
        <v>1.5707963267948966</v>
      </c>
      <c r="AJ490" s="98" t="str">
        <f t="shared" si="286"/>
        <v>1+8.11632854754681i</v>
      </c>
      <c r="AK490" s="98">
        <f t="shared" si="301"/>
        <v>8.1777007215795887</v>
      </c>
      <c r="AL490" s="98">
        <f t="shared" si="302"/>
        <v>1.4482057387112488</v>
      </c>
      <c r="AM490" s="98" t="str">
        <f t="shared" si="287"/>
        <v>1+819.749183302227i</v>
      </c>
      <c r="AN490" s="98">
        <f t="shared" si="303"/>
        <v>819.74979324466335</v>
      </c>
      <c r="AO490" s="98">
        <f t="shared" si="304"/>
        <v>1.5695764420736553</v>
      </c>
      <c r="AP490" s="168" t="str">
        <f t="shared" si="305"/>
        <v>-0.0135218832500997+0.110862187608204i</v>
      </c>
      <c r="AQ490" s="98">
        <f t="shared" si="306"/>
        <v>-19.040198170804487</v>
      </c>
      <c r="AR490" s="169">
        <f t="shared" si="307"/>
        <v>96.954029059200167</v>
      </c>
      <c r="AS490" s="168" t="str">
        <f t="shared" si="308"/>
        <v>-0.000809342044358823-0.000395848127519002i</v>
      </c>
      <c r="AT490" s="190">
        <f t="shared" si="309"/>
        <v>-60.9058825064742</v>
      </c>
      <c r="AU490" s="169">
        <f t="shared" si="310"/>
        <v>-153.93680398831287</v>
      </c>
      <c r="AV490" s="225"/>
      <c r="AX490">
        <f t="shared" si="311"/>
        <v>0</v>
      </c>
      <c r="AY490">
        <f t="shared" si="312"/>
        <v>0</v>
      </c>
    </row>
    <row r="491" spans="14:51" x14ac:dyDescent="0.2">
      <c r="N491" s="170">
        <v>73</v>
      </c>
      <c r="O491" s="199">
        <f t="shared" si="313"/>
        <v>537031.7963702539</v>
      </c>
      <c r="P491" s="189" t="str">
        <f t="shared" si="279"/>
        <v>6.8875</v>
      </c>
      <c r="Q491" s="160" t="str">
        <f t="shared" si="280"/>
        <v>1+843.56757311046i</v>
      </c>
      <c r="R491" s="160">
        <f t="shared" si="288"/>
        <v>843.56816583099624</v>
      </c>
      <c r="S491" s="160">
        <f t="shared" si="289"/>
        <v>1.5696108858611142</v>
      </c>
      <c r="T491" s="160" t="str">
        <f t="shared" si="281"/>
        <v>1+1.34970811697674i</v>
      </c>
      <c r="U491" s="160">
        <f t="shared" si="290"/>
        <v>1.6797952259227602</v>
      </c>
      <c r="V491" s="160">
        <f t="shared" si="291"/>
        <v>0.93314410127729908</v>
      </c>
      <c r="W491" s="98" t="str">
        <f t="shared" si="282"/>
        <v>1-3.50512842012656i</v>
      </c>
      <c r="X491" s="160">
        <f t="shared" si="292"/>
        <v>3.6449863156915852</v>
      </c>
      <c r="Y491" s="160">
        <f t="shared" si="293"/>
        <v>-1.2928831947269419</v>
      </c>
      <c r="Z491" s="98" t="str">
        <f t="shared" si="283"/>
        <v>-4.95874277505498+4.0179430259096i</v>
      </c>
      <c r="AA491" s="160">
        <f t="shared" si="294"/>
        <v>6.3822406777412866</v>
      </c>
      <c r="AB491" s="160">
        <f t="shared" si="295"/>
        <v>2.4606180713255053</v>
      </c>
      <c r="AC491" s="171" t="str">
        <f t="shared" si="296"/>
        <v>-0.00248194951455754+0.00742924355811495i</v>
      </c>
      <c r="AD491" s="190">
        <f t="shared" si="297"/>
        <v>-42.121590062768675</v>
      </c>
      <c r="AE491" s="169">
        <f t="shared" si="298"/>
        <v>108.47335850126886</v>
      </c>
      <c r="AF491" s="98" t="str">
        <f t="shared" si="284"/>
        <v>-0.0000816326530612245</v>
      </c>
      <c r="AG491" s="98" t="str">
        <f t="shared" si="285"/>
        <v>0.0749762858980577i</v>
      </c>
      <c r="AH491" s="98">
        <f t="shared" si="299"/>
        <v>7.4976285898057701E-2</v>
      </c>
      <c r="AI491" s="98">
        <f t="shared" si="300"/>
        <v>1.5707963267948966</v>
      </c>
      <c r="AJ491" s="98" t="str">
        <f t="shared" si="286"/>
        <v>1+8.30538212575289i</v>
      </c>
      <c r="AK491" s="98">
        <f t="shared" si="301"/>
        <v>8.3653674309486004</v>
      </c>
      <c r="AL491" s="98">
        <f t="shared" si="302"/>
        <v>1.4509693007637161</v>
      </c>
      <c r="AM491" s="98" t="str">
        <f t="shared" si="287"/>
        <v>1+838.843594701042i</v>
      </c>
      <c r="AN491" s="98">
        <f t="shared" si="303"/>
        <v>838.84419075950325</v>
      </c>
      <c r="AO491" s="98">
        <f t="shared" si="304"/>
        <v>1.5696042100134098</v>
      </c>
      <c r="AP491" s="168" t="str">
        <f t="shared" si="305"/>
        <v>-0.0129219948870235+0.108410884996988i</v>
      </c>
      <c r="AQ491" s="98">
        <f t="shared" si="306"/>
        <v>-19.237274631601803</v>
      </c>
      <c r="AR491" s="169">
        <f t="shared" si="307"/>
        <v>96.797279602924959</v>
      </c>
      <c r="AS491" s="168" t="str">
        <f t="shared" si="308"/>
        <v>-0.000773339130056451-0.000365070990663441i</v>
      </c>
      <c r="AT491" s="190">
        <f t="shared" si="309"/>
        <v>-61.358864694370475</v>
      </c>
      <c r="AU491" s="169">
        <f t="shared" si="310"/>
        <v>-154.72936189580622</v>
      </c>
      <c r="AV491" s="225"/>
      <c r="AX491">
        <f t="shared" si="311"/>
        <v>0</v>
      </c>
      <c r="AY491">
        <f t="shared" si="312"/>
        <v>0</v>
      </c>
    </row>
    <row r="492" spans="14:51" x14ac:dyDescent="0.2">
      <c r="N492" s="170">
        <v>74</v>
      </c>
      <c r="O492" s="199">
        <f t="shared" si="313"/>
        <v>549540.87385762564</v>
      </c>
      <c r="P492" s="189" t="str">
        <f t="shared" si="279"/>
        <v>6.8875</v>
      </c>
      <c r="Q492" s="160" t="str">
        <f t="shared" si="280"/>
        <v>1+863.216786079215i</v>
      </c>
      <c r="R492" s="160">
        <f t="shared" si="288"/>
        <v>863.21736530779378</v>
      </c>
      <c r="S492" s="160">
        <f t="shared" si="289"/>
        <v>1.5696378697667368</v>
      </c>
      <c r="T492" s="160" t="str">
        <f t="shared" si="281"/>
        <v>1+1.38114685772674i</v>
      </c>
      <c r="U492" s="160">
        <f t="shared" si="290"/>
        <v>1.7051588320764866</v>
      </c>
      <c r="V492" s="160">
        <f t="shared" si="291"/>
        <v>0.94412031820073483</v>
      </c>
      <c r="W492" s="98" t="str">
        <f t="shared" si="282"/>
        <v>1-3.58677334935962i</v>
      </c>
      <c r="X492" s="160">
        <f t="shared" si="292"/>
        <v>3.7235659064499487</v>
      </c>
      <c r="Y492" s="160">
        <f t="shared" si="293"/>
        <v>-1.2988987661683933</v>
      </c>
      <c r="Z492" s="98" t="str">
        <f t="shared" si="283"/>
        <v>-5.23956967025213+4.11153294179661i</v>
      </c>
      <c r="AA492" s="160">
        <f t="shared" si="294"/>
        <v>6.6601646722062888</v>
      </c>
      <c r="AB492" s="160">
        <f t="shared" si="295"/>
        <v>2.4762458201293525</v>
      </c>
      <c r="AC492" s="171" t="str">
        <f t="shared" si="296"/>
        <v>-0.00233290994722112+0.00723983231317484i</v>
      </c>
      <c r="AD492" s="190">
        <f t="shared" si="297"/>
        <v>-42.376392795099072</v>
      </c>
      <c r="AE492" s="169">
        <f t="shared" si="298"/>
        <v>107.86063243738916</v>
      </c>
      <c r="AF492" s="98" t="str">
        <f t="shared" si="284"/>
        <v>-0.0000816326530612245</v>
      </c>
      <c r="AG492" s="98" t="str">
        <f t="shared" si="285"/>
        <v>0.0767227079467207i</v>
      </c>
      <c r="AH492" s="98">
        <f t="shared" si="299"/>
        <v>7.6722707946720703E-2</v>
      </c>
      <c r="AI492" s="98">
        <f t="shared" si="300"/>
        <v>1.5707963267948966</v>
      </c>
      <c r="AJ492" s="98" t="str">
        <f t="shared" si="286"/>
        <v>1+8.49883932749675i</v>
      </c>
      <c r="AK492" s="98">
        <f t="shared" si="301"/>
        <v>8.5574686627883967</v>
      </c>
      <c r="AL492" s="98">
        <f t="shared" si="302"/>
        <v>1.4536717347351993</v>
      </c>
      <c r="AM492" s="98" t="str">
        <f t="shared" si="287"/>
        <v>1+858.382772077172i</v>
      </c>
      <c r="AN492" s="98">
        <f t="shared" si="303"/>
        <v>858.38335456769562</v>
      </c>
      <c r="AO492" s="98">
        <f t="shared" si="304"/>
        <v>1.5696313458794635</v>
      </c>
      <c r="AP492" s="168" t="str">
        <f t="shared" si="305"/>
        <v>-0.0123483511876688+0.106010648686514i</v>
      </c>
      <c r="AQ492" s="98">
        <f t="shared" si="306"/>
        <v>-19.434480834604887</v>
      </c>
      <c r="AR492" s="169">
        <f t="shared" si="307"/>
        <v>96.643996312544544</v>
      </c>
      <c r="AS492" s="168" t="str">
        <f t="shared" si="308"/>
        <v>-0.000738691728583758-0.000336713288775048i</v>
      </c>
      <c r="AT492" s="190">
        <f t="shared" si="309"/>
        <v>-61.810873629703948</v>
      </c>
      <c r="AU492" s="169">
        <f t="shared" si="310"/>
        <v>-155.49537125006628</v>
      </c>
      <c r="AV492" s="225"/>
      <c r="AX492">
        <f t="shared" si="311"/>
        <v>0</v>
      </c>
      <c r="AY492">
        <f t="shared" si="312"/>
        <v>0</v>
      </c>
    </row>
    <row r="493" spans="14:51" x14ac:dyDescent="0.2">
      <c r="N493" s="170">
        <v>75</v>
      </c>
      <c r="O493" s="199">
        <f t="shared" si="313"/>
        <v>562341.32519035018</v>
      </c>
      <c r="P493" s="189" t="str">
        <f t="shared" si="279"/>
        <v>6.8875</v>
      </c>
      <c r="Q493" s="160" t="str">
        <f t="shared" si="280"/>
        <v>1+883.323688013978i</v>
      </c>
      <c r="R493" s="160">
        <f t="shared" si="288"/>
        <v>883.32425405771312</v>
      </c>
      <c r="S493" s="160">
        <f t="shared" si="289"/>
        <v>1.569664239445308</v>
      </c>
      <c r="T493" s="160" t="str">
        <f t="shared" si="281"/>
        <v>1+1.41331790082236i</v>
      </c>
      <c r="U493" s="160">
        <f t="shared" si="290"/>
        <v>1.7313195802002941</v>
      </c>
      <c r="V493" s="160">
        <f t="shared" si="291"/>
        <v>0.95501793817482117</v>
      </c>
      <c r="W493" s="98" t="str">
        <f t="shared" si="282"/>
        <v>1-3.67032003329907i</v>
      </c>
      <c r="X493" s="160">
        <f t="shared" si="292"/>
        <v>3.8041095077345615</v>
      </c>
      <c r="Y493" s="160">
        <f t="shared" si="293"/>
        <v>-1.3047969686769187</v>
      </c>
      <c r="Z493" s="98" t="str">
        <f t="shared" si="283"/>
        <v>-5.53363152927353+4.20730284687196i</v>
      </c>
      <c r="AA493" s="160">
        <f t="shared" si="294"/>
        <v>6.9514369123992639</v>
      </c>
      <c r="AB493" s="160">
        <f t="shared" si="295"/>
        <v>2.4915225880591767</v>
      </c>
      <c r="AC493" s="171" t="str">
        <f t="shared" si="296"/>
        <v>-0.00219319518875227+0.00705442822718823i</v>
      </c>
      <c r="AD493" s="190">
        <f t="shared" si="297"/>
        <v>-42.630057562817889</v>
      </c>
      <c r="AE493" s="169">
        <f t="shared" si="298"/>
        <v>107.27027275992087</v>
      </c>
      <c r="AF493" s="98" t="str">
        <f t="shared" si="284"/>
        <v>-0.0000816326530612245</v>
      </c>
      <c r="AG493" s="98" t="str">
        <f t="shared" si="285"/>
        <v>0.0785098093906822i</v>
      </c>
      <c r="AH493" s="98">
        <f t="shared" si="299"/>
        <v>7.8509809390682195E-2</v>
      </c>
      <c r="AI493" s="98">
        <f t="shared" si="300"/>
        <v>1.5707963267948966</v>
      </c>
      <c r="AJ493" s="98" t="str">
        <f t="shared" si="286"/>
        <v>1+8.69680272634752i</v>
      </c>
      <c r="AK493" s="98">
        <f t="shared" si="301"/>
        <v>8.7541063313741887</v>
      </c>
      <c r="AL493" s="98">
        <f t="shared" si="302"/>
        <v>1.4563143155167924</v>
      </c>
      <c r="AM493" s="98" t="str">
        <f t="shared" si="287"/>
        <v>1+878.3770753611i</v>
      </c>
      <c r="AN493" s="98">
        <f t="shared" si="303"/>
        <v>878.37764459252912</v>
      </c>
      <c r="AO493" s="98">
        <f t="shared" si="304"/>
        <v>1.5696578640594518</v>
      </c>
      <c r="AP493" s="168" t="str">
        <f t="shared" si="305"/>
        <v>-0.0117998360275515+0.103660622612412i</v>
      </c>
      <c r="AQ493" s="98">
        <f t="shared" si="306"/>
        <v>-19.63181110008049</v>
      </c>
      <c r="AR493" s="169">
        <f t="shared" si="307"/>
        <v>96.494106966530552</v>
      </c>
      <c r="AS493" s="168" t="str">
        <f t="shared" si="308"/>
        <v>-0.000705387078601214-0.000310589075125559i</v>
      </c>
      <c r="AT493" s="190">
        <f t="shared" si="309"/>
        <v>-62.261868662898372</v>
      </c>
      <c r="AU493" s="169">
        <f t="shared" si="310"/>
        <v>-156.23562027354856</v>
      </c>
      <c r="AV493" s="225"/>
      <c r="AX493">
        <f t="shared" si="311"/>
        <v>0</v>
      </c>
      <c r="AY493">
        <f t="shared" si="312"/>
        <v>0</v>
      </c>
    </row>
    <row r="494" spans="14:51" x14ac:dyDescent="0.2">
      <c r="N494" s="170">
        <v>76</v>
      </c>
      <c r="O494" s="199">
        <f t="shared" si="313"/>
        <v>575439.93733715697</v>
      </c>
      <c r="P494" s="189" t="str">
        <f t="shared" si="279"/>
        <v>6.8875</v>
      </c>
      <c r="Q494" s="160" t="str">
        <f t="shared" si="280"/>
        <v>1+903.898939860292i</v>
      </c>
      <c r="R494" s="160">
        <f t="shared" si="288"/>
        <v>903.89949301930676</v>
      </c>
      <c r="S494" s="160">
        <f t="shared" si="289"/>
        <v>1.5696900088782335</v>
      </c>
      <c r="T494" s="160" t="str">
        <f t="shared" si="281"/>
        <v>1+1.44623830377647i</v>
      </c>
      <c r="U494" s="160">
        <f t="shared" si="290"/>
        <v>1.7582961159344692</v>
      </c>
      <c r="V494" s="160">
        <f t="shared" si="291"/>
        <v>0.96583238601615862</v>
      </c>
      <c r="W494" s="98" t="str">
        <f t="shared" si="282"/>
        <v>1-3.7558127695026i</v>
      </c>
      <c r="X494" s="160">
        <f t="shared" si="292"/>
        <v>3.8866604636318294</v>
      </c>
      <c r="Y494" s="160">
        <f t="shared" si="293"/>
        <v>-1.310579287369483</v>
      </c>
      <c r="Z494" s="98" t="str">
        <f t="shared" si="283"/>
        <v>-5.84155209674778+4.30530351960693i</v>
      </c>
      <c r="AA494" s="160">
        <f t="shared" si="294"/>
        <v>7.2566775658670544</v>
      </c>
      <c r="AB494" s="160">
        <f t="shared" si="295"/>
        <v>2.5064547591293636</v>
      </c>
      <c r="AC494" s="171" t="str">
        <f t="shared" si="296"/>
        <v>-0.00206223862561714+0.0068731169474097i</v>
      </c>
      <c r="AD494" s="190">
        <f t="shared" si="297"/>
        <v>-42.882554764623833</v>
      </c>
      <c r="AE494" s="169">
        <f t="shared" si="298"/>
        <v>106.7015656610742</v>
      </c>
      <c r="AF494" s="98" t="str">
        <f t="shared" si="284"/>
        <v>-0.0000816326530612245</v>
      </c>
      <c r="AG494" s="98" t="str">
        <f t="shared" si="285"/>
        <v>0.0803385377747827i</v>
      </c>
      <c r="AH494" s="98">
        <f t="shared" si="299"/>
        <v>8.0338537774782698E-2</v>
      </c>
      <c r="AI494" s="98">
        <f t="shared" si="300"/>
        <v>1.5707963267948966</v>
      </c>
      <c r="AJ494" s="98" t="str">
        <f t="shared" si="286"/>
        <v>1+8.89937728511956i</v>
      </c>
      <c r="AK494" s="98">
        <f t="shared" si="301"/>
        <v>8.9553847523655836</v>
      </c>
      <c r="AL494" s="98">
        <f t="shared" si="302"/>
        <v>1.4588982965300863</v>
      </c>
      <c r="AM494" s="98" t="str">
        <f t="shared" si="287"/>
        <v>1+898.837105797075i</v>
      </c>
      <c r="AN494" s="98">
        <f t="shared" si="303"/>
        <v>898.83766207122312</v>
      </c>
      <c r="AO494" s="98">
        <f t="shared" si="304"/>
        <v>1.5696837786135158</v>
      </c>
      <c r="AP494" s="168" t="str">
        <f t="shared" si="305"/>
        <v>-0.011275377958526+0.101359950760579i</v>
      </c>
      <c r="AQ494" s="98">
        <f t="shared" si="306"/>
        <v>-19.82925999015524</v>
      </c>
      <c r="AR494" s="169">
        <f t="shared" si="307"/>
        <v>96.347540554702675</v>
      </c>
      <c r="AS494" s="168" t="str">
        <f t="shared" si="308"/>
        <v>-0.000673406275416644-0.000286525396884312i</v>
      </c>
      <c r="AT494" s="190">
        <f t="shared" si="309"/>
        <v>-62.71181475477907</v>
      </c>
      <c r="AU494" s="169">
        <f t="shared" si="310"/>
        <v>-156.95089378422313</v>
      </c>
      <c r="AV494" s="225"/>
      <c r="AX494">
        <f t="shared" si="311"/>
        <v>0</v>
      </c>
      <c r="AY494">
        <f t="shared" si="312"/>
        <v>0</v>
      </c>
    </row>
    <row r="495" spans="14:51" x14ac:dyDescent="0.2">
      <c r="N495" s="170">
        <v>77</v>
      </c>
      <c r="O495" s="199">
        <f t="shared" si="313"/>
        <v>588843.65535558888</v>
      </c>
      <c r="P495" s="189" t="str">
        <f t="shared" si="279"/>
        <v>6.8875</v>
      </c>
      <c r="Q495" s="160" t="str">
        <f t="shared" si="280"/>
        <v>1+924.95345088904i</v>
      </c>
      <c r="R495" s="160">
        <f t="shared" si="288"/>
        <v>924.95399145662577</v>
      </c>
      <c r="S495" s="160">
        <f t="shared" si="289"/>
        <v>1.5697151917286714</v>
      </c>
      <c r="T495" s="160" t="str">
        <f t="shared" si="281"/>
        <v>1+1.47992552142246i</v>
      </c>
      <c r="U495" s="160">
        <f t="shared" si="290"/>
        <v>1.7861073733002559</v>
      </c>
      <c r="V495" s="160">
        <f t="shared" si="291"/>
        <v>0.97655927759863481</v>
      </c>
      <c r="W495" s="98" t="str">
        <f t="shared" si="282"/>
        <v>1-3.84329688735058i</v>
      </c>
      <c r="X495" s="160">
        <f t="shared" si="292"/>
        <v>3.9712631446831446</v>
      </c>
      <c r="Y495" s="160">
        <f t="shared" si="293"/>
        <v>-1.3162472408138994</v>
      </c>
      <c r="Z495" s="98" t="str">
        <f t="shared" si="283"/>
        <v>-6.16398451348207+4.40558692125544i</v>
      </c>
      <c r="AA495" s="160">
        <f t="shared" si="294"/>
        <v>7.5765362272732384</v>
      </c>
      <c r="AB495" s="160">
        <f t="shared" si="295"/>
        <v>2.5210487964889978</v>
      </c>
      <c r="AC495" s="171" t="str">
        <f t="shared" si="296"/>
        <v>-0.00193950200790537+0.00669595707864984i</v>
      </c>
      <c r="AD495" s="190">
        <f t="shared" si="297"/>
        <v>-43.133859890093909</v>
      </c>
      <c r="AE495" s="169">
        <f t="shared" si="298"/>
        <v>106.1538018473933</v>
      </c>
      <c r="AF495" s="98" t="str">
        <f t="shared" si="284"/>
        <v>-0.0000816326530612245</v>
      </c>
      <c r="AG495" s="98" t="str">
        <f t="shared" si="285"/>
        <v>0.0822098627150178i</v>
      </c>
      <c r="AH495" s="98">
        <f t="shared" si="299"/>
        <v>8.2209862715017804E-2</v>
      </c>
      <c r="AI495" s="98">
        <f t="shared" si="300"/>
        <v>1.5707963267948966</v>
      </c>
      <c r="AJ495" s="98" t="str">
        <f t="shared" si="286"/>
        <v>1+9.10667041152536i</v>
      </c>
      <c r="AK495" s="98">
        <f t="shared" si="301"/>
        <v>9.1614106983668986</v>
      </c>
      <c r="AL495" s="98">
        <f t="shared" si="302"/>
        <v>1.4614249097362755</v>
      </c>
      <c r="AM495" s="98" t="str">
        <f t="shared" si="287"/>
        <v>1+919.773711564062i</v>
      </c>
      <c r="AN495" s="98">
        <f t="shared" si="303"/>
        <v>919.77425517587199</v>
      </c>
      <c r="AO495" s="98">
        <f t="shared" si="304"/>
        <v>1.5697091032817554</v>
      </c>
      <c r="AP495" s="168" t="str">
        <f t="shared" si="305"/>
        <v>-0.0107739486657251+0.0991077783566294i</v>
      </c>
      <c r="AQ495" s="98">
        <f t="shared" si="306"/>
        <v>-20.026822299106925</v>
      </c>
      <c r="AR495" s="169">
        <f t="shared" si="307"/>
        <v>96.204227278133772</v>
      </c>
      <c r="AS495" s="168" t="str">
        <f t="shared" si="308"/>
        <v>-0.000642725334966089-0.000264361632954995i</v>
      </c>
      <c r="AT495" s="190">
        <f t="shared" si="309"/>
        <v>-63.160682189200834</v>
      </c>
      <c r="AU495" s="169">
        <f t="shared" si="310"/>
        <v>-157.64197087447292</v>
      </c>
      <c r="AV495" s="225"/>
      <c r="AX495">
        <f t="shared" si="311"/>
        <v>0</v>
      </c>
      <c r="AY495">
        <f t="shared" si="312"/>
        <v>0</v>
      </c>
    </row>
    <row r="496" spans="14:51" x14ac:dyDescent="0.2">
      <c r="N496" s="170">
        <v>78</v>
      </c>
      <c r="O496" s="199">
        <f t="shared" si="313"/>
        <v>602559.58607435878</v>
      </c>
      <c r="P496" s="189" t="str">
        <f t="shared" si="279"/>
        <v>6.8875</v>
      </c>
      <c r="Q496" s="160" t="str">
        <f t="shared" si="280"/>
        <v>1+946.498384480655i</v>
      </c>
      <c r="R496" s="160">
        <f t="shared" si="288"/>
        <v>946.49891274342713</v>
      </c>
      <c r="S496" s="160">
        <f t="shared" si="289"/>
        <v>1.5697398013487738</v>
      </c>
      <c r="T496" s="160" t="str">
        <f t="shared" si="281"/>
        <v>1+1.51439741516905i</v>
      </c>
      <c r="U496" s="160">
        <f t="shared" si="290"/>
        <v>1.814772583843689</v>
      </c>
      <c r="V496" s="160">
        <f t="shared" si="291"/>
        <v>0.98719442605040297</v>
      </c>
      <c r="W496" s="98" t="str">
        <f t="shared" si="282"/>
        <v>1-3.93281877208028i</v>
      </c>
      <c r="X496" s="160">
        <f t="shared" si="292"/>
        <v>4.0579629734667417</v>
      </c>
      <c r="Y496" s="160">
        <f t="shared" si="293"/>
        <v>-1.3218023769357921</v>
      </c>
      <c r="Z496" s="98" t="str">
        <f t="shared" si="283"/>
        <v>-6.50161270186159+4.50820622340443i</v>
      </c>
      <c r="AA496" s="160">
        <f t="shared" si="294"/>
        <v>7.911693312922992</v>
      </c>
      <c r="AB496" s="160">
        <f t="shared" si="295"/>
        <v>2.53531121631194</v>
      </c>
      <c r="AC496" s="171" t="str">
        <f t="shared" si="296"/>
        <v>-0.00182447506884926+0.00652298334834429i</v>
      </c>
      <c r="AD496" s="190">
        <f t="shared" si="297"/>
        <v>-43.383953237721855</v>
      </c>
      <c r="AE496" s="169">
        <f t="shared" si="298"/>
        <v>105.62627862490399</v>
      </c>
      <c r="AF496" s="98" t="str">
        <f t="shared" si="284"/>
        <v>-0.0000816326530612245</v>
      </c>
      <c r="AG496" s="98" t="str">
        <f t="shared" si="285"/>
        <v>0.0841247764126407i</v>
      </c>
      <c r="AH496" s="98">
        <f t="shared" si="299"/>
        <v>8.4124776412640698E-2</v>
      </c>
      <c r="AI496" s="98">
        <f t="shared" si="300"/>
        <v>1.5707963267948966</v>
      </c>
      <c r="AJ496" s="98" t="str">
        <f t="shared" si="286"/>
        <v>1+9.31879201512439i</v>
      </c>
      <c r="AK496" s="98">
        <f t="shared" si="301"/>
        <v>9.3722934557741038</v>
      </c>
      <c r="AL496" s="98">
        <f t="shared" si="302"/>
        <v>1.4638953656744895</v>
      </c>
      <c r="AM496" s="98" t="str">
        <f t="shared" si="287"/>
        <v>1+941.197993527564i</v>
      </c>
      <c r="AN496" s="98">
        <f t="shared" si="303"/>
        <v>941.19852476526557</v>
      </c>
      <c r="AO496" s="98">
        <f t="shared" si="304"/>
        <v>1.5697338514915149</v>
      </c>
      <c r="AP496" s="168" t="str">
        <f t="shared" si="305"/>
        <v>-0.0102945614554647+0.0969032529599314i</v>
      </c>
      <c r="AQ496" s="98">
        <f t="shared" si="306"/>
        <v>-20.224493043993235</v>
      </c>
      <c r="AR496" s="169">
        <f t="shared" si="307"/>
        <v>96.064098547370762</v>
      </c>
      <c r="AS496" s="168" t="str">
        <f t="shared" si="308"/>
        <v>-0.000613316134737795-0.000243948822068291i</v>
      </c>
      <c r="AT496" s="190">
        <f t="shared" si="309"/>
        <v>-63.608446281715089</v>
      </c>
      <c r="AU496" s="169">
        <f t="shared" si="310"/>
        <v>-158.30962282772524</v>
      </c>
      <c r="AV496" s="225"/>
      <c r="AX496">
        <f t="shared" si="311"/>
        <v>0</v>
      </c>
      <c r="AY496">
        <f t="shared" si="312"/>
        <v>0</v>
      </c>
    </row>
    <row r="497" spans="14:51" x14ac:dyDescent="0.2">
      <c r="N497" s="170">
        <v>79</v>
      </c>
      <c r="O497" s="199">
        <f t="shared" si="313"/>
        <v>616595.00186148309</v>
      </c>
      <c r="P497" s="189" t="str">
        <f t="shared" si="279"/>
        <v>6.8875</v>
      </c>
      <c r="Q497" s="160" t="str">
        <f t="shared" si="280"/>
        <v>1+968.54516404411i</v>
      </c>
      <c r="R497" s="160">
        <f t="shared" si="288"/>
        <v>968.54568028215988</v>
      </c>
      <c r="S497" s="160">
        <f t="shared" si="289"/>
        <v>1.5697638507867682</v>
      </c>
      <c r="T497" s="160" t="str">
        <f t="shared" si="281"/>
        <v>1+1.54967226247058i</v>
      </c>
      <c r="U497" s="160">
        <f t="shared" si="290"/>
        <v>1.844311286380552</v>
      </c>
      <c r="V497" s="160">
        <f t="shared" si="291"/>
        <v>0.99773384695779432</v>
      </c>
      <c r="W497" s="98" t="str">
        <f t="shared" si="282"/>
        <v>1-4.02442588937996i</v>
      </c>
      <c r="X497" s="160">
        <f t="shared" si="292"/>
        <v>4.1468064506450837</v>
      </c>
      <c r="Y497" s="160">
        <f t="shared" si="293"/>
        <v>-1.3272462691343012</v>
      </c>
      <c r="Z497" s="98" t="str">
        <f t="shared" si="283"/>
        <v>-6.85515281654054+4.61321583616624i</v>
      </c>
      <c r="AA497" s="160">
        <f t="shared" si="294"/>
        <v>8.2628615194240478</v>
      </c>
      <c r="AB497" s="160">
        <f t="shared" si="295"/>
        <v>2.5492485644146328</v>
      </c>
      <c r="AC497" s="171" t="str">
        <f t="shared" si="296"/>
        <v>-0.00171667496562897+0.00635420951802237i</v>
      </c>
      <c r="AD497" s="190">
        <f t="shared" si="297"/>
        <v>-43.632819631185555</v>
      </c>
      <c r="AE497" s="169">
        <f t="shared" si="298"/>
        <v>105.11830175912499</v>
      </c>
      <c r="AF497" s="98" t="str">
        <f t="shared" si="284"/>
        <v>-0.0000816326530612245</v>
      </c>
      <c r="AG497" s="98" t="str">
        <f t="shared" si="285"/>
        <v>0.0860842941802405i</v>
      </c>
      <c r="AH497" s="98">
        <f t="shared" si="299"/>
        <v>8.6084294180240495E-2</v>
      </c>
      <c r="AI497" s="98">
        <f t="shared" si="300"/>
        <v>1.5707963267948966</v>
      </c>
      <c r="AJ497" s="98" t="str">
        <f t="shared" si="286"/>
        <v>1+9.53585456559865i</v>
      </c>
      <c r="AK497" s="98">
        <f t="shared" si="301"/>
        <v>9.5881448829400036</v>
      </c>
      <c r="AL497" s="98">
        <f t="shared" si="302"/>
        <v>1.4663108535269991</v>
      </c>
      <c r="AM497" s="98" t="str">
        <f t="shared" si="287"/>
        <v>1+963.121311125463i</v>
      </c>
      <c r="AN497" s="98">
        <f t="shared" si="303"/>
        <v>963.12183027072467</v>
      </c>
      <c r="AO497" s="98">
        <f t="shared" si="304"/>
        <v>1.5697580363645016</v>
      </c>
      <c r="AP497" s="168" t="str">
        <f t="shared" si="305"/>
        <v>-0.0098362697757747+0.0947455254678123i</v>
      </c>
      <c r="AQ497" s="98">
        <f t="shared" si="306"/>
        <v>-20.42226745561188</v>
      </c>
      <c r="AR497" s="169">
        <f t="shared" si="307"/>
        <v>95.927086979107074</v>
      </c>
      <c r="AS497" s="168" t="str">
        <f t="shared" si="308"/>
        <v>-0.000585147241638358-0.000225148990707019i</v>
      </c>
      <c r="AT497" s="190">
        <f t="shared" si="309"/>
        <v>-64.055087086797442</v>
      </c>
      <c r="AU497" s="169">
        <f t="shared" si="310"/>
        <v>-158.95461126176792</v>
      </c>
      <c r="AV497" s="225"/>
      <c r="AX497">
        <f t="shared" si="311"/>
        <v>0</v>
      </c>
      <c r="AY497">
        <f t="shared" si="312"/>
        <v>0</v>
      </c>
    </row>
    <row r="498" spans="14:51" x14ac:dyDescent="0.2">
      <c r="N498" s="170">
        <v>80</v>
      </c>
      <c r="O498" s="199">
        <f t="shared" si="313"/>
        <v>630957.34448019415</v>
      </c>
      <c r="P498" s="189" t="str">
        <f t="shared" si="279"/>
        <v>6.8875</v>
      </c>
      <c r="Q498" s="160" t="str">
        <f t="shared" si="280"/>
        <v>1+991.10547907375i</v>
      </c>
      <c r="R498" s="160">
        <f t="shared" si="288"/>
        <v>991.10598356079322</v>
      </c>
      <c r="S498" s="160">
        <f t="shared" si="289"/>
        <v>1.5697873527938733</v>
      </c>
      <c r="T498" s="160" t="str">
        <f t="shared" si="281"/>
        <v>1+1.585768766518i</v>
      </c>
      <c r="U498" s="160">
        <f t="shared" si="290"/>
        <v>1.8747433373302114</v>
      </c>
      <c r="V498" s="160">
        <f t="shared" si="291"/>
        <v>1.0081737625840517</v>
      </c>
      <c r="W498" s="98" t="str">
        <f t="shared" si="282"/>
        <v>1-4.11816681055575i</v>
      </c>
      <c r="X498" s="160">
        <f t="shared" si="292"/>
        <v>4.2378411814935815</v>
      </c>
      <c r="Y498" s="160">
        <f t="shared" si="293"/>
        <v>-1.3325805126031591</v>
      </c>
      <c r="Z498" s="98" t="str">
        <f t="shared" si="283"/>
        <v>-7.225354763502+4.72067143702751i</v>
      </c>
      <c r="AA498" s="160">
        <f t="shared" si="294"/>
        <v>8.6307873496471004</v>
      </c>
      <c r="AB498" s="160">
        <f t="shared" si="295"/>
        <v>2.5628673954124404</v>
      </c>
      <c r="AC498" s="171" t="str">
        <f t="shared" si="296"/>
        <v>-0.00161564557578965+0.00618963104881564i</v>
      </c>
      <c r="AD498" s="190">
        <f t="shared" si="297"/>
        <v>-43.880448136070449</v>
      </c>
      <c r="AE498" s="169">
        <f t="shared" si="298"/>
        <v>104.62918712142793</v>
      </c>
      <c r="AF498" s="98" t="str">
        <f t="shared" si="284"/>
        <v>-0.0000816326530612245</v>
      </c>
      <c r="AG498" s="98" t="str">
        <f t="shared" si="285"/>
        <v>0.088089454980075i</v>
      </c>
      <c r="AH498" s="98">
        <f t="shared" si="299"/>
        <v>8.8089454980075005E-2</v>
      </c>
      <c r="AI498" s="98">
        <f t="shared" si="300"/>
        <v>1.5707963267948966</v>
      </c>
      <c r="AJ498" s="98" t="str">
        <f t="shared" si="286"/>
        <v>1+9.75797315238552i</v>
      </c>
      <c r="AK498" s="98">
        <f t="shared" si="301"/>
        <v>9.8090794696891219</v>
      </c>
      <c r="AL498" s="98">
        <f t="shared" si="302"/>
        <v>1.4686725412090675</v>
      </c>
      <c r="AM498" s="98" t="str">
        <f t="shared" si="287"/>
        <v>1+985.555288390937i</v>
      </c>
      <c r="AN498" s="98">
        <f t="shared" si="303"/>
        <v>985.55579571901603</v>
      </c>
      <c r="AO498" s="98">
        <f t="shared" si="304"/>
        <v>1.569781670723742</v>
      </c>
      <c r="AP498" s="168" t="str">
        <f t="shared" si="305"/>
        <v>-0.009398165770912+0.0926337510352923i</v>
      </c>
      <c r="AQ498" s="98">
        <f t="shared" si="306"/>
        <v>-20.620140969783908</v>
      </c>
      <c r="AR498" s="169">
        <f t="shared" si="307"/>
        <v>95.793126391432452</v>
      </c>
      <c r="AS498" s="168" t="str">
        <f t="shared" si="308"/>
        <v>-0.000558184636627992-0.000207834488686523i</v>
      </c>
      <c r="AT498" s="190">
        <f t="shared" si="309"/>
        <v>-64.500589105854345</v>
      </c>
      <c r="AU498" s="169">
        <f t="shared" si="310"/>
        <v>-159.57768648713963</v>
      </c>
      <c r="AV498" s="225"/>
      <c r="AX498">
        <f t="shared" si="311"/>
        <v>0</v>
      </c>
      <c r="AY498">
        <f t="shared" si="312"/>
        <v>0</v>
      </c>
    </row>
    <row r="499" spans="14:51" x14ac:dyDescent="0.2">
      <c r="N499" s="170">
        <v>81</v>
      </c>
      <c r="O499" s="199">
        <f t="shared" si="313"/>
        <v>645654.22903465747</v>
      </c>
      <c r="P499" s="189" t="str">
        <f t="shared" si="279"/>
        <v>6.8875</v>
      </c>
      <c r="Q499" s="160" t="str">
        <f t="shared" si="280"/>
        <v>1+1014.19129134723i</v>
      </c>
      <c r="R499" s="160">
        <f t="shared" si="288"/>
        <v>1014.191784350752</v>
      </c>
      <c r="S499" s="160">
        <f t="shared" si="289"/>
        <v>1.5698103198310607</v>
      </c>
      <c r="T499" s="160" t="str">
        <f t="shared" si="281"/>
        <v>1+1.62270606615557i</v>
      </c>
      <c r="U499" s="160">
        <f t="shared" si="290"/>
        <v>1.9060889216240895</v>
      </c>
      <c r="V499" s="160">
        <f t="shared" si="291"/>
        <v>1.0185106051184609</v>
      </c>
      <c r="W499" s="98" t="str">
        <f t="shared" si="282"/>
        <v>1-4.21409123828489i</v>
      </c>
      <c r="X499" s="160">
        <f t="shared" si="292"/>
        <v>4.3311159029272677</v>
      </c>
      <c r="Y499" s="160">
        <f t="shared" si="293"/>
        <v>-1.3378067208531039</v>
      </c>
      <c r="Z499" s="98" t="str">
        <f t="shared" si="283"/>
        <v>-7.61300379070945+4.83063000037018i</v>
      </c>
      <c r="AA499" s="160">
        <f t="shared" si="294"/>
        <v>9.0162527092929725</v>
      </c>
      <c r="AB499" s="160">
        <f t="shared" si="295"/>
        <v>2.5761742542271668</v>
      </c>
      <c r="AC499" s="171" t="str">
        <f t="shared" si="296"/>
        <v>-0.00152095667966926+0.00602922753084887i</v>
      </c>
      <c r="AD499" s="190">
        <f t="shared" si="297"/>
        <v>-44.126831778999716</v>
      </c>
      <c r="AE499" s="169">
        <f t="shared" si="298"/>
        <v>104.15826213360356</v>
      </c>
      <c r="AF499" s="98" t="str">
        <f t="shared" si="284"/>
        <v>-0.0000816326530612245</v>
      </c>
      <c r="AG499" s="98" t="str">
        <f t="shared" si="285"/>
        <v>0.0901413219749419i</v>
      </c>
      <c r="AH499" s="98">
        <f t="shared" si="299"/>
        <v>9.0141321974941901E-2</v>
      </c>
      <c r="AI499" s="98">
        <f t="shared" si="300"/>
        <v>1.5707963267948966</v>
      </c>
      <c r="AJ499" s="98" t="str">
        <f t="shared" si="286"/>
        <v>1+9.98526554569986i</v>
      </c>
      <c r="AK499" s="98">
        <f t="shared" si="301"/>
        <v>10.035214398214956</v>
      </c>
      <c r="AL499" s="98">
        <f t="shared" si="302"/>
        <v>1.4709815754813631</v>
      </c>
      <c r="AM499" s="98" t="str">
        <f t="shared" si="287"/>
        <v>1+1008.51182011569i</v>
      </c>
      <c r="AN499" s="98">
        <f t="shared" si="303"/>
        <v>1008.5123158955778</v>
      </c>
      <c r="AO499" s="98">
        <f t="shared" si="304"/>
        <v>1.5698047671003805</v>
      </c>
      <c r="AP499" s="168" t="str">
        <f t="shared" si="305"/>
        <v>-0.00897937887094376+0.0905670899154572i</v>
      </c>
      <c r="AQ499" s="98">
        <f t="shared" si="306"/>
        <v>-20.818109218952742</v>
      </c>
      <c r="AR499" s="169">
        <f t="shared" si="307"/>
        <v>95.6621517977823</v>
      </c>
      <c r="AS499" s="168" t="str">
        <f t="shared" si="308"/>
        <v>-0.000532392345634097-0.000191887338663738i</v>
      </c>
      <c r="AT499" s="190">
        <f t="shared" si="309"/>
        <v>-64.944940997952457</v>
      </c>
      <c r="AU499" s="169">
        <f t="shared" si="310"/>
        <v>-160.1795860686141</v>
      </c>
      <c r="AV499" s="225"/>
      <c r="AX499">
        <f t="shared" si="311"/>
        <v>0</v>
      </c>
      <c r="AY499">
        <f t="shared" si="312"/>
        <v>0</v>
      </c>
    </row>
    <row r="500" spans="14:51" x14ac:dyDescent="0.2">
      <c r="N500" s="170">
        <v>82</v>
      </c>
      <c r="O500" s="199">
        <f t="shared" si="313"/>
        <v>660693.44800759677</v>
      </c>
      <c r="P500" s="189" t="str">
        <f t="shared" si="279"/>
        <v>6.8875</v>
      </c>
      <c r="Q500" s="160" t="str">
        <f t="shared" si="280"/>
        <v>1+1037.81484126779i</v>
      </c>
      <c r="R500" s="160">
        <f t="shared" si="288"/>
        <v>1037.8153230491869</v>
      </c>
      <c r="S500" s="160">
        <f t="shared" si="289"/>
        <v>1.5698327640756604</v>
      </c>
      <c r="T500" s="160" t="str">
        <f t="shared" si="281"/>
        <v>1+1.66050374602846i</v>
      </c>
      <c r="U500" s="160">
        <f t="shared" si="290"/>
        <v>1.9383685641731161</v>
      </c>
      <c r="V500" s="160">
        <f t="shared" si="291"/>
        <v>1.0287410189786759</v>
      </c>
      <c r="W500" s="98" t="str">
        <f t="shared" si="282"/>
        <v>1-4.31225003296864i</v>
      </c>
      <c r="X500" s="160">
        <f t="shared" si="292"/>
        <v>4.4266805110418845</v>
      </c>
      <c r="Y500" s="160">
        <f t="shared" si="293"/>
        <v>-1.3429265224309723</v>
      </c>
      <c r="Z500" s="98" t="str">
        <f t="shared" si="283"/>
        <v>-8.01892215372244+4.94314982767997i</v>
      </c>
      <c r="AA500" s="160">
        <f t="shared" si="294"/>
        <v>9.4200765775206445</v>
      </c>
      <c r="AB500" s="160">
        <f t="shared" si="295"/>
        <v>2.5891756597625846</v>
      </c>
      <c r="AC500" s="171" t="str">
        <f t="shared" si="296"/>
        <v>-0.00143220305552322+0.0058729648879576i</v>
      </c>
      <c r="AD500" s="190">
        <f t="shared" si="297"/>
        <v>-44.371967270861447</v>
      </c>
      <c r="AE500" s="169">
        <f t="shared" si="298"/>
        <v>103.7048670227023</v>
      </c>
      <c r="AF500" s="98" t="str">
        <f t="shared" si="284"/>
        <v>-0.0000816326530612245</v>
      </c>
      <c r="AG500" s="98" t="str">
        <f t="shared" si="285"/>
        <v>0.092240983091881i</v>
      </c>
      <c r="AH500" s="98">
        <f t="shared" si="299"/>
        <v>9.2240983091881001E-2</v>
      </c>
      <c r="AI500" s="98">
        <f t="shared" si="300"/>
        <v>1.5707963267948966</v>
      </c>
      <c r="AJ500" s="98" t="str">
        <f t="shared" si="286"/>
        <v>1+10.2178522589771i</v>
      </c>
      <c r="AK500" s="98">
        <f t="shared" si="301"/>
        <v>10.266669605392169</v>
      </c>
      <c r="AL500" s="98">
        <f t="shared" si="302"/>
        <v>1.4732390820829639</v>
      </c>
      <c r="AM500" s="98" t="str">
        <f t="shared" si="287"/>
        <v>1+1032.00307815669i</v>
      </c>
      <c r="AN500" s="98">
        <f t="shared" si="303"/>
        <v>1032.0035626512554</v>
      </c>
      <c r="AO500" s="98">
        <f t="shared" si="304"/>
        <v>1.5698273377403231</v>
      </c>
      <c r="AP500" s="168" t="str">
        <f t="shared" si="305"/>
        <v>-0.00857907441723494+0.0885447082253461i</v>
      </c>
      <c r="AQ500" s="98">
        <f t="shared" si="306"/>
        <v>-21.016168024091122</v>
      </c>
      <c r="AR500" s="169">
        <f t="shared" si="307"/>
        <v>95.534099399697268</v>
      </c>
      <c r="AS500" s="168" t="str">
        <f t="shared" si="308"/>
        <v>-0.000507732985827983-0.000177198604494349i</v>
      </c>
      <c r="AT500" s="190">
        <f t="shared" si="309"/>
        <v>-65.388135294952562</v>
      </c>
      <c r="AU500" s="169">
        <f t="shared" si="310"/>
        <v>-160.76103357760039</v>
      </c>
      <c r="AV500" s="225"/>
      <c r="AX500">
        <f t="shared" si="311"/>
        <v>0</v>
      </c>
      <c r="AY500">
        <f t="shared" si="312"/>
        <v>0</v>
      </c>
    </row>
    <row r="501" spans="14:51" x14ac:dyDescent="0.2">
      <c r="N501" s="170">
        <v>83</v>
      </c>
      <c r="O501" s="199">
        <f t="shared" si="313"/>
        <v>676082.97539198259</v>
      </c>
      <c r="P501" s="189" t="str">
        <f t="shared" si="279"/>
        <v>6.8875</v>
      </c>
      <c r="Q501" s="160" t="str">
        <f t="shared" si="280"/>
        <v>1+1061.98865435429i</v>
      </c>
      <c r="R501" s="160">
        <f t="shared" si="288"/>
        <v>1061.9891251690083</v>
      </c>
      <c r="S501" s="160">
        <f t="shared" si="289"/>
        <v>1.5698546974278176</v>
      </c>
      <c r="T501" s="160" t="str">
        <f t="shared" si="281"/>
        <v>1+1.69918184696686i</v>
      </c>
      <c r="U501" s="160">
        <f t="shared" si="290"/>
        <v>1.9716031418776216</v>
      </c>
      <c r="V501" s="160">
        <f t="shared" si="291"/>
        <v>1.0388618621956422</v>
      </c>
      <c r="W501" s="98" t="str">
        <f t="shared" si="282"/>
        <v>1-4.41269523969927i</v>
      </c>
      <c r="X501" s="160">
        <f t="shared" si="292"/>
        <v>4.5245860891870091</v>
      </c>
      <c r="Y501" s="160">
        <f t="shared" si="293"/>
        <v>-1.3479415578303655</v>
      </c>
      <c r="Z501" s="98" t="str">
        <f t="shared" si="283"/>
        <v>-8.44397085981149+5.05829057845874i</v>
      </c>
      <c r="AA501" s="160">
        <f t="shared" si="294"/>
        <v>9.8431167552493282</v>
      </c>
      <c r="AB501" s="160">
        <f t="shared" si="295"/>
        <v>2.6018780905710139</v>
      </c>
      <c r="AC501" s="171" t="str">
        <f t="shared" si="296"/>
        <v>-0.00134900351056482+0.00572079737026553i</v>
      </c>
      <c r="AD501" s="190">
        <f t="shared" si="297"/>
        <v>-44.615854735584968</v>
      </c>
      <c r="AE501" s="169">
        <f t="shared" si="298"/>
        <v>103.26835589826503</v>
      </c>
      <c r="AF501" s="98" t="str">
        <f t="shared" si="284"/>
        <v>-0.0000816326530612245</v>
      </c>
      <c r="AG501" s="98" t="str">
        <f t="shared" si="285"/>
        <v>0.0943895515990094i</v>
      </c>
      <c r="AH501" s="98">
        <f t="shared" si="299"/>
        <v>9.43895515990094E-2</v>
      </c>
      <c r="AI501" s="98">
        <f t="shared" si="300"/>
        <v>1.5707963267948966</v>
      </c>
      <c r="AJ501" s="98" t="str">
        <f t="shared" si="286"/>
        <v>1+10.4558566127714i</v>
      </c>
      <c r="AK501" s="98">
        <f t="shared" si="301"/>
        <v>10.503567846538404</v>
      </c>
      <c r="AL501" s="98">
        <f t="shared" si="302"/>
        <v>1.475446165883125</v>
      </c>
      <c r="AM501" s="98" t="str">
        <f t="shared" si="287"/>
        <v>1+1056.04151788991i</v>
      </c>
      <c r="AN501" s="98">
        <f t="shared" si="303"/>
        <v>1056.0419913560372</v>
      </c>
      <c r="AO501" s="98">
        <f t="shared" si="304"/>
        <v>1.5698493946107297</v>
      </c>
      <c r="AP501" s="168" t="str">
        <f t="shared" si="305"/>
        <v>-0.00819645232445568+0.0865657786419943i</v>
      </c>
      <c r="AQ501" s="98">
        <f t="shared" si="306"/>
        <v>-21.214313386908195</v>
      </c>
      <c r="AR501" s="169">
        <f t="shared" si="307"/>
        <v>95.408906578499938</v>
      </c>
      <c r="AS501" s="168" t="str">
        <f t="shared" si="308"/>
        <v>-0.000484168235850241-0.00016366778218608i</v>
      </c>
      <c r="AT501" s="190">
        <f t="shared" si="309"/>
        <v>-65.830168122493163</v>
      </c>
      <c r="AU501" s="169">
        <f t="shared" si="310"/>
        <v>-161.32273752323505</v>
      </c>
      <c r="AV501" s="225"/>
      <c r="AX501">
        <f t="shared" si="311"/>
        <v>0</v>
      </c>
      <c r="AY501">
        <f t="shared" si="312"/>
        <v>0</v>
      </c>
    </row>
    <row r="502" spans="14:51" x14ac:dyDescent="0.2">
      <c r="N502" s="170">
        <v>84</v>
      </c>
      <c r="O502" s="199">
        <f t="shared" si="313"/>
        <v>691830.97091893724</v>
      </c>
      <c r="P502" s="189" t="str">
        <f t="shared" si="279"/>
        <v>6.8875</v>
      </c>
      <c r="Q502" s="160" t="str">
        <f t="shared" si="280"/>
        <v>1+1086.72554788241i</v>
      </c>
      <c r="R502" s="160">
        <f t="shared" si="288"/>
        <v>1086.7260079800815</v>
      </c>
      <c r="S502" s="160">
        <f t="shared" si="289"/>
        <v>1.5698761315168013</v>
      </c>
      <c r="T502" s="160" t="str">
        <f t="shared" si="281"/>
        <v>1+1.73876087661186i</v>
      </c>
      <c r="U502" s="160">
        <f t="shared" si="290"/>
        <v>2.0058138961618655</v>
      </c>
      <c r="V502" s="160">
        <f t="shared" si="291"/>
        <v>1.0488702069162295</v>
      </c>
      <c r="W502" s="98" t="str">
        <f t="shared" si="282"/>
        <v>1-4.5154801158549i</v>
      </c>
      <c r="X502" s="160">
        <f t="shared" si="292"/>
        <v>4.6248849365882583</v>
      </c>
      <c r="Y502" s="160">
        <f t="shared" si="293"/>
        <v>-1.3528534765883293</v>
      </c>
      <c r="Z502" s="98" t="str">
        <f t="shared" si="283"/>
        <v>-8.8890514942694+5.17611330185658i</v>
      </c>
      <c r="AA502" s="160">
        <f t="shared" si="294"/>
        <v>10.28627169490626</v>
      </c>
      <c r="AB502" s="160">
        <f t="shared" si="295"/>
        <v>2.6142879723412125</v>
      </c>
      <c r="AC502" s="171" t="str">
        <f t="shared" si="296"/>
        <v>-0.00127099986794513+0.00557266934781906i</v>
      </c>
      <c r="AD502" s="190">
        <f t="shared" si="297"/>
        <v>-44.858497445698298</v>
      </c>
      <c r="AE502" s="169">
        <f t="shared" si="298"/>
        <v>102.84809766399913</v>
      </c>
      <c r="AF502" s="98" t="str">
        <f t="shared" si="284"/>
        <v>-0.0000816326530612245</v>
      </c>
      <c r="AG502" s="98" t="str">
        <f t="shared" si="285"/>
        <v>0.0965881666957889i</v>
      </c>
      <c r="AH502" s="98">
        <f t="shared" si="299"/>
        <v>9.6588166695788902E-2</v>
      </c>
      <c r="AI502" s="98">
        <f t="shared" si="300"/>
        <v>1.5707963267948966</v>
      </c>
      <c r="AJ502" s="98" t="str">
        <f t="shared" si="286"/>
        <v>1+10.6994048001413i</v>
      </c>
      <c r="AK502" s="98">
        <f t="shared" si="301"/>
        <v>10.746034760658775</v>
      </c>
      <c r="AL502" s="98">
        <f t="shared" si="302"/>
        <v>1.4776039110500672</v>
      </c>
      <c r="AM502" s="98" t="str">
        <f t="shared" si="287"/>
        <v>1+1080.63988481427i</v>
      </c>
      <c r="AN502" s="98">
        <f t="shared" si="303"/>
        <v>1080.6403475029974</v>
      </c>
      <c r="AO502" s="98">
        <f t="shared" si="304"/>
        <v>1.5698709494063592</v>
      </c>
      <c r="AP502" s="168" t="str">
        <f t="shared" si="305"/>
        <v>-0.00783074577952296+0.0846294810330547i</v>
      </c>
      <c r="AQ502" s="98">
        <f t="shared" si="306"/>
        <v>-21.41254148234815</v>
      </c>
      <c r="AR502" s="169">
        <f t="shared" si="307"/>
        <v>95.286511885987224</v>
      </c>
      <c r="AS502" s="168" t="str">
        <f t="shared" si="308"/>
        <v>-0.000461659238023053-0.000151202216193388i</v>
      </c>
      <c r="AT502" s="190">
        <f t="shared" si="309"/>
        <v>-66.271038928046437</v>
      </c>
      <c r="AU502" s="169">
        <f t="shared" si="310"/>
        <v>-161.86539045001368</v>
      </c>
      <c r="AV502" s="225"/>
      <c r="AX502">
        <f t="shared" si="311"/>
        <v>0</v>
      </c>
      <c r="AY502">
        <f t="shared" si="312"/>
        <v>0</v>
      </c>
    </row>
    <row r="503" spans="14:51" x14ac:dyDescent="0.2">
      <c r="N503" s="170">
        <v>85</v>
      </c>
      <c r="O503" s="199">
        <f t="shared" si="313"/>
        <v>707945.78438413853</v>
      </c>
      <c r="P503" s="189" t="str">
        <f t="shared" si="279"/>
        <v>6.8875</v>
      </c>
      <c r="Q503" s="160" t="str">
        <f t="shared" si="280"/>
        <v>1+1112.03863768054i</v>
      </c>
      <c r="R503" s="160">
        <f t="shared" si="288"/>
        <v>1112.0390873051142</v>
      </c>
      <c r="S503" s="160">
        <f t="shared" si="289"/>
        <v>1.5698970777071706</v>
      </c>
      <c r="T503" s="160" t="str">
        <f t="shared" si="281"/>
        <v>1+1.77926182028886i</v>
      </c>
      <c r="U503" s="160">
        <f t="shared" si="290"/>
        <v>2.0410224460151403</v>
      </c>
      <c r="V503" s="160">
        <f t="shared" si="291"/>
        <v>1.0587633390638604</v>
      </c>
      <c r="W503" s="98" t="str">
        <f t="shared" si="282"/>
        <v>1-4.62065915933741i</v>
      </c>
      <c r="X503" s="160">
        <f t="shared" si="292"/>
        <v>4.7276305975370683</v>
      </c>
      <c r="Y503" s="160">
        <f t="shared" si="293"/>
        <v>-1.3576639345622141</v>
      </c>
      <c r="Z503" s="98" t="str">
        <f t="shared" si="283"/>
        <v>-9.3551081327949+5.29668046904105i</v>
      </c>
      <c r="AA503" s="160">
        <f t="shared" si="294"/>
        <v>10.750482415566577</v>
      </c>
      <c r="AB503" s="160">
        <f t="shared" si="295"/>
        <v>2.6264116670463498</v>
      </c>
      <c r="AC503" s="171" t="str">
        <f t="shared" si="296"/>
        <v>-0.00119785592677907+0.00542851691879011i</v>
      </c>
      <c r="AD503" s="190">
        <f t="shared" si="297"/>
        <v>-45.09990156569738</v>
      </c>
      <c r="AE503" s="169">
        <f t="shared" si="298"/>
        <v>102.44347677578047</v>
      </c>
      <c r="AF503" s="98" t="str">
        <f t="shared" si="284"/>
        <v>-0.0000816326530612245</v>
      </c>
      <c r="AG503" s="98" t="str">
        <f t="shared" si="285"/>
        <v>0.0988379941170461i</v>
      </c>
      <c r="AH503" s="98">
        <f t="shared" si="299"/>
        <v>9.8837994117046094E-2</v>
      </c>
      <c r="AI503" s="98">
        <f t="shared" si="300"/>
        <v>1.5707963267948966</v>
      </c>
      <c r="AJ503" s="98" t="str">
        <f t="shared" si="286"/>
        <v>1+10.9486259535597i</v>
      </c>
      <c r="AK503" s="98">
        <f t="shared" si="301"/>
        <v>10.994198937210527</v>
      </c>
      <c r="AL503" s="98">
        <f t="shared" si="302"/>
        <v>1.479713381235193</v>
      </c>
      <c r="AM503" s="98" t="str">
        <f t="shared" si="287"/>
        <v>1+1105.81122130953i</v>
      </c>
      <c r="AN503" s="98">
        <f t="shared" si="303"/>
        <v>1105.8116734661805</v>
      </c>
      <c r="AO503" s="98">
        <f t="shared" si="304"/>
        <v>1.5698920135557692</v>
      </c>
      <c r="AP503" s="168" t="str">
        <f t="shared" si="305"/>
        <v>-0.00748121997771212+0.082735003026187i</v>
      </c>
      <c r="AQ503" s="98">
        <f t="shared" si="306"/>
        <v>-21.610848651372837</v>
      </c>
      <c r="AR503" s="169">
        <f t="shared" si="307"/>
        <v>95.166855034231034</v>
      </c>
      <c r="AS503" s="168" t="str">
        <f t="shared" si="308"/>
        <v>-0.000440166940013967-0.000139716542949203i</v>
      </c>
      <c r="AT503" s="190">
        <f t="shared" si="309"/>
        <v>-66.710750217070213</v>
      </c>
      <c r="AU503" s="169">
        <f t="shared" si="310"/>
        <v>-162.3896681899885</v>
      </c>
      <c r="AV503" s="225"/>
      <c r="AX503">
        <f t="shared" si="311"/>
        <v>0</v>
      </c>
      <c r="AY503">
        <f t="shared" si="312"/>
        <v>0</v>
      </c>
    </row>
    <row r="504" spans="14:51" x14ac:dyDescent="0.2">
      <c r="N504" s="170">
        <v>86</v>
      </c>
      <c r="O504" s="199">
        <f t="shared" si="313"/>
        <v>724435.96007499192</v>
      </c>
      <c r="P504" s="189" t="str">
        <f t="shared" si="279"/>
        <v>6.8875</v>
      </c>
      <c r="Q504" s="160" t="str">
        <f t="shared" si="280"/>
        <v>1+1137.94134508393i</v>
      </c>
      <c r="R504" s="160">
        <f t="shared" si="288"/>
        <v>1137.9417844738034</v>
      </c>
      <c r="S504" s="160">
        <f t="shared" si="289"/>
        <v>1.569917547104799</v>
      </c>
      <c r="T504" s="160" t="str">
        <f t="shared" si="281"/>
        <v>1+1.82070615213429i</v>
      </c>
      <c r="U504" s="160">
        <f t="shared" si="290"/>
        <v>2.0772508015210041</v>
      </c>
      <c r="V504" s="160">
        <f t="shared" si="291"/>
        <v>1.068538757201742</v>
      </c>
      <c r="W504" s="98" t="str">
        <f t="shared" si="282"/>
        <v>1-4.72828813746786i</v>
      </c>
      <c r="X504" s="160">
        <f t="shared" si="292"/>
        <v>4.8328778911658103</v>
      </c>
      <c r="Y504" s="160">
        <f t="shared" si="293"/>
        <v>-1.3623745913805694</v>
      </c>
      <c r="Z504" s="98" t="str">
        <f t="shared" si="283"/>
        <v>-9.8431293440036+5.42005600632005i</v>
      </c>
      <c r="AA504" s="160">
        <f t="shared" si="294"/>
        <v>11.236734507606325</v>
      </c>
      <c r="AB504" s="160">
        <f t="shared" si="295"/>
        <v>2.6382554635997599</v>
      </c>
      <c r="AC504" s="171" t="str">
        <f t="shared" si="296"/>
        <v>-0.00112925640968882+0.00528826934578992i</v>
      </c>
      <c r="AD504" s="190">
        <f t="shared" si="297"/>
        <v>-45.340075904073977</v>
      </c>
      <c r="AE504" s="169">
        <f t="shared" si="298"/>
        <v>102.05389385761512</v>
      </c>
      <c r="AF504" s="98" t="str">
        <f t="shared" si="284"/>
        <v>-0.0000816326530612245</v>
      </c>
      <c r="AG504" s="98" t="str">
        <f t="shared" si="285"/>
        <v>0.10114022675106i</v>
      </c>
      <c r="AH504" s="98">
        <f t="shared" si="299"/>
        <v>0.10114022675106001</v>
      </c>
      <c r="AI504" s="98">
        <f t="shared" si="300"/>
        <v>1.5707963267948966</v>
      </c>
      <c r="AJ504" s="98" t="str">
        <f t="shared" si="286"/>
        <v>1+11.2036522133808i</v>
      </c>
      <c r="AK504" s="98">
        <f t="shared" si="301"/>
        <v>11.248191984420984</v>
      </c>
      <c r="AL504" s="98">
        <f t="shared" si="302"/>
        <v>1.4817756197711944</v>
      </c>
      <c r="AM504" s="98" t="str">
        <f t="shared" si="287"/>
        <v>1+1131.56887355146i</v>
      </c>
      <c r="AN504" s="98">
        <f t="shared" si="303"/>
        <v>1131.5693154157725</v>
      </c>
      <c r="AO504" s="98">
        <f t="shared" si="304"/>
        <v>1.5699125982273761</v>
      </c>
      <c r="AP504" s="168" t="str">
        <f t="shared" si="305"/>
        <v>-0.00714717089601674+0.080881540521204i</v>
      </c>
      <c r="AQ504" s="98">
        <f t="shared" si="306"/>
        <v>-21.809231394019491</v>
      </c>
      <c r="AR504" s="169">
        <f t="shared" si="307"/>
        <v>95.049876884574658</v>
      </c>
      <c r="AS504" s="168" t="str">
        <f t="shared" si="308"/>
        <v>-0.00041965238283308-0.000129132162817603i</v>
      </c>
      <c r="AT504" s="190">
        <f t="shared" si="309"/>
        <v>-67.149307298093461</v>
      </c>
      <c r="AU504" s="169">
        <f t="shared" si="310"/>
        <v>-162.89622925781018</v>
      </c>
      <c r="AV504" s="225"/>
      <c r="AX504">
        <f t="shared" si="311"/>
        <v>0</v>
      </c>
      <c r="AY504">
        <f t="shared" si="312"/>
        <v>0</v>
      </c>
    </row>
    <row r="505" spans="14:51" x14ac:dyDescent="0.2">
      <c r="N505" s="170">
        <v>87</v>
      </c>
      <c r="O505" s="199">
        <f t="shared" si="313"/>
        <v>741310.24130091805</v>
      </c>
      <c r="P505" s="189" t="str">
        <f t="shared" si="279"/>
        <v>6.8875</v>
      </c>
      <c r="Q505" s="160" t="str">
        <f t="shared" si="280"/>
        <v>1+1164.44740405092i</v>
      </c>
      <c r="R505" s="160">
        <f t="shared" si="288"/>
        <v>1164.4478334390626</v>
      </c>
      <c r="S505" s="160">
        <f t="shared" si="289"/>
        <v>1.5699375505627637</v>
      </c>
      <c r="T505" s="160" t="str">
        <f t="shared" si="281"/>
        <v>1+1.86311584648147i</v>
      </c>
      <c r="U505" s="160">
        <f t="shared" si="290"/>
        <v>2.1145213778560774</v>
      </c>
      <c r="V505" s="160">
        <f t="shared" si="291"/>
        <v>1.0781941706468428</v>
      </c>
      <c r="W505" s="98" t="str">
        <f t="shared" si="282"/>
        <v>1-4.83842411655507i</v>
      </c>
      <c r="X505" s="160">
        <f t="shared" si="292"/>
        <v>4.9406829418271423</v>
      </c>
      <c r="Y505" s="160">
        <f t="shared" si="293"/>
        <v>-1.3669871080617864</v>
      </c>
      <c r="Z505" s="98" t="str">
        <f t="shared" si="283"/>
        <v>-10.3541502863145+5.5463053290365i</v>
      </c>
      <c r="AA505" s="160">
        <f t="shared" si="294"/>
        <v>11.746060231179021</v>
      </c>
      <c r="AB505" s="160">
        <f t="shared" si="295"/>
        <v>2.6498255698755431</v>
      </c>
      <c r="AC505" s="171" t="str">
        <f t="shared" si="296"/>
        <v>-0.00106490590997254+0.00515185033364331i</v>
      </c>
      <c r="AD505" s="190">
        <f t="shared" si="297"/>
        <v>-45.579031674684032</v>
      </c>
      <c r="AE505" s="169">
        <f t="shared" si="298"/>
        <v>101.67876618686846</v>
      </c>
      <c r="AF505" s="98" t="str">
        <f t="shared" si="284"/>
        <v>-0.0000816326530612245</v>
      </c>
      <c r="AG505" s="98" t="str">
        <f t="shared" si="285"/>
        <v>0.103496085272046i</v>
      </c>
      <c r="AH505" s="98">
        <f t="shared" si="299"/>
        <v>0.103496085272046</v>
      </c>
      <c r="AI505" s="98">
        <f t="shared" si="300"/>
        <v>1.5707963267948966</v>
      </c>
      <c r="AJ505" s="98" t="str">
        <f t="shared" si="286"/>
        <v>1+11.4646187979033i</v>
      </c>
      <c r="AK505" s="98">
        <f t="shared" si="301"/>
        <v>11.508148599198643</v>
      </c>
      <c r="AL505" s="98">
        <f t="shared" si="302"/>
        <v>1.4837916498826624</v>
      </c>
      <c r="AM505" s="98" t="str">
        <f t="shared" si="287"/>
        <v>1+1157.92649858824i</v>
      </c>
      <c r="AN505" s="98">
        <f t="shared" si="303"/>
        <v>1157.9269303944966</v>
      </c>
      <c r="AO505" s="98">
        <f t="shared" si="304"/>
        <v>1.569932714335375</v>
      </c>
      <c r="AP505" s="168" t="str">
        <f t="shared" si="305"/>
        <v>-0.00682792410369145+0.0790682981487487i</v>
      </c>
      <c r="AQ505" s="98">
        <f t="shared" si="306"/>
        <v>-22.007686362725135</v>
      </c>
      <c r="AR505" s="169">
        <f t="shared" si="307"/>
        <v>94.935519435904823</v>
      </c>
      <c r="AS505" s="168" t="str">
        <f t="shared" si="308"/>
        <v>-0.000400076941467375-0.000119376741061767i</v>
      </c>
      <c r="AT505" s="190">
        <f t="shared" si="309"/>
        <v>-67.58671803740917</v>
      </c>
      <c r="AU505" s="169">
        <f t="shared" si="310"/>
        <v>-163.38571437722675</v>
      </c>
      <c r="AV505" s="225"/>
      <c r="AX505">
        <f t="shared" si="311"/>
        <v>0</v>
      </c>
      <c r="AY505">
        <f t="shared" si="312"/>
        <v>0</v>
      </c>
    </row>
    <row r="506" spans="14:51" x14ac:dyDescent="0.2">
      <c r="N506" s="170">
        <v>88</v>
      </c>
      <c r="O506" s="199">
        <f t="shared" si="313"/>
        <v>758577.57502918423</v>
      </c>
      <c r="P506" s="189" t="str">
        <f t="shared" si="279"/>
        <v>6.8875</v>
      </c>
      <c r="Q506" s="160" t="str">
        <f t="shared" si="280"/>
        <v>1+1191.57086844482i</v>
      </c>
      <c r="R506" s="160">
        <f t="shared" si="288"/>
        <v>1191.5712880588985</v>
      </c>
      <c r="S506" s="160">
        <f t="shared" si="289"/>
        <v>1.5699570986870988</v>
      </c>
      <c r="T506" s="160" t="str">
        <f t="shared" si="281"/>
        <v>1+1.90651338951172i</v>
      </c>
      <c r="U506" s="160">
        <f t="shared" si="290"/>
        <v>2.1528570097401887</v>
      </c>
      <c r="V506" s="160">
        <f t="shared" si="291"/>
        <v>1.087727496885639</v>
      </c>
      <c r="W506" s="98" t="str">
        <f t="shared" si="282"/>
        <v>1-4.951125492153i</v>
      </c>
      <c r="X506" s="160">
        <f t="shared" si="292"/>
        <v>5.0511032100965121</v>
      </c>
      <c r="Y506" s="160">
        <f t="shared" si="293"/>
        <v>-1.371503144794042</v>
      </c>
      <c r="Z506" s="98" t="str">
        <f t="shared" si="283"/>
        <v>-10.8892549036603+5.67549537625245i</v>
      </c>
      <c r="AA506" s="160">
        <f t="shared" si="294"/>
        <v>12.279540713021509</v>
      </c>
      <c r="AB506" s="160">
        <f t="shared" si="295"/>
        <v>2.6611281059606586</v>
      </c>
      <c r="AC506" s="171" t="str">
        <f t="shared" si="296"/>
        <v>-0.00100452784840705+0.00501917916160899i</v>
      </c>
      <c r="AD506" s="190">
        <f t="shared" si="297"/>
        <v>-45.816782267985481</v>
      </c>
      <c r="AE506" s="169">
        <f t="shared" si="298"/>
        <v>101.31752805969532</v>
      </c>
      <c r="AF506" s="98" t="str">
        <f t="shared" si="284"/>
        <v>-0.0000816326530612245</v>
      </c>
      <c r="AG506" s="98" t="str">
        <f t="shared" si="285"/>
        <v>0.105906818787376i</v>
      </c>
      <c r="AH506" s="98">
        <f t="shared" si="299"/>
        <v>0.105906818787376</v>
      </c>
      <c r="AI506" s="98">
        <f t="shared" si="300"/>
        <v>1.5707963267948966</v>
      </c>
      <c r="AJ506" s="98" t="str">
        <f t="shared" si="286"/>
        <v>1+11.7316640750647i</v>
      </c>
      <c r="AK506" s="98">
        <f t="shared" si="301"/>
        <v>11.774206638672673</v>
      </c>
      <c r="AL506" s="98">
        <f t="shared" si="302"/>
        <v>1.4857624749078646</v>
      </c>
      <c r="AM506" s="98" t="str">
        <f t="shared" si="287"/>
        <v>1+1184.89807158153i</v>
      </c>
      <c r="AN506" s="98">
        <f t="shared" si="303"/>
        <v>1184.8984935586798</v>
      </c>
      <c r="AO506" s="98">
        <f t="shared" si="304"/>
        <v>1.5699523725455276</v>
      </c>
      <c r="AP506" s="168" t="str">
        <f t="shared" si="305"/>
        <v>-0.0065228336097891+0.0772944896790578i</v>
      </c>
      <c r="AQ506" s="98">
        <f t="shared" si="306"/>
        <v>-22.206210355911505</v>
      </c>
      <c r="AR506" s="169">
        <f t="shared" si="307"/>
        <v>94.823725812276493</v>
      </c>
      <c r="AS506" s="168" t="str">
        <f t="shared" si="308"/>
        <v>-0.000381402523892769-0.000110383737939921i</v>
      </c>
      <c r="AT506" s="190">
        <f t="shared" si="309"/>
        <v>-68.022992623896997</v>
      </c>
      <c r="AU506" s="169">
        <f t="shared" si="310"/>
        <v>-163.85874612802817</v>
      </c>
      <c r="AV506" s="225"/>
      <c r="AX506">
        <f t="shared" si="311"/>
        <v>0</v>
      </c>
      <c r="AY506">
        <f t="shared" si="312"/>
        <v>0</v>
      </c>
    </row>
    <row r="507" spans="14:51" x14ac:dyDescent="0.2">
      <c r="N507" s="170">
        <v>89</v>
      </c>
      <c r="O507" s="199">
        <f t="shared" si="313"/>
        <v>776247.11662869214</v>
      </c>
      <c r="P507" s="189" t="str">
        <f t="shared" si="279"/>
        <v>6.8875</v>
      </c>
      <c r="Q507" s="160" t="str">
        <f t="shared" si="280"/>
        <v>1+1219.32611948548i</v>
      </c>
      <c r="R507" s="160">
        <f t="shared" si="288"/>
        <v>1219.3265295479791</v>
      </c>
      <c r="S507" s="160">
        <f t="shared" si="289"/>
        <v>1.5699762018424186</v>
      </c>
      <c r="T507" s="160" t="str">
        <f t="shared" si="281"/>
        <v>1+1.95092179117677i</v>
      </c>
      <c r="U507" s="160">
        <f t="shared" si="290"/>
        <v>2.1922809663198684</v>
      </c>
      <c r="V507" s="160">
        <f t="shared" si="291"/>
        <v>1.0971368583447028</v>
      </c>
      <c r="W507" s="98" t="str">
        <f t="shared" si="282"/>
        <v>1-5.06645202002277i</v>
      </c>
      <c r="X507" s="160">
        <f t="shared" si="292"/>
        <v>5.164197524416819</v>
      </c>
      <c r="Y507" s="160">
        <f t="shared" si="293"/>
        <v>-1.3759243588700212</v>
      </c>
      <c r="Z507" s="98" t="str">
        <f t="shared" si="283"/>
        <v>-11.4495782246768+5.80769464624096i</v>
      </c>
      <c r="AA507" s="160">
        <f t="shared" si="294"/>
        <v>12.838308246298228</v>
      </c>
      <c r="AB507" s="160">
        <f t="shared" si="295"/>
        <v>2.6721690985145132</v>
      </c>
      <c r="AC507" s="171" t="str">
        <f t="shared" si="296"/>
        <v>-0.000947863447840608+0.00489017168253482i</v>
      </c>
      <c r="AD507" s="190">
        <f t="shared" si="297"/>
        <v>-46.05334303254115</v>
      </c>
      <c r="AE507" s="169">
        <f t="shared" si="298"/>
        <v>100.96963104718886</v>
      </c>
      <c r="AF507" s="98" t="str">
        <f t="shared" si="284"/>
        <v>-0.0000816326530612245</v>
      </c>
      <c r="AG507" s="98" t="str">
        <f t="shared" si="285"/>
        <v>0.108373705499869i</v>
      </c>
      <c r="AH507" s="98">
        <f t="shared" si="299"/>
        <v>0.10837370549986899</v>
      </c>
      <c r="AI507" s="98">
        <f t="shared" si="300"/>
        <v>1.5707963267948966</v>
      </c>
      <c r="AJ507" s="98" t="str">
        <f t="shared" si="286"/>
        <v>1+12.0049296358056i</v>
      </c>
      <c r="AK507" s="98">
        <f t="shared" si="301"/>
        <v>12.046507193400235</v>
      </c>
      <c r="AL507" s="98">
        <f t="shared" si="302"/>
        <v>1.4876890785304624</v>
      </c>
      <c r="AM507" s="98" t="str">
        <f t="shared" si="287"/>
        <v>1+1212.49789321636i</v>
      </c>
      <c r="AN507" s="98">
        <f t="shared" si="303"/>
        <v>1212.4983055881403</v>
      </c>
      <c r="AO507" s="98">
        <f t="shared" si="304"/>
        <v>1.5699715832808165</v>
      </c>
      <c r="AP507" s="168" t="str">
        <f t="shared" si="305"/>
        <v>-0.00623128074739689+0.0755593383842261i</v>
      </c>
      <c r="AQ507" s="98">
        <f t="shared" si="306"/>
        <v>-22.404800311818374</v>
      </c>
      <c r="AR507" s="169">
        <f t="shared" si="307"/>
        <v>94.714440249960418</v>
      </c>
      <c r="AS507" s="168" t="str">
        <f t="shared" si="308"/>
        <v>-0.000363591733663918-0.000102091967654272i</v>
      </c>
      <c r="AT507" s="190">
        <f t="shared" si="309"/>
        <v>-68.458143344359542</v>
      </c>
      <c r="AU507" s="169">
        <f t="shared" si="310"/>
        <v>-164.31592870285075</v>
      </c>
      <c r="AV507" s="225"/>
      <c r="AX507">
        <f t="shared" si="311"/>
        <v>0</v>
      </c>
      <c r="AY507">
        <f t="shared" si="312"/>
        <v>0</v>
      </c>
    </row>
    <row r="508" spans="14:51" x14ac:dyDescent="0.2">
      <c r="N508" s="170">
        <v>90</v>
      </c>
      <c r="O508" s="199">
        <f t="shared" si="313"/>
        <v>794328.23472428333</v>
      </c>
      <c r="P508" s="189" t="str">
        <f t="shared" si="279"/>
        <v>6.8875</v>
      </c>
      <c r="Q508" s="160" t="str">
        <f t="shared" si="280"/>
        <v>1+1247.72787337438i</v>
      </c>
      <c r="R508" s="160">
        <f t="shared" si="288"/>
        <v>1247.72827410272</v>
      </c>
      <c r="S508" s="160">
        <f t="shared" si="289"/>
        <v>1.5699948701574131</v>
      </c>
      <c r="T508" s="160" t="str">
        <f t="shared" si="281"/>
        <v>1+1.99636459739901i</v>
      </c>
      <c r="U508" s="160">
        <f t="shared" si="290"/>
        <v>2.2328169664681679</v>
      </c>
      <c r="V508" s="160">
        <f t="shared" si="291"/>
        <v>1.106420578570698</v>
      </c>
      <c r="W508" s="98" t="str">
        <f t="shared" si="282"/>
        <v>1-5.18446484781598i</v>
      </c>
      <c r="X508" s="160">
        <f t="shared" si="292"/>
        <v>5.2800261134050821</v>
      </c>
      <c r="Y508" s="160">
        <f t="shared" si="293"/>
        <v>-1.3802524027698708</v>
      </c>
      <c r="Z508" s="98" t="str">
        <f t="shared" si="283"/>
        <v>-12.036308770252+5.94297323280484i</v>
      </c>
      <c r="AA508" s="160">
        <f t="shared" si="294"/>
        <v>13.423548698413546</v>
      </c>
      <c r="AB508" s="160">
        <f t="shared" si="295"/>
        <v>2.6829544761215858</v>
      </c>
      <c r="AC508" s="171" t="str">
        <f t="shared" si="296"/>
        <v>-0.000894670732109714+0.00476474120084901i</v>
      </c>
      <c r="AD508" s="190">
        <f t="shared" si="297"/>
        <v>-46.288731067060453</v>
      </c>
      <c r="AE508" s="169">
        <f t="shared" si="298"/>
        <v>100.63454415230996</v>
      </c>
      <c r="AF508" s="98" t="str">
        <f t="shared" si="284"/>
        <v>-0.0000816326530612245</v>
      </c>
      <c r="AG508" s="98" t="str">
        <f t="shared" si="285"/>
        <v>0.110898053385515i</v>
      </c>
      <c r="AH508" s="98">
        <f t="shared" si="299"/>
        <v>0.11089805338551501</v>
      </c>
      <c r="AI508" s="98">
        <f t="shared" si="300"/>
        <v>1.5707963267948966</v>
      </c>
      <c r="AJ508" s="98" t="str">
        <f t="shared" si="286"/>
        <v>1+12.2845603691434i</v>
      </c>
      <c r="AK508" s="98">
        <f t="shared" si="301"/>
        <v>12.325194662281348</v>
      </c>
      <c r="AL508" s="98">
        <f t="shared" si="302"/>
        <v>1.4895724250200324</v>
      </c>
      <c r="AM508" s="98" t="str">
        <f t="shared" si="287"/>
        <v>1+1240.74059728348i</v>
      </c>
      <c r="AN508" s="98">
        <f t="shared" si="303"/>
        <v>1240.7410002685356</v>
      </c>
      <c r="AO508" s="98">
        <f t="shared" si="304"/>
        <v>1.5699903567269708</v>
      </c>
      <c r="AP508" s="168" t="str">
        <f t="shared" si="305"/>
        <v>-0.00595267309417249+0.0738620773571198i</v>
      </c>
      <c r="AQ508" s="98">
        <f t="shared" si="306"/>
        <v>-22.603453302582199</v>
      </c>
      <c r="AR508" s="169">
        <f t="shared" si="307"/>
        <v>94.60760808397886</v>
      </c>
      <c r="AS508" s="168" t="str">
        <f t="shared" si="308"/>
        <v>-0.000346608000768592-0.0000944451855712277i</v>
      </c>
      <c r="AT508" s="190">
        <f t="shared" si="309"/>
        <v>-68.892184369642649</v>
      </c>
      <c r="AU508" s="169">
        <f t="shared" si="310"/>
        <v>-164.75784776371117</v>
      </c>
      <c r="AV508" s="225"/>
      <c r="AX508">
        <f t="shared" si="311"/>
        <v>0</v>
      </c>
      <c r="AY508">
        <f t="shared" si="312"/>
        <v>0</v>
      </c>
    </row>
    <row r="509" spans="14:51" x14ac:dyDescent="0.2">
      <c r="N509" s="170">
        <v>91</v>
      </c>
      <c r="O509" s="199">
        <f t="shared" si="313"/>
        <v>812830.51616410096</v>
      </c>
      <c r="P509" s="189" t="str">
        <f t="shared" si="279"/>
        <v>6.8875</v>
      </c>
      <c r="Q509" s="160" t="str">
        <f t="shared" si="280"/>
        <v>1+1276.79118909737i</v>
      </c>
      <c r="R509" s="160">
        <f t="shared" si="288"/>
        <v>1276.7915807040226</v>
      </c>
      <c r="S509" s="160">
        <f t="shared" si="289"/>
        <v>1.5700131135302182</v>
      </c>
      <c r="T509" s="160" t="str">
        <f t="shared" si="281"/>
        <v>1+2.04286590255579i</v>
      </c>
      <c r="U509" s="160">
        <f t="shared" si="290"/>
        <v>2.2744891944841337</v>
      </c>
      <c r="V509" s="160">
        <f t="shared" si="291"/>
        <v>1.1155771778749943</v>
      </c>
      <c r="W509" s="98" t="str">
        <f t="shared" si="282"/>
        <v>1-5.305226547496i</v>
      </c>
      <c r="X509" s="160">
        <f t="shared" si="292"/>
        <v>5.3986506388408149</v>
      </c>
      <c r="Y509" s="160">
        <f t="shared" si="293"/>
        <v>-1.3844889223858392</v>
      </c>
      <c r="Z509" s="98" t="str">
        <f t="shared" si="283"/>
        <v>-12.6506910745372+6.08140286244129i</v>
      </c>
      <c r="AA509" s="160">
        <f t="shared" si="294"/>
        <v>14.036504031940584</v>
      </c>
      <c r="AB509" s="160">
        <f t="shared" si="295"/>
        <v>2.6934900655313765</v>
      </c>
      <c r="AC509" s="171" t="str">
        <f t="shared" si="296"/>
        <v>-0.000844723554404585+0.0046427992406364i</v>
      </c>
      <c r="AD509" s="190">
        <f t="shared" si="297"/>
        <v>-46.522965023144636</v>
      </c>
      <c r="AE509" s="169">
        <f t="shared" si="298"/>
        <v>100.31175387718959</v>
      </c>
      <c r="AF509" s="98" t="str">
        <f t="shared" si="284"/>
        <v>-0.0000816326530612245</v>
      </c>
      <c r="AG509" s="98" t="str">
        <f t="shared" si="285"/>
        <v>0.113481200886974i</v>
      </c>
      <c r="AH509" s="98">
        <f t="shared" si="299"/>
        <v>0.113481200886974</v>
      </c>
      <c r="AI509" s="98">
        <f t="shared" si="300"/>
        <v>1.5707963267948966</v>
      </c>
      <c r="AJ509" s="98" t="str">
        <f t="shared" si="286"/>
        <v>1+12.5707045389943i</v>
      </c>
      <c r="AK509" s="98">
        <f t="shared" si="301"/>
        <v>12.610416829220672</v>
      </c>
      <c r="AL509" s="98">
        <f t="shared" si="302"/>
        <v>1.4914134594803088</v>
      </c>
      <c r="AM509" s="98" t="str">
        <f t="shared" si="287"/>
        <v>1+1269.64115843843i</v>
      </c>
      <c r="AN509" s="98">
        <f t="shared" si="303"/>
        <v>1269.641552250429</v>
      </c>
      <c r="AO509" s="98">
        <f t="shared" si="304"/>
        <v>1.5700087028378675</v>
      </c>
      <c r="AP509" s="168" t="str">
        <f t="shared" si="305"/>
        <v>-0.00568644342870816+0.0722019497899969i</v>
      </c>
      <c r="AQ509" s="98">
        <f t="shared" si="306"/>
        <v>-22.802166528547197</v>
      </c>
      <c r="AR509" s="169">
        <f t="shared" si="307"/>
        <v>94.503175734191714</v>
      </c>
      <c r="AS509" s="168" t="str">
        <f t="shared" si="308"/>
        <v>-0.000330415684952446-0.0000873917028942757i</v>
      </c>
      <c r="AT509" s="190">
        <f t="shared" si="309"/>
        <v>-69.32513155169184</v>
      </c>
      <c r="AU509" s="169">
        <f t="shared" si="310"/>
        <v>-165.18507038861864</v>
      </c>
      <c r="AV509" s="225"/>
      <c r="AX509">
        <f t="shared" si="311"/>
        <v>0</v>
      </c>
      <c r="AY509">
        <f t="shared" si="312"/>
        <v>0</v>
      </c>
    </row>
    <row r="510" spans="14:51" x14ac:dyDescent="0.2">
      <c r="N510" s="170">
        <v>92</v>
      </c>
      <c r="O510" s="199">
        <f t="shared" si="313"/>
        <v>831763.77110267128</v>
      </c>
      <c r="P510" s="189" t="str">
        <f t="shared" si="279"/>
        <v>6.8875</v>
      </c>
      <c r="Q510" s="160" t="str">
        <f t="shared" si="280"/>
        <v>1+1306.53147640915i</v>
      </c>
      <c r="R510" s="160">
        <f t="shared" si="288"/>
        <v>1306.5318591017492</v>
      </c>
      <c r="S510" s="160">
        <f t="shared" si="289"/>
        <v>1.5700309416336629</v>
      </c>
      <c r="T510" s="160" t="str">
        <f t="shared" si="281"/>
        <v>1+2.09045036225464i</v>
      </c>
      <c r="U510" s="160">
        <f t="shared" si="290"/>
        <v>2.317322316176702</v>
      </c>
      <c r="V510" s="160">
        <f t="shared" si="291"/>
        <v>1.1246053684983819</v>
      </c>
      <c r="W510" s="98" t="str">
        <f t="shared" si="282"/>
        <v>1-5.42880114851446i</v>
      </c>
      <c r="X510" s="160">
        <f t="shared" si="292"/>
        <v>5.5201342293563771</v>
      </c>
      <c r="Y510" s="160">
        <f t="shared" si="293"/>
        <v>-1.3886355553820999</v>
      </c>
      <c r="Z510" s="98" t="str">
        <f t="shared" si="283"/>
        <v>-13.2940283247714+6.22305693237228i</v>
      </c>
      <c r="AA510" s="160">
        <f t="shared" si="294"/>
        <v>14.678474944059106</v>
      </c>
      <c r="AB510" s="160">
        <f t="shared" si="295"/>
        <v>2.703781588688964</v>
      </c>
      <c r="AC510" s="171" t="str">
        <f t="shared" si="296"/>
        <v>-0.000797810658990668+0.00452425621435791i</v>
      </c>
      <c r="AD510" s="190">
        <f t="shared" si="297"/>
        <v>-46.756064918805997</v>
      </c>
      <c r="AE510" s="169">
        <f t="shared" si="298"/>
        <v>100.00076420989885</v>
      </c>
      <c r="AF510" s="98" t="str">
        <f t="shared" si="284"/>
        <v>-0.0000816326530612245</v>
      </c>
      <c r="AG510" s="98" t="str">
        <f t="shared" si="285"/>
        <v>0.116124517623245i</v>
      </c>
      <c r="AH510" s="98">
        <f t="shared" si="299"/>
        <v>0.11612451762324499</v>
      </c>
      <c r="AI510" s="98">
        <f t="shared" si="300"/>
        <v>1.5707963267948966</v>
      </c>
      <c r="AJ510" s="98" t="str">
        <f t="shared" si="286"/>
        <v>1+12.8635138627847i</v>
      </c>
      <c r="AK510" s="98">
        <f t="shared" si="301"/>
        <v>12.90232494157755</v>
      </c>
      <c r="AL510" s="98">
        <f t="shared" si="302"/>
        <v>1.4932131081041655</v>
      </c>
      <c r="AM510" s="98" t="str">
        <f t="shared" si="287"/>
        <v>1+1299.21490014126i</v>
      </c>
      <c r="AN510" s="98">
        <f t="shared" si="303"/>
        <v>1299.215284989006</v>
      </c>
      <c r="AO510" s="98">
        <f t="shared" si="304"/>
        <v>1.570026631340808</v>
      </c>
      <c r="AP510" s="168" t="str">
        <f t="shared" si="305"/>
        <v>-0.00543204872216997+0.0705782092156388i</v>
      </c>
      <c r="AQ510" s="98">
        <f t="shared" si="306"/>
        <v>-23.000937312805341</v>
      </c>
      <c r="AR510" s="169">
        <f t="shared" si="307"/>
        <v>94.401090690989676</v>
      </c>
      <c r="AS510" s="168" t="str">
        <f t="shared" si="308"/>
        <v>-0.000314980155271403-0.0000808840277926825i</v>
      </c>
      <c r="AT510" s="190">
        <f t="shared" si="309"/>
        <v>-69.757002231611324</v>
      </c>
      <c r="AU510" s="169">
        <f t="shared" si="310"/>
        <v>-165.59814509911146</v>
      </c>
      <c r="AV510" s="225"/>
      <c r="AX510">
        <f t="shared" si="311"/>
        <v>0</v>
      </c>
      <c r="AY510">
        <f t="shared" si="312"/>
        <v>0</v>
      </c>
    </row>
    <row r="511" spans="14:51" x14ac:dyDescent="0.2">
      <c r="N511" s="170">
        <v>93</v>
      </c>
      <c r="O511" s="199">
        <f t="shared" si="313"/>
        <v>851138.03820237669</v>
      </c>
      <c r="P511" s="189" t="str">
        <f t="shared" si="279"/>
        <v>6.8875</v>
      </c>
      <c r="Q511" s="160" t="str">
        <f t="shared" si="280"/>
        <v>1+1336.96450400371i</v>
      </c>
      <c r="R511" s="160">
        <f t="shared" si="288"/>
        <v>1336.9648779851648</v>
      </c>
      <c r="S511" s="160">
        <f t="shared" si="289"/>
        <v>1.5700483639203981</v>
      </c>
      <c r="T511" s="160" t="str">
        <f t="shared" si="281"/>
        <v>1+2.13914320640593i</v>
      </c>
      <c r="U511" s="160">
        <f t="shared" si="290"/>
        <v>2.3613414953184226</v>
      </c>
      <c r="V511" s="160">
        <f t="shared" si="291"/>
        <v>1.1335040493508499</v>
      </c>
      <c r="W511" s="98" t="str">
        <f t="shared" si="282"/>
        <v>1-5.55525417176056i</v>
      </c>
      <c r="X511" s="160">
        <f t="shared" si="292"/>
        <v>5.6445415148498199</v>
      </c>
      <c r="Y511" s="160">
        <f t="shared" si="293"/>
        <v>-1.3926939296833298</v>
      </c>
      <c r="Z511" s="98" t="str">
        <f t="shared" si="283"/>
        <v>-13.9676851255163+6.36801054946072i</v>
      </c>
      <c r="AA511" s="160">
        <f t="shared" si="294"/>
        <v>15.350823630138297</v>
      </c>
      <c r="AB511" s="160">
        <f t="shared" si="295"/>
        <v>2.7138346604675156</v>
      </c>
      <c r="AC511" s="171" t="str">
        <f t="shared" si="296"/>
        <v>-0.000753734779151811+0.00440902200206253i</v>
      </c>
      <c r="AD511" s="190">
        <f t="shared" si="297"/>
        <v>-46.988051962746376</v>
      </c>
      <c r="AE511" s="169">
        <f t="shared" si="298"/>
        <v>99.701096539281906</v>
      </c>
      <c r="AF511" s="98" t="str">
        <f t="shared" si="284"/>
        <v>-0.0000816326530612245</v>
      </c>
      <c r="AG511" s="98" t="str">
        <f t="shared" si="285"/>
        <v>0.11882940511585i</v>
      </c>
      <c r="AH511" s="98">
        <f t="shared" si="299"/>
        <v>0.11882940511585</v>
      </c>
      <c r="AI511" s="98">
        <f t="shared" si="300"/>
        <v>1.5707963267948966</v>
      </c>
      <c r="AJ511" s="98" t="str">
        <f t="shared" si="286"/>
        <v>1+13.1631435918939i</v>
      </c>
      <c r="AK511" s="98">
        <f t="shared" si="301"/>
        <v>13.20107379044665</v>
      </c>
      <c r="AL511" s="98">
        <f t="shared" si="302"/>
        <v>1.4949722784344095</v>
      </c>
      <c r="AM511" s="98" t="str">
        <f t="shared" si="287"/>
        <v>1+1329.47750278129i</v>
      </c>
      <c r="AN511" s="98">
        <f t="shared" si="303"/>
        <v>1329.4778788688343</v>
      </c>
      <c r="AO511" s="98">
        <f t="shared" si="304"/>
        <v>1.5700441517416754</v>
      </c>
      <c r="AP511" s="168" t="str">
        <f t="shared" si="305"/>
        <v>-0.0051889691646043+0.0689901197137049i</v>
      </c>
      <c r="AQ511" s="98">
        <f t="shared" si="306"/>
        <v>-23.199763095953681</v>
      </c>
      <c r="AR511" s="169">
        <f t="shared" si="307"/>
        <v>94.301301500647142</v>
      </c>
      <c r="AS511" s="168" t="str">
        <f t="shared" si="308"/>
        <v>-0.000300267849215344-0.0000748785318608308i</v>
      </c>
      <c r="AT511" s="190">
        <f t="shared" si="309"/>
        <v>-70.187815058700068</v>
      </c>
      <c r="AU511" s="169">
        <f t="shared" si="310"/>
        <v>-165.99760196007091</v>
      </c>
      <c r="AV511" s="225"/>
      <c r="AX511">
        <f t="shared" si="311"/>
        <v>0</v>
      </c>
      <c r="AY511">
        <f t="shared" si="312"/>
        <v>0</v>
      </c>
    </row>
    <row r="512" spans="14:51" x14ac:dyDescent="0.2">
      <c r="N512" s="170">
        <v>94</v>
      </c>
      <c r="O512" s="199">
        <f t="shared" si="313"/>
        <v>870963.58995608077</v>
      </c>
      <c r="P512" s="189" t="str">
        <f t="shared" si="279"/>
        <v>6.8875</v>
      </c>
      <c r="Q512" s="160" t="str">
        <f t="shared" si="280"/>
        <v>1+1368.10640787511i</v>
      </c>
      <c r="R512" s="160">
        <f t="shared" si="288"/>
        <v>1368.1067733437098</v>
      </c>
      <c r="S512" s="160">
        <f t="shared" si="289"/>
        <v>1.5700653896279086</v>
      </c>
      <c r="T512" s="160" t="str">
        <f t="shared" si="281"/>
        <v>1+2.18897025260017i</v>
      </c>
      <c r="U512" s="160">
        <f t="shared" si="290"/>
        <v>2.4065724104560933</v>
      </c>
      <c r="V512" s="160">
        <f t="shared" si="291"/>
        <v>1.1422723003805952</v>
      </c>
      <c r="W512" s="98" t="str">
        <f t="shared" si="282"/>
        <v>1-5.684652664301i</v>
      </c>
      <c r="X512" s="160">
        <f t="shared" si="292"/>
        <v>5.7719386616408572</v>
      </c>
      <c r="Y512" s="160">
        <f t="shared" si="293"/>
        <v>-1.3966656620857161</v>
      </c>
      <c r="Z512" s="98" t="str">
        <f t="shared" si="283"/>
        <v>-14.673090393165+6.51634057003306i</v>
      </c>
      <c r="AA512" s="160">
        <f t="shared" si="294"/>
        <v>16.054976677362372</v>
      </c>
      <c r="AB512" s="160">
        <f t="shared" si="295"/>
        <v>2.7236547870220038</v>
      </c>
      <c r="AC512" s="171" t="str">
        <f t="shared" si="296"/>
        <v>-0.000712311773335454+0.00429700645022971i</v>
      </c>
      <c r="AD512" s="190">
        <f t="shared" si="297"/>
        <v>-47.218948389306263</v>
      </c>
      <c r="AE512" s="169">
        <f t="shared" si="298"/>
        <v>99.412289505945324</v>
      </c>
      <c r="AF512" s="98" t="str">
        <f t="shared" si="284"/>
        <v>-0.0000816326530612245</v>
      </c>
      <c r="AG512" s="98" t="str">
        <f t="shared" si="285"/>
        <v>0.12159729753194i</v>
      </c>
      <c r="AH512" s="98">
        <f t="shared" si="299"/>
        <v>0.12159729753194</v>
      </c>
      <c r="AI512" s="98">
        <f t="shared" si="300"/>
        <v>1.5707963267948966</v>
      </c>
      <c r="AJ512" s="98" t="str">
        <f t="shared" si="286"/>
        <v>1+13.4697525939704i</v>
      </c>
      <c r="AK512" s="98">
        <f t="shared" si="301"/>
        <v>13.506821792811671</v>
      </c>
      <c r="AL512" s="98">
        <f t="shared" si="302"/>
        <v>1.4966918596295311</v>
      </c>
      <c r="AM512" s="98" t="str">
        <f t="shared" si="287"/>
        <v>1+1360.44501199101i</v>
      </c>
      <c r="AN512" s="98">
        <f t="shared" si="303"/>
        <v>1360.445379517759</v>
      </c>
      <c r="AO512" s="98">
        <f t="shared" si="304"/>
        <v>1.5700612733299755</v>
      </c>
      <c r="AP512" s="168" t="str">
        <f t="shared" si="305"/>
        <v>-0.0049567072252474+0.0674369560848078i</v>
      </c>
      <c r="AQ512" s="98">
        <f t="shared" si="306"/>
        <v>-23.398641431064352</v>
      </c>
      <c r="AR512" s="169">
        <f t="shared" si="307"/>
        <v>94.203757750384767</v>
      </c>
      <c r="AS512" s="168" t="str">
        <f t="shared" si="308"/>
        <v>-0.000286246314366756-0.0000693351406959029i</v>
      </c>
      <c r="AT512" s="190">
        <f t="shared" si="309"/>
        <v>-70.617589820370625</v>
      </c>
      <c r="AU512" s="169">
        <f t="shared" si="310"/>
        <v>-166.38395274366988</v>
      </c>
      <c r="AV512" s="225"/>
      <c r="AX512">
        <f t="shared" si="311"/>
        <v>0</v>
      </c>
      <c r="AY512">
        <f t="shared" si="312"/>
        <v>0</v>
      </c>
    </row>
    <row r="513" spans="14:51" x14ac:dyDescent="0.2">
      <c r="N513" s="170">
        <v>95</v>
      </c>
      <c r="O513" s="199">
        <f t="shared" si="313"/>
        <v>891250.93813374708</v>
      </c>
      <c r="P513" s="189" t="str">
        <f t="shared" si="279"/>
        <v>6.8875</v>
      </c>
      <c r="Q513" s="160" t="str">
        <f t="shared" si="280"/>
        <v>1+1399.97369987299i</v>
      </c>
      <c r="R513" s="160">
        <f t="shared" si="288"/>
        <v>1399.974057022511</v>
      </c>
      <c r="S513" s="160">
        <f t="shared" si="289"/>
        <v>1.5700820277834107</v>
      </c>
      <c r="T513" s="160" t="str">
        <f t="shared" si="281"/>
        <v>1+2.23995791979679i</v>
      </c>
      <c r="U513" s="160">
        <f t="shared" si="290"/>
        <v>2.4530412720662409</v>
      </c>
      <c r="V513" s="160">
        <f t="shared" si="291"/>
        <v>1.1509093766249796</v>
      </c>
      <c r="W513" s="98" t="str">
        <f t="shared" si="282"/>
        <v>1-5.81706523492934i</v>
      </c>
      <c r="X513" s="160">
        <f t="shared" si="292"/>
        <v>5.9023934083915091</v>
      </c>
      <c r="Y513" s="160">
        <f t="shared" si="293"/>
        <v>-1.4005523569841931</v>
      </c>
      <c r="Z513" s="98" t="str">
        <f t="shared" si="283"/>
        <v>-15.4117403868654+6.66812564062962i</v>
      </c>
      <c r="AA513" s="160">
        <f t="shared" si="294"/>
        <v>16.792428094571676</v>
      </c>
      <c r="AB513" s="160">
        <f t="shared" si="295"/>
        <v>2.7332473646907642</v>
      </c>
      <c r="AC513" s="171" t="str">
        <f t="shared" si="296"/>
        <v>-0.000673369800733066+0.00418811979867806i</v>
      </c>
      <c r="AD513" s="190">
        <f t="shared" si="297"/>
        <v>-47.44877730393226</v>
      </c>
      <c r="AE513" s="169">
        <f t="shared" si="298"/>
        <v>99.133898796983004</v>
      </c>
      <c r="AF513" s="98" t="str">
        <f t="shared" si="284"/>
        <v>-0.0000816326530612245</v>
      </c>
      <c r="AG513" s="98" t="str">
        <f t="shared" si="285"/>
        <v>0.124429662444712i</v>
      </c>
      <c r="AH513" s="98">
        <f t="shared" si="299"/>
        <v>0.124429662444712</v>
      </c>
      <c r="AI513" s="98">
        <f t="shared" si="300"/>
        <v>1.5707963267948966</v>
      </c>
      <c r="AJ513" s="98" t="str">
        <f t="shared" si="286"/>
        <v>1+13.7835034371654i</v>
      </c>
      <c r="AK513" s="98">
        <f t="shared" si="301"/>
        <v>13.819731075616138</v>
      </c>
      <c r="AL513" s="98">
        <f t="shared" si="302"/>
        <v>1.4983727227336179</v>
      </c>
      <c r="AM513" s="98" t="str">
        <f t="shared" si="287"/>
        <v>1+1392.13384715371i</v>
      </c>
      <c r="AN513" s="98">
        <f t="shared" si="303"/>
        <v>1392.134206314531</v>
      </c>
      <c r="AO513" s="98">
        <f t="shared" si="304"/>
        <v>1.5700780051837604</v>
      </c>
      <c r="AP513" s="168" t="str">
        <f t="shared" si="305"/>
        <v>-0.00473478674613271+0.0659180039946922i</v>
      </c>
      <c r="AQ513" s="98">
        <f t="shared" si="306"/>
        <v>-23.597569978858544</v>
      </c>
      <c r="AR513" s="169">
        <f t="shared" si="307"/>
        <v>94.10841005318666</v>
      </c>
      <c r="AS513" s="168" t="str">
        <f t="shared" si="308"/>
        <v>-0.000272884235211753-0.0000642170473286242i</v>
      </c>
      <c r="AT513" s="190">
        <f t="shared" si="309"/>
        <v>-71.046347282790791</v>
      </c>
      <c r="AU513" s="169">
        <f t="shared" si="310"/>
        <v>-166.75769114983035</v>
      </c>
      <c r="AV513" s="225"/>
      <c r="AX513">
        <f t="shared" si="311"/>
        <v>0</v>
      </c>
      <c r="AY513">
        <f t="shared" si="312"/>
        <v>0</v>
      </c>
    </row>
    <row r="514" spans="14:51" x14ac:dyDescent="0.2">
      <c r="N514" s="170">
        <v>96</v>
      </c>
      <c r="O514" s="199">
        <f t="shared" si="313"/>
        <v>912010.83935591124</v>
      </c>
      <c r="P514" s="189" t="str">
        <f t="shared" si="279"/>
        <v>6.8875</v>
      </c>
      <c r="Q514" s="160" t="str">
        <f t="shared" si="280"/>
        <v>1+1432.58327645739i</v>
      </c>
      <c r="R514" s="160">
        <f t="shared" si="288"/>
        <v>1432.5836254771973</v>
      </c>
      <c r="S514" s="160">
        <f t="shared" si="289"/>
        <v>1.5700982872086373</v>
      </c>
      <c r="T514" s="160" t="str">
        <f t="shared" si="281"/>
        <v>1+2.29213324233183i</v>
      </c>
      <c r="U514" s="160">
        <f t="shared" si="290"/>
        <v>2.5007748400451062</v>
      </c>
      <c r="V514" s="160">
        <f t="shared" si="291"/>
        <v>1.1594147019945054</v>
      </c>
      <c r="W514" s="98" t="str">
        <f t="shared" si="282"/>
        <v>1-5.95256209054319i</v>
      </c>
      <c r="X514" s="160">
        <f t="shared" si="292"/>
        <v>6.0359751028124613</v>
      </c>
      <c r="Y514" s="160">
        <f t="shared" si="293"/>
        <v>-1.4043556052098438</v>
      </c>
      <c r="Z514" s="98" t="str">
        <f t="shared" si="283"/>
        <v>-16.1852018822866+6.8234462397039i</v>
      </c>
      <c r="AA514" s="160">
        <f t="shared" si="294"/>
        <v>17.564742484776225</v>
      </c>
      <c r="AB514" s="160">
        <f t="shared" si="295"/>
        <v>2.742617679378379</v>
      </c>
      <c r="AC514" s="171" t="str">
        <f t="shared" si="296"/>
        <v>-0.000636748536905943+0.00408227304329328i</v>
      </c>
      <c r="AD514" s="190">
        <f t="shared" si="297"/>
        <v>-47.677562538956806</v>
      </c>
      <c r="AE514" s="169">
        <f t="shared" si="298"/>
        <v>98.865496891519456</v>
      </c>
      <c r="AF514" s="98" t="str">
        <f t="shared" si="284"/>
        <v>-0.0000816326530612245</v>
      </c>
      <c r="AG514" s="98" t="str">
        <f t="shared" si="285"/>
        <v>0.127328001611533i</v>
      </c>
      <c r="AH514" s="98">
        <f t="shared" si="299"/>
        <v>0.12732800161153299</v>
      </c>
      <c r="AI514" s="98">
        <f t="shared" si="300"/>
        <v>1.5707963267948966</v>
      </c>
      <c r="AJ514" s="98" t="str">
        <f t="shared" si="286"/>
        <v>1+14.1045624763291i</v>
      </c>
      <c r="AK514" s="98">
        <f t="shared" si="301"/>
        <v>14.139967561796981</v>
      </c>
      <c r="AL514" s="98">
        <f t="shared" si="302"/>
        <v>1.5000157209496974</v>
      </c>
      <c r="AM514" s="98" t="str">
        <f t="shared" si="287"/>
        <v>1+1424.56081010923i</v>
      </c>
      <c r="AN514" s="98">
        <f t="shared" si="303"/>
        <v>1424.5611610945548</v>
      </c>
      <c r="AO514" s="98">
        <f t="shared" si="304"/>
        <v>1.5700943561744434</v>
      </c>
      <c r="AP514" s="168" t="str">
        <f t="shared" si="305"/>
        <v>-0.00452275206825433+0.0644325600907492i</v>
      </c>
      <c r="AQ514" s="98">
        <f t="shared" si="306"/>
        <v>-23.796546503077096</v>
      </c>
      <c r="AR514" s="169">
        <f t="shared" si="307"/>
        <v>94.015210032414771</v>
      </c>
      <c r="AS514" s="168" t="str">
        <f t="shared" si="308"/>
        <v>-0.000260151447406591-0.0000594904472166224i</v>
      </c>
      <c r="AT514" s="190">
        <f t="shared" si="309"/>
        <v>-71.474109042033888</v>
      </c>
      <c r="AU514" s="169">
        <f t="shared" si="310"/>
        <v>-167.11929307606579</v>
      </c>
      <c r="AV514" s="225"/>
      <c r="AX514">
        <f t="shared" si="311"/>
        <v>0</v>
      </c>
      <c r="AY514">
        <f t="shared" si="312"/>
        <v>0</v>
      </c>
    </row>
    <row r="515" spans="14:51" x14ac:dyDescent="0.2">
      <c r="N515" s="170">
        <v>97</v>
      </c>
      <c r="O515" s="199">
        <f t="shared" si="313"/>
        <v>933254.30079699249</v>
      </c>
      <c r="P515" s="189" t="str">
        <f t="shared" si="279"/>
        <v>6.8875</v>
      </c>
      <c r="Q515" s="160" t="str">
        <f t="shared" si="280"/>
        <v>1+1465.95242765746i</v>
      </c>
      <c r="R515" s="160">
        <f t="shared" si="288"/>
        <v>1465.9527687326083</v>
      </c>
      <c r="S515" s="160">
        <f t="shared" si="289"/>
        <v>1.570114176524517</v>
      </c>
      <c r="T515" s="160" t="str">
        <f t="shared" si="281"/>
        <v>1+2.34552388425193i</v>
      </c>
      <c r="U515" s="160">
        <f t="shared" si="290"/>
        <v>2.5498004415240541</v>
      </c>
      <c r="V515" s="160">
        <f t="shared" si="291"/>
        <v>1.1677878628387708</v>
      </c>
      <c r="W515" s="98" t="str">
        <f t="shared" si="282"/>
        <v>1-6.09121507336892i</v>
      </c>
      <c r="X515" s="160">
        <f t="shared" si="292"/>
        <v>6.1727547391773756</v>
      </c>
      <c r="Y515" s="160">
        <f t="shared" si="293"/>
        <v>-1.4080769829715691</v>
      </c>
      <c r="Z515" s="98" t="str">
        <f t="shared" si="283"/>
        <v>-16.9951154949604+6.98238472029347i</v>
      </c>
      <c r="AA515" s="160">
        <f t="shared" si="294"/>
        <v>18.373558367100014</v>
      </c>
      <c r="AB515" s="160">
        <f t="shared" si="295"/>
        <v>2.7517709063597402</v>
      </c>
      <c r="AC515" s="171" t="str">
        <f t="shared" si="296"/>
        <v>-0.000602298429551275+0.00397937824167309i</v>
      </c>
      <c r="AD515" s="190">
        <f t="shared" si="297"/>
        <v>-47.9053285194354</v>
      </c>
      <c r="AE515" s="169">
        <f t="shared" si="298"/>
        <v>98.60667276366263</v>
      </c>
      <c r="AF515" s="98" t="str">
        <f t="shared" si="284"/>
        <v>-0.0000816326530612245</v>
      </c>
      <c r="AG515" s="98" t="str">
        <f t="shared" si="285"/>
        <v>0.130293851770195i</v>
      </c>
      <c r="AH515" s="98">
        <f t="shared" si="299"/>
        <v>0.13029385177019501</v>
      </c>
      <c r="AI515" s="98">
        <f t="shared" si="300"/>
        <v>1.5707963267948966</v>
      </c>
      <c r="AJ515" s="98" t="str">
        <f t="shared" si="286"/>
        <v>1+14.4330999412136i</v>
      </c>
      <c r="AK515" s="98">
        <f t="shared" si="301"/>
        <v>14.467701058325057</v>
      </c>
      <c r="AL515" s="98">
        <f t="shared" si="302"/>
        <v>1.5016216899158237</v>
      </c>
      <c r="AM515" s="98" t="str">
        <f t="shared" si="287"/>
        <v>1+1457.74309406257i</v>
      </c>
      <c r="AN515" s="98">
        <f t="shared" si="303"/>
        <v>1457.7434370584951</v>
      </c>
      <c r="AO515" s="98">
        <f t="shared" si="304"/>
        <v>1.5701103349715009</v>
      </c>
      <c r="AP515" s="168" t="str">
        <f t="shared" si="305"/>
        <v>-0.00432016718951613+0.0629799320929597i</v>
      </c>
      <c r="AQ515" s="98">
        <f t="shared" si="306"/>
        <v>-23.99556886604071</v>
      </c>
      <c r="AR515" s="169">
        <f t="shared" si="307"/>
        <v>93.92411030625982</v>
      </c>
      <c r="AS515" s="168" t="str">
        <f t="shared" si="308"/>
        <v>-0.000248018941519128-0.000055124293507186i</v>
      </c>
      <c r="AT515" s="190">
        <f t="shared" si="309"/>
        <v>-71.900897385476114</v>
      </c>
      <c r="AU515" s="169">
        <f t="shared" si="310"/>
        <v>-167.46921693007755</v>
      </c>
      <c r="AV515" s="225"/>
      <c r="AX515">
        <f t="shared" si="311"/>
        <v>0</v>
      </c>
      <c r="AY515">
        <f t="shared" si="312"/>
        <v>0</v>
      </c>
    </row>
    <row r="516" spans="14:51" x14ac:dyDescent="0.2">
      <c r="N516" s="170">
        <v>98</v>
      </c>
      <c r="O516" s="199">
        <f t="shared" si="313"/>
        <v>954992.58602143743</v>
      </c>
      <c r="P516" s="189" t="str">
        <f t="shared" si="279"/>
        <v>6.8875</v>
      </c>
      <c r="Q516" s="160" t="str">
        <f t="shared" si="280"/>
        <v>1+1500.09884623883i</v>
      </c>
      <c r="R516" s="160">
        <f t="shared" si="288"/>
        <v>1500.099179550162</v>
      </c>
      <c r="S516" s="160">
        <f t="shared" si="289"/>
        <v>1.5701297041557427</v>
      </c>
      <c r="T516" s="160" t="str">
        <f t="shared" si="281"/>
        <v>1+2.40015815398213i</v>
      </c>
      <c r="U516" s="160">
        <f t="shared" si="290"/>
        <v>2.6001459890027143</v>
      </c>
      <c r="V516" s="160">
        <f t="shared" si="291"/>
        <v>1.1760286013410459</v>
      </c>
      <c r="W516" s="98" t="str">
        <f t="shared" si="282"/>
        <v>1-6.23309769905332i</v>
      </c>
      <c r="X516" s="160">
        <f t="shared" si="292"/>
        <v>6.3128049966669968</v>
      </c>
      <c r="Y516" s="160">
        <f t="shared" si="293"/>
        <v>-1.4117180508962908</v>
      </c>
      <c r="Z516" s="98" t="str">
        <f t="shared" si="283"/>
        <v>-17.8431991602461+7.14502535368452i</v>
      </c>
      <c r="AA516" s="160">
        <f t="shared" si="294"/>
        <v>19.220591655227519</v>
      </c>
      <c r="AB516" s="160">
        <f t="shared" si="295"/>
        <v>2.7607121104511001</v>
      </c>
      <c r="AC516" s="171" t="str">
        <f t="shared" si="296"/>
        <v>-0.000569879994081858+0.00387934876816168i</v>
      </c>
      <c r="AD516" s="190">
        <f t="shared" si="297"/>
        <v>-48.132100138748079</v>
      </c>
      <c r="AE516" s="169">
        <f t="shared" si="298"/>
        <v>98.357031548971989</v>
      </c>
      <c r="AF516" s="98" t="str">
        <f t="shared" si="284"/>
        <v>-0.0000816326530612245</v>
      </c>
      <c r="AG516" s="98" t="str">
        <f t="shared" si="285"/>
        <v>0.133328785453708i</v>
      </c>
      <c r="AH516" s="98">
        <f t="shared" si="299"/>
        <v>0.13332878545370799</v>
      </c>
      <c r="AI516" s="98">
        <f t="shared" si="300"/>
        <v>1.5707963267948966</v>
      </c>
      <c r="AJ516" s="98" t="str">
        <f t="shared" si="286"/>
        <v>1+14.7692900267316i</v>
      </c>
      <c r="AK516" s="98">
        <f t="shared" si="301"/>
        <v>14.803105346301955</v>
      </c>
      <c r="AL516" s="98">
        <f t="shared" si="302"/>
        <v>1.5031914479832884</v>
      </c>
      <c r="AM516" s="98" t="str">
        <f t="shared" si="287"/>
        <v>1+1491.6982926999i</v>
      </c>
      <c r="AN516" s="98">
        <f t="shared" si="303"/>
        <v>1491.6986278882866</v>
      </c>
      <c r="AO516" s="98">
        <f t="shared" si="304"/>
        <v>1.5701259500470703</v>
      </c>
      <c r="AP516" s="168" t="str">
        <f t="shared" si="305"/>
        <v>-0.00412661495367267+0.0615594388612316i</v>
      </c>
      <c r="AQ516" s="98">
        <f t="shared" si="306"/>
        <v>-24.194635024393165</v>
      </c>
      <c r="AR516" s="169">
        <f t="shared" si="307"/>
        <v>93.835064472064388</v>
      </c>
      <c r="AS516" s="168" t="str">
        <f t="shared" si="308"/>
        <v>-0.000236458858009666-0.0000510900712911288i</v>
      </c>
      <c r="AT516" s="190">
        <f t="shared" si="309"/>
        <v>-72.326735163141237</v>
      </c>
      <c r="AU516" s="169">
        <f t="shared" si="310"/>
        <v>-167.80790397896362</v>
      </c>
      <c r="AV516" s="225"/>
      <c r="AX516">
        <f t="shared" si="311"/>
        <v>0</v>
      </c>
      <c r="AY516">
        <f t="shared" si="312"/>
        <v>0</v>
      </c>
    </row>
    <row r="517" spans="14:51" x14ac:dyDescent="0.2">
      <c r="N517" s="170">
        <v>99</v>
      </c>
      <c r="O517" s="199">
        <f t="shared" si="313"/>
        <v>977237.22095581202</v>
      </c>
      <c r="P517" s="189" t="str">
        <f t="shared" si="279"/>
        <v>6.8875</v>
      </c>
      <c r="Q517" s="160" t="str">
        <f t="shared" si="280"/>
        <v>1+1535.04063708464i</v>
      </c>
      <c r="R517" s="160">
        <f t="shared" si="288"/>
        <v>1535.0409628088812</v>
      </c>
      <c r="S517" s="160">
        <f t="shared" si="289"/>
        <v>1.5701448783352405</v>
      </c>
      <c r="T517" s="160" t="str">
        <f t="shared" si="281"/>
        <v>1+2.45606501933543i</v>
      </c>
      <c r="U517" s="160">
        <f t="shared" si="290"/>
        <v>2.6518399987938839</v>
      </c>
      <c r="V517" s="160">
        <f t="shared" si="291"/>
        <v>1.1841368087855924</v>
      </c>
      <c r="W517" s="98" t="str">
        <f t="shared" si="282"/>
        <v>1-6.37828519564256i</v>
      </c>
      <c r="X517" s="160">
        <f t="shared" si="292"/>
        <v>6.4562002785657953</v>
      </c>
      <c r="Y517" s="160">
        <f t="shared" si="293"/>
        <v>-1.4152803531621421</v>
      </c>
      <c r="Z517" s="98" t="str">
        <f t="shared" si="283"/>
        <v>-18.7312517773025+7.31145437409369i</v>
      </c>
      <c r="AA517" s="160">
        <f t="shared" si="294"/>
        <v>20.107639299757487</v>
      </c>
      <c r="AB517" s="160">
        <f t="shared" si="295"/>
        <v>2.7694462464993936</v>
      </c>
      <c r="AC517" s="171" t="str">
        <f t="shared" si="296"/>
        <v>-0.000539363148352765+0.00378209952415421i</v>
      </c>
      <c r="AD517" s="190">
        <f t="shared" si="297"/>
        <v>-48.357902643644088</v>
      </c>
      <c r="AE517" s="169">
        <f t="shared" si="298"/>
        <v>98.1161941800748</v>
      </c>
      <c r="AF517" s="98" t="str">
        <f t="shared" si="284"/>
        <v>-0.0000816326530612245</v>
      </c>
      <c r="AG517" s="98" t="str">
        <f t="shared" si="285"/>
        <v>0.136434411824083i</v>
      </c>
      <c r="AH517" s="98">
        <f t="shared" si="299"/>
        <v>0.136434411824083</v>
      </c>
      <c r="AI517" s="98">
        <f t="shared" si="300"/>
        <v>1.5707963267948966</v>
      </c>
      <c r="AJ517" s="98" t="str">
        <f t="shared" si="286"/>
        <v>1+15.1133109853165i</v>
      </c>
      <c r="AK517" s="98">
        <f t="shared" si="301"/>
        <v>15.146358273158878</v>
      </c>
      <c r="AL517" s="98">
        <f t="shared" si="302"/>
        <v>1.5047257964963672</v>
      </c>
      <c r="AM517" s="98" t="str">
        <f t="shared" si="287"/>
        <v>1+1526.44440951697i</v>
      </c>
      <c r="AN517" s="98">
        <f t="shared" si="303"/>
        <v>1526.444737075539</v>
      </c>
      <c r="AO517" s="98">
        <f t="shared" si="304"/>
        <v>1.5701412096804404</v>
      </c>
      <c r="AP517" s="168" t="str">
        <f t="shared" si="305"/>
        <v>-0.00394169626945207+0.0601704104409759i</v>
      </c>
      <c r="AQ517" s="98">
        <f t="shared" si="306"/>
        <v>-24.393743025020779</v>
      </c>
      <c r="AR517" s="169">
        <f t="shared" si="307"/>
        <v>93.748027090551844</v>
      </c>
      <c r="AS517" s="168" t="str">
        <f t="shared" si="308"/>
        <v>-0.000225444474987236-0.0000473615895981779i</v>
      </c>
      <c r="AT517" s="190">
        <f t="shared" si="309"/>
        <v>-72.751645668664878</v>
      </c>
      <c r="AU517" s="169">
        <f t="shared" si="310"/>
        <v>-168.13577872937333</v>
      </c>
      <c r="AV517" s="225"/>
      <c r="AX517">
        <f t="shared" si="311"/>
        <v>0</v>
      </c>
      <c r="AY517">
        <f t="shared" si="312"/>
        <v>0</v>
      </c>
    </row>
    <row r="518" spans="14:51" x14ac:dyDescent="0.2">
      <c r="N518" s="170">
        <v>100</v>
      </c>
      <c r="O518" s="199">
        <f t="shared" si="313"/>
        <v>1000000</v>
      </c>
      <c r="P518" s="189" t="str">
        <f t="shared" si="279"/>
        <v>6.8875</v>
      </c>
      <c r="Q518" s="160" t="str">
        <f t="shared" si="280"/>
        <v>1+1570.7963267949i</v>
      </c>
      <c r="R518" s="160">
        <f t="shared" si="288"/>
        <v>1570.7966451047544</v>
      </c>
      <c r="S518" s="160">
        <f t="shared" si="289"/>
        <v>1.5701597071085331</v>
      </c>
      <c r="T518" s="160" t="str">
        <f t="shared" si="281"/>
        <v>1+2.51327412287184i</v>
      </c>
      <c r="U518" s="160">
        <f t="shared" si="290"/>
        <v>2.7049116097753019</v>
      </c>
      <c r="V518" s="160">
        <f t="shared" si="291"/>
        <v>1.1921125187390877</v>
      </c>
      <c r="W518" s="98" t="str">
        <f t="shared" si="282"/>
        <v>1-6.5268545434691i</v>
      </c>
      <c r="X518" s="160">
        <f t="shared" si="292"/>
        <v>6.6030167523339847</v>
      </c>
      <c r="Y518" s="160">
        <f t="shared" si="293"/>
        <v>-1.4187654167192838</v>
      </c>
      <c r="Z518" s="98" t="str">
        <f t="shared" si="283"/>
        <v>-19.6611570247934+7.48176002439053i</v>
      </c>
      <c r="AA518" s="160">
        <f t="shared" si="294"/>
        <v>21.036583102209139</v>
      </c>
      <c r="AB518" s="160">
        <f t="shared" si="295"/>
        <v>2.7779781601460622</v>
      </c>
      <c r="AC518" s="171" t="str">
        <f t="shared" si="296"/>
        <v>-0.000510626585600613+0.00368754710900175i</v>
      </c>
      <c r="AD518" s="190">
        <f t="shared" si="297"/>
        <v>-48.582761528374647</v>
      </c>
      <c r="AE518" s="169">
        <f t="shared" si="298"/>
        <v>97.883796996622351</v>
      </c>
      <c r="AF518" s="98" t="str">
        <f t="shared" si="284"/>
        <v>-0.0000816326530612245</v>
      </c>
      <c r="AG518" s="98" t="str">
        <f t="shared" si="285"/>
        <v>0.13961237752553i</v>
      </c>
      <c r="AH518" s="98">
        <f t="shared" si="299"/>
        <v>0.13961237752552999</v>
      </c>
      <c r="AI518" s="98">
        <f t="shared" si="300"/>
        <v>1.5707963267948966</v>
      </c>
      <c r="AJ518" s="98" t="str">
        <f t="shared" si="286"/>
        <v>1+15.4653452214341i</v>
      </c>
      <c r="AK518" s="98">
        <f t="shared" si="301"/>
        <v>15.497641847008033</v>
      </c>
      <c r="AL518" s="98">
        <f t="shared" si="302"/>
        <v>1.5062255200730716</v>
      </c>
      <c r="AM518" s="98" t="str">
        <f t="shared" si="287"/>
        <v>1+1561.99986736485i</v>
      </c>
      <c r="AN518" s="98">
        <f t="shared" si="303"/>
        <v>1562.0001874672771</v>
      </c>
      <c r="AO518" s="98">
        <f t="shared" si="304"/>
        <v>1.5701561219624427</v>
      </c>
      <c r="AP518" s="168" t="str">
        <f t="shared" si="305"/>
        <v>-0.00376502935903897+0.0588121880886588i</v>
      </c>
      <c r="AQ518" s="98">
        <f t="shared" si="306"/>
        <v>-24.592891001140458</v>
      </c>
      <c r="AR518" s="169">
        <f t="shared" si="307"/>
        <v>93.662953669992035</v>
      </c>
      <c r="AS518" s="168" t="str">
        <f t="shared" si="308"/>
        <v>-0.000214950190074109-0.0000439147899236437i</v>
      </c>
      <c r="AT518" s="190">
        <f t="shared" si="309"/>
        <v>-73.175652529515091</v>
      </c>
      <c r="AU518" s="169">
        <f t="shared" si="310"/>
        <v>-168.45324933338566</v>
      </c>
      <c r="AV518" s="225"/>
      <c r="AX518">
        <f t="shared" si="311"/>
        <v>0</v>
      </c>
      <c r="AY518">
        <f t="shared" si="312"/>
        <v>0</v>
      </c>
    </row>
    <row r="519" spans="14:51" x14ac:dyDescent="0.2">
      <c r="N519" s="170">
        <v>1</v>
      </c>
      <c r="O519" s="199">
        <f>10^(6+(N519/100))</f>
        <v>1023292.9922807553</v>
      </c>
      <c r="P519" s="189" t="str">
        <f t="shared" si="279"/>
        <v>6.8875</v>
      </c>
      <c r="Q519" s="160" t="str">
        <f t="shared" si="280"/>
        <v>1+1607.38487350957i</v>
      </c>
      <c r="R519" s="160">
        <f t="shared" si="288"/>
        <v>1607.3851845738084</v>
      </c>
      <c r="S519" s="160">
        <f t="shared" si="289"/>
        <v>1.5701741983380062</v>
      </c>
      <c r="T519" s="160" t="str">
        <f t="shared" si="281"/>
        <v>1+2.57181579761531i</v>
      </c>
      <c r="U519" s="160">
        <f t="shared" si="290"/>
        <v>2.7593906024453436</v>
      </c>
      <c r="V519" s="160">
        <f t="shared" si="291"/>
        <v>1.1999559001847586</v>
      </c>
      <c r="W519" s="98" t="str">
        <f t="shared" si="282"/>
        <v>1-6.67888451596774i</v>
      </c>
      <c r="X519" s="160">
        <f t="shared" si="292"/>
        <v>6.7533323905782705</v>
      </c>
      <c r="Y519" s="160">
        <f t="shared" si="293"/>
        <v>-1.4221747505931859</v>
      </c>
      <c r="Z519" s="98" t="str">
        <f t="shared" si="283"/>
        <v>-20.6348873564236+7.65603260288512i</v>
      </c>
      <c r="AA519" s="160">
        <f t="shared" si="294"/>
        <v>22.009393708794672</v>
      </c>
      <c r="AB519" s="160">
        <f t="shared" si="295"/>
        <v>2.7863125888262976</v>
      </c>
      <c r="AC519" s="171" t="str">
        <f t="shared" si="296"/>
        <v>-0.000483557184450633+0.0035956099563265i</v>
      </c>
      <c r="AD519" s="190">
        <f t="shared" si="297"/>
        <v>-48.806702437548395</v>
      </c>
      <c r="AE519" s="169">
        <f t="shared" si="298"/>
        <v>97.659491334325821</v>
      </c>
      <c r="AF519" s="98" t="str">
        <f t="shared" si="284"/>
        <v>-0.0000816326530612245</v>
      </c>
      <c r="AG519" s="98" t="str">
        <f t="shared" si="285"/>
        <v>0.142864367557531i</v>
      </c>
      <c r="AH519" s="98">
        <f t="shared" si="299"/>
        <v>0.14286436755753101</v>
      </c>
      <c r="AI519" s="98">
        <f t="shared" si="300"/>
        <v>1.5707963267948966</v>
      </c>
      <c r="AJ519" s="98" t="str">
        <f t="shared" si="286"/>
        <v>1+15.8255793882962i</v>
      </c>
      <c r="AK519" s="98">
        <f t="shared" si="301"/>
        <v>15.85714233319691</v>
      </c>
      <c r="AL519" s="98">
        <f t="shared" si="302"/>
        <v>1.507691386886419</v>
      </c>
      <c r="AM519" s="98" t="str">
        <f t="shared" si="287"/>
        <v>1+1598.38351821792i</v>
      </c>
      <c r="AN519" s="98">
        <f t="shared" si="303"/>
        <v>1598.3838310339279</v>
      </c>
      <c r="AO519" s="98">
        <f t="shared" si="304"/>
        <v>1.57017069479974</v>
      </c>
      <c r="AP519" s="168" t="str">
        <f t="shared" si="305"/>
        <v>-0.00359624903508657+0.0574841242789348i</v>
      </c>
      <c r="AQ519" s="98">
        <f t="shared" si="306"/>
        <v>-24.792077168551934</v>
      </c>
      <c r="AR519" s="169">
        <f t="shared" si="307"/>
        <v>93.579800650331592</v>
      </c>
      <c r="AS519" s="168" t="str">
        <f t="shared" si="308"/>
        <v>-0.000204951497530058-0.0000407275701229188i</v>
      </c>
      <c r="AT519" s="190">
        <f t="shared" si="309"/>
        <v>-73.598779606100337</v>
      </c>
      <c r="AU519" s="169">
        <f t="shared" si="310"/>
        <v>-168.76070801534257</v>
      </c>
      <c r="AV519" s="225"/>
      <c r="AX519">
        <f t="shared" si="311"/>
        <v>0</v>
      </c>
      <c r="AY519">
        <f t="shared" si="312"/>
        <v>0</v>
      </c>
    </row>
    <row r="520" spans="14:51" x14ac:dyDescent="0.2">
      <c r="N520" s="170">
        <v>2</v>
      </c>
      <c r="O520" s="199">
        <f t="shared" ref="O520:O560" si="314">10^(6+(N520/100))</f>
        <v>1047128.5480509007</v>
      </c>
      <c r="P520" s="189" t="str">
        <f t="shared" si="279"/>
        <v>6.8875</v>
      </c>
      <c r="Q520" s="160" t="str">
        <f t="shared" si="280"/>
        <v>1+1644.82567696043i</v>
      </c>
      <c r="R520" s="160">
        <f t="shared" si="288"/>
        <v>1644.8259809439833</v>
      </c>
      <c r="S520" s="160">
        <f t="shared" si="289"/>
        <v>1.5701883597070774</v>
      </c>
      <c r="T520" s="160" t="str">
        <f t="shared" si="281"/>
        <v>1+2.63172108313668i</v>
      </c>
      <c r="U520" s="160">
        <f t="shared" si="290"/>
        <v>2.8153074182806574</v>
      </c>
      <c r="V520" s="160">
        <f t="shared" si="291"/>
        <v>1.2076672506448594</v>
      </c>
      <c r="W520" s="98" t="str">
        <f t="shared" si="282"/>
        <v>1-6.83445572144222i</v>
      </c>
      <c r="X520" s="160">
        <f t="shared" si="292"/>
        <v>6.907227012944797</v>
      </c>
      <c r="Y520" s="160">
        <f t="shared" si="293"/>
        <v>-1.4255098452653974</v>
      </c>
      <c r="Z520" s="98" t="str">
        <f t="shared" si="283"/>
        <v>-21.6545081847766+7.83436451120532i</v>
      </c>
      <c r="AA520" s="160">
        <f t="shared" si="294"/>
        <v>23.02813479244444</v>
      </c>
      <c r="AB520" s="160">
        <f t="shared" si="295"/>
        <v>2.7944541629687047</v>
      </c>
      <c r="AC520" s="171" t="str">
        <f t="shared" si="296"/>
        <v>-0.00045804945469092+0.00350620844008161i</v>
      </c>
      <c r="AD520" s="190">
        <f t="shared" si="297"/>
        <v>-49.02975107732162</v>
      </c>
      <c r="AE520" s="169">
        <f t="shared" si="298"/>
        <v>97.442943097408815</v>
      </c>
      <c r="AF520" s="98" t="str">
        <f t="shared" si="284"/>
        <v>-0.0000816326530612245</v>
      </c>
      <c r="AG520" s="98" t="str">
        <f t="shared" si="285"/>
        <v>0.146192106168243i</v>
      </c>
      <c r="AH520" s="98">
        <f t="shared" si="299"/>
        <v>0.14619210616824299</v>
      </c>
      <c r="AI520" s="98">
        <f t="shared" si="300"/>
        <v>1.5707963267948966</v>
      </c>
      <c r="AJ520" s="98" t="str">
        <f t="shared" si="286"/>
        <v>1+16.1942044868262i</v>
      </c>
      <c r="AK520" s="98">
        <f t="shared" si="301"/>
        <v>16.225050353115762</v>
      </c>
      <c r="AL520" s="98">
        <f t="shared" si="302"/>
        <v>1.5091241489457581</v>
      </c>
      <c r="AM520" s="98" t="str">
        <f t="shared" si="287"/>
        <v>1+1635.61465316945i</v>
      </c>
      <c r="AN520" s="98">
        <f t="shared" si="303"/>
        <v>1635.6149588648975</v>
      </c>
      <c r="AO520" s="98">
        <f t="shared" si="304"/>
        <v>1.5701849359190185</v>
      </c>
      <c r="AP520" s="168" t="str">
        <f t="shared" si="305"/>
        <v>-0.0034350060054254+0.0561855826948961i</v>
      </c>
      <c r="AQ520" s="98">
        <f t="shared" si="306"/>
        <v>-24.991299822045328</v>
      </c>
      <c r="AR520" s="169">
        <f t="shared" si="307"/>
        <v>93.498525387315226</v>
      </c>
      <c r="AS520" s="168" t="str">
        <f t="shared" si="308"/>
        <v>-0.000195424961628103-0.0000377796225628423i</v>
      </c>
      <c r="AT520" s="190">
        <f t="shared" si="309"/>
        <v>-74.021050899366941</v>
      </c>
      <c r="AU520" s="169">
        <f t="shared" si="310"/>
        <v>-169.05853151527597</v>
      </c>
      <c r="AV520" s="225"/>
      <c r="AX520">
        <f t="shared" si="311"/>
        <v>0</v>
      </c>
      <c r="AY520">
        <f t="shared" si="312"/>
        <v>0</v>
      </c>
    </row>
    <row r="521" spans="14:51" x14ac:dyDescent="0.2">
      <c r="N521" s="170">
        <v>3</v>
      </c>
      <c r="O521" s="199">
        <f t="shared" si="314"/>
        <v>1071519.3052376076</v>
      </c>
      <c r="P521" s="189" t="str">
        <f t="shared" si="279"/>
        <v>6.8875</v>
      </c>
      <c r="Q521" s="160" t="str">
        <f t="shared" si="280"/>
        <v>1+1683.13858875705i</v>
      </c>
      <c r="R521" s="160">
        <f t="shared" si="288"/>
        <v>1683.1388858210939</v>
      </c>
      <c r="S521" s="160">
        <f t="shared" si="289"/>
        <v>1.5702021987242689</v>
      </c>
      <c r="T521" s="160" t="str">
        <f t="shared" si="281"/>
        <v>1+2.69302174201128i</v>
      </c>
      <c r="U521" s="160">
        <f t="shared" si="290"/>
        <v>2.8726931793955073</v>
      </c>
      <c r="V521" s="160">
        <f t="shared" si="291"/>
        <v>1.215246989324251</v>
      </c>
      <c r="W521" s="98" t="str">
        <f t="shared" si="282"/>
        <v>1-6.99365064580493i</v>
      </c>
      <c r="X521" s="160">
        <f t="shared" si="292"/>
        <v>7.064782328958743</v>
      </c>
      <c r="Y521" s="160">
        <f t="shared" si="293"/>
        <v>-1.4287721721270499</v>
      </c>
      <c r="Z521" s="98" t="str">
        <f t="shared" si="283"/>
        <v>-22.7221822623323+8.01685030328944i</v>
      </c>
      <c r="AA521" s="160">
        <f t="shared" si="294"/>
        <v>24.094967431976343</v>
      </c>
      <c r="AB521" s="160">
        <f t="shared" si="295"/>
        <v>2.8024074073643201</v>
      </c>
      <c r="AC521" s="171" t="str">
        <f t="shared" si="296"/>
        <v>-0.000434005017398257+0.00341926495424567i</v>
      </c>
      <c r="AD521" s="190">
        <f t="shared" si="297"/>
        <v>-49.251933134530404</v>
      </c>
      <c r="AE521" s="169">
        <f t="shared" si="298"/>
        <v>97.233832318402591</v>
      </c>
      <c r="AF521" s="98" t="str">
        <f t="shared" si="284"/>
        <v>-0.0000816326530612245</v>
      </c>
      <c r="AG521" s="98" t="str">
        <f t="shared" si="285"/>
        <v>0.149597357768727i</v>
      </c>
      <c r="AH521" s="98">
        <f t="shared" si="299"/>
        <v>0.14959735776872701</v>
      </c>
      <c r="AI521" s="98">
        <f t="shared" si="300"/>
        <v>1.5707963267948966</v>
      </c>
      <c r="AJ521" s="98" t="str">
        <f t="shared" si="286"/>
        <v>1+16.5714159669308i</v>
      </c>
      <c r="AK521" s="98">
        <f t="shared" si="301"/>
        <v>16.601560985312467</v>
      </c>
      <c r="AL521" s="98">
        <f t="shared" si="302"/>
        <v>1.5105245423777485</v>
      </c>
      <c r="AM521" s="98" t="str">
        <f t="shared" si="287"/>
        <v>1+1673.71301266001i</v>
      </c>
      <c r="AN521" s="98">
        <f t="shared" si="303"/>
        <v>1673.7133113969808</v>
      </c>
      <c r="AO521" s="98">
        <f t="shared" si="304"/>
        <v>1.5701988528710851</v>
      </c>
      <c r="AP521" s="168" t="str">
        <f t="shared" si="305"/>
        <v>-0.00328096620463351+0.0549159382028336i</v>
      </c>
      <c r="AQ521" s="98">
        <f t="shared" si="306"/>
        <v>-25.190557331961333</v>
      </c>
      <c r="AR521" s="169">
        <f t="shared" si="307"/>
        <v>93.419086136621431</v>
      </c>
      <c r="AS521" s="168" t="str">
        <f t="shared" si="308"/>
        <v>-0.000186348187131745-0.0000350522854747302i</v>
      </c>
      <c r="AT521" s="190">
        <f t="shared" si="309"/>
        <v>-74.442490466491734</v>
      </c>
      <c r="AU521" s="169">
        <f t="shared" si="310"/>
        <v>-169.34708154497596</v>
      </c>
      <c r="AV521" s="225"/>
      <c r="AX521">
        <f t="shared" si="311"/>
        <v>0</v>
      </c>
      <c r="AY521">
        <f t="shared" si="312"/>
        <v>0</v>
      </c>
    </row>
    <row r="522" spans="14:51" x14ac:dyDescent="0.2">
      <c r="N522" s="170">
        <v>4</v>
      </c>
      <c r="O522" s="199">
        <f t="shared" si="314"/>
        <v>1096478.196143186</v>
      </c>
      <c r="P522" s="189" t="str">
        <f t="shared" si="279"/>
        <v>6.8875</v>
      </c>
      <c r="Q522" s="160" t="str">
        <f t="shared" si="280"/>
        <v>1+1722.34392291241i</v>
      </c>
      <c r="R522" s="160">
        <f t="shared" si="288"/>
        <v>1722.3442132144523</v>
      </c>
      <c r="S522" s="160">
        <f t="shared" si="289"/>
        <v>1.5702157227271898</v>
      </c>
      <c r="T522" s="160" t="str">
        <f t="shared" si="281"/>
        <v>1+2.75575027665986i</v>
      </c>
      <c r="U522" s="160">
        <f t="shared" si="290"/>
        <v>2.9315797085037434</v>
      </c>
      <c r="V522" s="160">
        <f t="shared" si="291"/>
        <v>1.222695650304878</v>
      </c>
      <c r="W522" s="98" t="str">
        <f t="shared" si="282"/>
        <v>1-7.15655369631195i</v>
      </c>
      <c r="X522" s="160">
        <f t="shared" si="292"/>
        <v>7.2260819818347084</v>
      </c>
      <c r="Y522" s="160">
        <f t="shared" si="293"/>
        <v>-1.4319631830005199</v>
      </c>
      <c r="Z522" s="98" t="str">
        <f t="shared" si="283"/>
        <v>-23.8401742689549+8.20358673551992i</v>
      </c>
      <c r="AA522" s="160">
        <f t="shared" si="294"/>
        <v>25.212154697711536</v>
      </c>
      <c r="AB522" s="160">
        <f t="shared" si="295"/>
        <v>2.8101767426772959</v>
      </c>
      <c r="AC522" s="171" t="str">
        <f t="shared" si="296"/>
        <v>-0.000411332117923326+0.00333470396963656i</v>
      </c>
      <c r="AD522" s="190">
        <f t="shared" si="297"/>
        <v>-49.473274203363715</v>
      </c>
      <c r="AE522" s="169">
        <f t="shared" si="298"/>
        <v>97.031852708841214</v>
      </c>
      <c r="AF522" s="98" t="str">
        <f t="shared" si="284"/>
        <v>-0.0000816326530612245</v>
      </c>
      <c r="AG522" s="98" t="str">
        <f t="shared" si="285"/>
        <v>0.153081927868455i</v>
      </c>
      <c r="AH522" s="98">
        <f t="shared" si="299"/>
        <v>0.15308192786845501</v>
      </c>
      <c r="AI522" s="98">
        <f t="shared" si="300"/>
        <v>1.5707963267948966</v>
      </c>
      <c r="AJ522" s="98" t="str">
        <f t="shared" si="286"/>
        <v>1+16.9574138311297i</v>
      </c>
      <c r="AK522" s="98">
        <f t="shared" si="301"/>
        <v>16.98687386896685</v>
      </c>
      <c r="AL522" s="98">
        <f t="shared" si="302"/>
        <v>1.5118932877066056</v>
      </c>
      <c r="AM522" s="98" t="str">
        <f t="shared" si="287"/>
        <v>1+1712.6987969441i</v>
      </c>
      <c r="AN522" s="98">
        <f t="shared" si="303"/>
        <v>1712.6990888809883</v>
      </c>
      <c r="AO522" s="98">
        <f t="shared" si="304"/>
        <v>1.5702124530348707</v>
      </c>
      <c r="AP522" s="168" t="str">
        <f t="shared" si="305"/>
        <v>-0.00313381015163927+0.0536745768128594i</v>
      </c>
      <c r="AQ522" s="98">
        <f t="shared" si="306"/>
        <v>-25.389848140894649</v>
      </c>
      <c r="AR522" s="169">
        <f t="shared" si="307"/>
        <v>93.341442038035254</v>
      </c>
      <c r="AS522" s="168" t="str">
        <f t="shared" si="308"/>
        <v>-0.000177699787599561-0.0000325284065118305i</v>
      </c>
      <c r="AT522" s="190">
        <f t="shared" si="309"/>
        <v>-74.863122344258372</v>
      </c>
      <c r="AU522" s="169">
        <f t="shared" si="310"/>
        <v>-169.6267052531235</v>
      </c>
      <c r="AV522" s="225"/>
      <c r="AX522">
        <f t="shared" si="311"/>
        <v>0</v>
      </c>
      <c r="AY522">
        <f t="shared" si="312"/>
        <v>0</v>
      </c>
    </row>
    <row r="523" spans="14:51" x14ac:dyDescent="0.2">
      <c r="N523" s="170">
        <v>5</v>
      </c>
      <c r="O523" s="199">
        <f t="shared" si="314"/>
        <v>1122018.4543019643</v>
      </c>
      <c r="P523" s="189" t="str">
        <f t="shared" si="279"/>
        <v>6.8875</v>
      </c>
      <c r="Q523" s="160" t="str">
        <f t="shared" si="280"/>
        <v>1+1762.46246661361i</v>
      </c>
      <c r="R523" s="160">
        <f t="shared" si="288"/>
        <v>1762.4627503075722</v>
      </c>
      <c r="S523" s="160">
        <f t="shared" si="289"/>
        <v>1.5702289388864257</v>
      </c>
      <c r="T523" s="160" t="str">
        <f t="shared" si="281"/>
        <v>1+2.81993994658178i</v>
      </c>
      <c r="U523" s="160">
        <f t="shared" si="290"/>
        <v>2.9919995491857367</v>
      </c>
      <c r="V523" s="160">
        <f t="shared" si="291"/>
        <v>1.230013875818063</v>
      </c>
      <c r="W523" s="98" t="str">
        <f t="shared" si="282"/>
        <v>1-7.32325124631695i</v>
      </c>
      <c r="X523" s="160">
        <f t="shared" si="292"/>
        <v>7.3912115932831179</v>
      </c>
      <c r="Y523" s="160">
        <f t="shared" si="293"/>
        <v>-1.4350843097248875</v>
      </c>
      <c r="Z523" s="98" t="str">
        <f t="shared" si="283"/>
        <v>-25.010855615582+8.39467281802488i</v>
      </c>
      <c r="AA523" s="160">
        <f t="shared" si="294"/>
        <v>26.382066453277982</v>
      </c>
      <c r="AB523" s="160">
        <f t="shared" si="295"/>
        <v>2.8177664870727335</v>
      </c>
      <c r="AC523" s="171" t="str">
        <f t="shared" si="296"/>
        <v>-0.000389945170195958+0.00325245207095742i</v>
      </c>
      <c r="AD523" s="190">
        <f t="shared" si="297"/>
        <v>-49.693799719173782</v>
      </c>
      <c r="AE523" s="169">
        <f t="shared" si="298"/>
        <v>96.836711204052648</v>
      </c>
      <c r="AF523" s="98" t="str">
        <f t="shared" si="284"/>
        <v>-0.0000816326530612245</v>
      </c>
      <c r="AG523" s="98" t="str">
        <f t="shared" si="285"/>
        <v>0.156647664032618i</v>
      </c>
      <c r="AH523" s="98">
        <f t="shared" si="299"/>
        <v>0.15664766403261801</v>
      </c>
      <c r="AI523" s="98">
        <f t="shared" si="300"/>
        <v>1.5707963267948966</v>
      </c>
      <c r="AJ523" s="98" t="str">
        <f t="shared" si="286"/>
        <v>1+17.3524027405998i</v>
      </c>
      <c r="AK523" s="98">
        <f t="shared" si="301"/>
        <v>17.38119330978099</v>
      </c>
      <c r="AL523" s="98">
        <f t="shared" si="302"/>
        <v>1.5132310901332688</v>
      </c>
      <c r="AM523" s="98" t="str">
        <f t="shared" si="287"/>
        <v>1+1752.59267680058i</v>
      </c>
      <c r="AN523" s="98">
        <f t="shared" si="303"/>
        <v>1752.5929620921743</v>
      </c>
      <c r="AO523" s="98">
        <f t="shared" si="304"/>
        <v>1.5702257436213416</v>
      </c>
      <c r="AP523" s="168" t="str">
        <f t="shared" si="305"/>
        <v>-0.00299323233252957+0.0524608956266111i</v>
      </c>
      <c r="AQ523" s="98">
        <f t="shared" si="306"/>
        <v>-25.589170760537613</v>
      </c>
      <c r="AR523" s="169">
        <f t="shared" si="307"/>
        <v>93.265553099677135</v>
      </c>
      <c r="AS523" s="168" t="str">
        <f t="shared" si="308"/>
        <v>-0.000169459352133708-0.0000301922175725438i</v>
      </c>
      <c r="AT523" s="190">
        <f t="shared" si="309"/>
        <v>-75.282970479711395</v>
      </c>
      <c r="AU523" s="169">
        <f t="shared" si="310"/>
        <v>-169.89773569627019</v>
      </c>
      <c r="AV523" s="225"/>
      <c r="AX523">
        <f t="shared" si="311"/>
        <v>0</v>
      </c>
      <c r="AY523">
        <f t="shared" si="312"/>
        <v>0</v>
      </c>
    </row>
    <row r="524" spans="14:51" x14ac:dyDescent="0.2">
      <c r="N524" s="170">
        <v>6</v>
      </c>
      <c r="O524" s="199">
        <f t="shared" si="314"/>
        <v>1148153.6214968837</v>
      </c>
      <c r="P524" s="189" t="str">
        <f t="shared" si="279"/>
        <v>6.8875</v>
      </c>
      <c r="Q524" s="160" t="str">
        <f t="shared" si="280"/>
        <v>1+1803.51549124356i</v>
      </c>
      <c r="R524" s="160">
        <f t="shared" si="288"/>
        <v>1803.5157684798598</v>
      </c>
      <c r="S524" s="160">
        <f t="shared" si="289"/>
        <v>1.5702418542093406</v>
      </c>
      <c r="T524" s="160" t="str">
        <f t="shared" si="281"/>
        <v>1+2.8856247859897i</v>
      </c>
      <c r="U524" s="160">
        <f t="shared" si="290"/>
        <v>3.0539859864639363</v>
      </c>
      <c r="V524" s="160">
        <f t="shared" si="291"/>
        <v>1.2372024096187069</v>
      </c>
      <c r="W524" s="98" t="str">
        <f t="shared" si="282"/>
        <v>1-7.49383168106743i</v>
      </c>
      <c r="X524" s="160">
        <f t="shared" si="292"/>
        <v>7.5602588093378076</v>
      </c>
      <c r="Y524" s="160">
        <f t="shared" si="293"/>
        <v>-1.4381369638010235</v>
      </c>
      <c r="Z524" s="98" t="str">
        <f t="shared" si="283"/>
        <v>-26.2367094743059+8.59020986717459i</v>
      </c>
      <c r="AA524" s="160">
        <f t="shared" si="294"/>
        <v>27.607184383801922</v>
      </c>
      <c r="AB524" s="160">
        <f t="shared" si="295"/>
        <v>2.8251808579400173</v>
      </c>
      <c r="AC524" s="171" t="str">
        <f t="shared" si="296"/>
        <v>-0.000369764330789314+0.00317243797684728i</v>
      </c>
      <c r="AD524" s="190">
        <f t="shared" si="297"/>
        <v>-49.913534899023077</v>
      </c>
      <c r="AE524" s="169">
        <f t="shared" si="298"/>
        <v>96.648127504906554</v>
      </c>
      <c r="AF524" s="98" t="str">
        <f t="shared" si="284"/>
        <v>-0.0000816326530612245</v>
      </c>
      <c r="AG524" s="98" t="str">
        <f t="shared" si="285"/>
        <v>0.160296456861728i</v>
      </c>
      <c r="AH524" s="98">
        <f t="shared" si="299"/>
        <v>0.160296456861728</v>
      </c>
      <c r="AI524" s="98">
        <f t="shared" si="300"/>
        <v>1.5707963267948966</v>
      </c>
      <c r="AJ524" s="98" t="str">
        <f t="shared" si="286"/>
        <v>1+17.7565921236891i</v>
      </c>
      <c r="AK524" s="98">
        <f t="shared" si="301"/>
        <v>17.784728388340874</v>
      </c>
      <c r="AL524" s="98">
        <f t="shared" si="302"/>
        <v>1.5145386398131757</v>
      </c>
      <c r="AM524" s="98" t="str">
        <f t="shared" si="287"/>
        <v>1+1793.4158044926i</v>
      </c>
      <c r="AN524" s="98">
        <f t="shared" si="303"/>
        <v>1793.4160832901659</v>
      </c>
      <c r="AO524" s="98">
        <f t="shared" si="304"/>
        <v>1.5702387316773241</v>
      </c>
      <c r="AP524" s="168" t="str">
        <f t="shared" si="305"/>
        <v>-0.0028589406077474+0.0512743027732031i</v>
      </c>
      <c r="AQ524" s="98">
        <f t="shared" si="306"/>
        <v>-25.788523768657328</v>
      </c>
      <c r="AR524" s="169">
        <f t="shared" si="307"/>
        <v>93.191380182306673</v>
      </c>
      <c r="AS524" s="168" t="str">
        <f t="shared" si="308"/>
        <v>-0.000161607411093485-0.0000280292200091908i</v>
      </c>
      <c r="AT524" s="190">
        <f t="shared" si="309"/>
        <v>-75.702058667680404</v>
      </c>
      <c r="AU524" s="169">
        <f t="shared" si="310"/>
        <v>-170.16049231278674</v>
      </c>
      <c r="AV524" s="225"/>
      <c r="AX524">
        <f t="shared" si="311"/>
        <v>0</v>
      </c>
      <c r="AY524">
        <f t="shared" si="312"/>
        <v>0</v>
      </c>
    </row>
    <row r="525" spans="14:51" x14ac:dyDescent="0.2">
      <c r="N525" s="170">
        <v>7</v>
      </c>
      <c r="O525" s="199">
        <f t="shared" si="314"/>
        <v>1174897.5549395324</v>
      </c>
      <c r="P525" s="189" t="str">
        <f t="shared" si="279"/>
        <v>6.8875</v>
      </c>
      <c r="Q525" s="160" t="str">
        <f t="shared" si="280"/>
        <v>1+1845.52476365932i</v>
      </c>
      <c r="R525" s="160">
        <f t="shared" si="288"/>
        <v>1845.525034584952</v>
      </c>
      <c r="S525" s="160">
        <f t="shared" si="289"/>
        <v>1.5702544755437926</v>
      </c>
      <c r="T525" s="160" t="str">
        <f t="shared" si="281"/>
        <v>1+2.95283962185492i</v>
      </c>
      <c r="U525" s="160">
        <f t="shared" si="290"/>
        <v>3.1175730676916471</v>
      </c>
      <c r="V525" s="160">
        <f t="shared" si="291"/>
        <v>1.24426209048271</v>
      </c>
      <c r="W525" s="98" t="str">
        <f t="shared" si="282"/>
        <v>1-7.66838544456782i</v>
      </c>
      <c r="X525" s="160">
        <f t="shared" si="292"/>
        <v>7.7333133472308999</v>
      </c>
      <c r="Y525" s="160">
        <f t="shared" si="293"/>
        <v>-1.4411225360923323</v>
      </c>
      <c r="Z525" s="98" t="str">
        <f t="shared" si="283"/>
        <v>-27.5203360455143+8.79030155930076i</v>
      </c>
      <c r="AA525" s="160">
        <f t="shared" si="294"/>
        <v>28.890107261162584</v>
      </c>
      <c r="AB525" s="160">
        <f t="shared" si="295"/>
        <v>2.832423973692495</v>
      </c>
      <c r="AC525" s="171" t="str">
        <f t="shared" si="296"/>
        <v>-0.000350715101180677+0.00309459254540083i</v>
      </c>
      <c r="AD525" s="190">
        <f t="shared" si="297"/>
        <v>-50.132504688569085</v>
      </c>
      <c r="AE525" s="169">
        <f t="shared" si="298"/>
        <v>96.465833619062465</v>
      </c>
      <c r="AF525" s="98" t="str">
        <f t="shared" si="284"/>
        <v>-0.0000816326530612245</v>
      </c>
      <c r="AG525" s="98" t="str">
        <f t="shared" si="285"/>
        <v>0.164030240994041i</v>
      </c>
      <c r="AH525" s="98">
        <f t="shared" si="299"/>
        <v>0.16403024099404101</v>
      </c>
      <c r="AI525" s="98">
        <f t="shared" si="300"/>
        <v>1.5707963267948966</v>
      </c>
      <c r="AJ525" s="98" t="str">
        <f t="shared" si="286"/>
        <v>1+18.1701962869587i</v>
      </c>
      <c r="AK525" s="98">
        <f t="shared" si="301"/>
        <v>18.197693071007865</v>
      </c>
      <c r="AL525" s="98">
        <f t="shared" si="302"/>
        <v>1.515816612132356</v>
      </c>
      <c r="AM525" s="98" t="str">
        <f t="shared" si="287"/>
        <v>1+1835.18982498283i</v>
      </c>
      <c r="AN525" s="98">
        <f t="shared" si="303"/>
        <v>1835.1900974341895</v>
      </c>
      <c r="AO525" s="98">
        <f t="shared" si="304"/>
        <v>1.5702514240892398</v>
      </c>
      <c r="AP525" s="168" t="str">
        <f t="shared" si="305"/>
        <v>-0.00273065564287097+0.0501142173345006i</v>
      </c>
      <c r="AQ525" s="98">
        <f t="shared" si="306"/>
        <v>-25.98790580620139</v>
      </c>
      <c r="AR525" s="169">
        <f t="shared" si="307"/>
        <v>93.11888498371772</v>
      </c>
      <c r="AS525" s="168" t="str">
        <f t="shared" si="308"/>
        <v>-0.000154125401211864-0.000026026079399545i</v>
      </c>
      <c r="AT525" s="190">
        <f t="shared" si="309"/>
        <v>-76.120410494770439</v>
      </c>
      <c r="AU525" s="169">
        <f t="shared" si="310"/>
        <v>-170.41528139721984</v>
      </c>
      <c r="AV525" s="225"/>
      <c r="AX525">
        <f t="shared" si="311"/>
        <v>0</v>
      </c>
      <c r="AY525">
        <f t="shared" si="312"/>
        <v>0</v>
      </c>
    </row>
    <row r="526" spans="14:51" x14ac:dyDescent="0.2">
      <c r="N526" s="170">
        <v>8</v>
      </c>
      <c r="O526" s="199">
        <f t="shared" si="314"/>
        <v>1202264.4346174158</v>
      </c>
      <c r="P526" s="189" t="str">
        <f t="shared" si="279"/>
        <v>6.8875</v>
      </c>
      <c r="Q526" s="160" t="str">
        <f t="shared" si="280"/>
        <v>1+1888.51255773318i</v>
      </c>
      <c r="R526" s="160">
        <f t="shared" si="288"/>
        <v>1888.512822491793</v>
      </c>
      <c r="S526" s="160">
        <f t="shared" si="289"/>
        <v>1.5702668095817638</v>
      </c>
      <c r="T526" s="160" t="str">
        <f t="shared" si="281"/>
        <v>1+3.02162009237309i</v>
      </c>
      <c r="U526" s="160">
        <f t="shared" si="290"/>
        <v>3.182795623761093</v>
      </c>
      <c r="V526" s="160">
        <f t="shared" si="291"/>
        <v>1.2511938458463225</v>
      </c>
      <c r="W526" s="98" t="str">
        <f t="shared" si="282"/>
        <v>1-7.84700508753399i</v>
      </c>
      <c r="X526" s="160">
        <f t="shared" si="292"/>
        <v>7.910467043341014</v>
      </c>
      <c r="Y526" s="160">
        <f t="shared" si="293"/>
        <v>-1.4440423965773685</v>
      </c>
      <c r="Z526" s="98" t="str">
        <f t="shared" si="283"/>
        <v>-28.8644580732631+8.99505398566706i</v>
      </c>
      <c r="AA526" s="160">
        <f t="shared" si="294"/>
        <v>30.233556457489886</v>
      </c>
      <c r="AB526" s="160">
        <f t="shared" si="295"/>
        <v>2.8394998556267037</v>
      </c>
      <c r="AC526" s="171" t="str">
        <f t="shared" si="296"/>
        <v>-0.000332727956662184+0.00301884876734154i</v>
      </c>
      <c r="AD526" s="190">
        <f t="shared" si="297"/>
        <v>-50.350733714895462</v>
      </c>
      <c r="AE526" s="169">
        <f t="shared" si="298"/>
        <v>96.289573403971829</v>
      </c>
      <c r="AF526" s="98" t="str">
        <f t="shared" si="284"/>
        <v>-0.0000816326530612245</v>
      </c>
      <c r="AG526" s="98" t="str">
        <f t="shared" si="285"/>
        <v>0.167850996131325i</v>
      </c>
      <c r="AH526" s="98">
        <f t="shared" si="299"/>
        <v>0.16785099613132501</v>
      </c>
      <c r="AI526" s="98">
        <f t="shared" si="300"/>
        <v>1.5707963267948966</v>
      </c>
      <c r="AJ526" s="98" t="str">
        <f t="shared" si="286"/>
        <v>1+18.5934345288106i</v>
      </c>
      <c r="AK526" s="98">
        <f t="shared" si="301"/>
        <v>18.620306323397752</v>
      </c>
      <c r="AL526" s="98">
        <f t="shared" si="302"/>
        <v>1.5170656679815819</v>
      </c>
      <c r="AM526" s="98" t="str">
        <f t="shared" si="287"/>
        <v>1+1877.93688740987i</v>
      </c>
      <c r="AN526" s="98">
        <f t="shared" si="303"/>
        <v>1877.9371536594801</v>
      </c>
      <c r="AO526" s="98">
        <f t="shared" si="304"/>
        <v>1.5702638275867573</v>
      </c>
      <c r="AP526" s="168" t="str">
        <f t="shared" si="305"/>
        <v>-0.00260811036217916+0.0489800692607238i</v>
      </c>
      <c r="AQ526" s="98">
        <f t="shared" si="306"/>
        <v>-26.187315574526686</v>
      </c>
      <c r="AR526" s="169">
        <f t="shared" si="307"/>
        <v>93.048030023239875</v>
      </c>
      <c r="AS526" s="168" t="str">
        <f t="shared" si="308"/>
        <v>-0.000146995630480482-0.0000241705291142481i</v>
      </c>
      <c r="AT526" s="190">
        <f t="shared" si="309"/>
        <v>-76.538049289422148</v>
      </c>
      <c r="AU526" s="169">
        <f t="shared" si="310"/>
        <v>-170.66239657278831</v>
      </c>
      <c r="AV526" s="225"/>
      <c r="AX526">
        <f t="shared" si="311"/>
        <v>0</v>
      </c>
      <c r="AY526">
        <f t="shared" si="312"/>
        <v>0</v>
      </c>
    </row>
    <row r="527" spans="14:51" x14ac:dyDescent="0.2">
      <c r="N527" s="170">
        <v>9</v>
      </c>
      <c r="O527" s="199">
        <f t="shared" si="314"/>
        <v>1230268.770812382</v>
      </c>
      <c r="P527" s="189" t="str">
        <f t="shared" si="279"/>
        <v>6.8875</v>
      </c>
      <c r="Q527" s="160" t="str">
        <f t="shared" si="280"/>
        <v>1+1932.50166616256i</v>
      </c>
      <c r="R527" s="160">
        <f t="shared" si="288"/>
        <v>1932.5019248945321</v>
      </c>
      <c r="S527" s="160">
        <f t="shared" si="289"/>
        <v>1.5702788628629096</v>
      </c>
      <c r="T527" s="160" t="str">
        <f t="shared" si="281"/>
        <v>1+3.0920026658601i</v>
      </c>
      <c r="U527" s="160">
        <f t="shared" si="290"/>
        <v>3.2496892906377934</v>
      </c>
      <c r="V527" s="160">
        <f t="shared" si="291"/>
        <v>1.2579986856035885</v>
      </c>
      <c r="W527" s="98" t="str">
        <f t="shared" si="282"/>
        <v>1-8.02978531646494i</v>
      </c>
      <c r="X527" s="160">
        <f t="shared" si="292"/>
        <v>8.09181390224194</v>
      </c>
      <c r="Y527" s="160">
        <f t="shared" si="293"/>
        <v>-1.4468978941507402</v>
      </c>
      <c r="Z527" s="98" t="str">
        <f t="shared" si="283"/>
        <v>-30.2719266205829+9.20457570872015i</v>
      </c>
      <c r="AA527" s="160">
        <f t="shared" si="294"/>
        <v>31.640381718612637</v>
      </c>
      <c r="AB527" s="160">
        <f t="shared" si="295"/>
        <v>2.8464124298264135</v>
      </c>
      <c r="AC527" s="171" t="str">
        <f t="shared" si="296"/>
        <v>-0.000315738000383254+0.00294514174877934i</v>
      </c>
      <c r="AD527" s="190">
        <f t="shared" si="297"/>
        <v>-50.568246244905531</v>
      </c>
      <c r="AE527" s="169">
        <f t="shared" si="298"/>
        <v>96.119102113608633</v>
      </c>
      <c r="AF527" s="98" t="str">
        <f t="shared" si="284"/>
        <v>-0.0000816326530612245</v>
      </c>
      <c r="AG527" s="98" t="str">
        <f t="shared" si="285"/>
        <v>0.171760748088529i</v>
      </c>
      <c r="AH527" s="98">
        <f t="shared" si="299"/>
        <v>0.17176074808852901</v>
      </c>
      <c r="AI527" s="98">
        <f t="shared" si="300"/>
        <v>1.5707963267948966</v>
      </c>
      <c r="AJ527" s="98" t="str">
        <f t="shared" si="286"/>
        <v>1+19.0265312557629i</v>
      </c>
      <c r="AK527" s="98">
        <f t="shared" si="301"/>
        <v>19.05279222650902</v>
      </c>
      <c r="AL527" s="98">
        <f t="shared" si="302"/>
        <v>1.5182864540283429</v>
      </c>
      <c r="AM527" s="98" t="str">
        <f t="shared" si="287"/>
        <v>1+1921.67965683205i</v>
      </c>
      <c r="AN527" s="98">
        <f t="shared" si="303"/>
        <v>1921.67991702108</v>
      </c>
      <c r="AO527" s="98">
        <f t="shared" si="304"/>
        <v>1.5702759487463596</v>
      </c>
      <c r="AP527" s="168" t="str">
        <f t="shared" si="305"/>
        <v>-0.0024910494242209+0.0478712992773158i</v>
      </c>
      <c r="AQ527" s="98">
        <f t="shared" si="306"/>
        <v>-26.386751832747059</v>
      </c>
      <c r="AR527" s="169">
        <f t="shared" si="307"/>
        <v>92.97877862636004</v>
      </c>
      <c r="AS527" s="168" t="str">
        <f t="shared" si="308"/>
        <v>-0.000140201243105874-0.0000224512819671137i</v>
      </c>
      <c r="AT527" s="190">
        <f t="shared" si="309"/>
        <v>-76.954998077652562</v>
      </c>
      <c r="AU527" s="169">
        <f t="shared" si="310"/>
        <v>-170.90211926003136</v>
      </c>
      <c r="AV527" s="225"/>
      <c r="AX527">
        <f t="shared" si="311"/>
        <v>0</v>
      </c>
      <c r="AY527">
        <f t="shared" si="312"/>
        <v>0</v>
      </c>
    </row>
    <row r="528" spans="14:51" x14ac:dyDescent="0.2">
      <c r="N528" s="170">
        <v>10</v>
      </c>
      <c r="O528" s="199">
        <f t="shared" si="314"/>
        <v>1258925.4117941677</v>
      </c>
      <c r="P528" s="189" t="str">
        <f t="shared" si="279"/>
        <v>6.8875</v>
      </c>
      <c r="Q528" s="160" t="str">
        <f t="shared" si="280"/>
        <v>1+1977.51541255503i</v>
      </c>
      <c r="R528" s="160">
        <f t="shared" si="288"/>
        <v>1977.5156653975441</v>
      </c>
      <c r="S528" s="160">
        <f t="shared" si="289"/>
        <v>1.5702906417780254</v>
      </c>
      <c r="T528" s="160" t="str">
        <f t="shared" si="281"/>
        <v>1+3.16402466008805i</v>
      </c>
      <c r="U528" s="160">
        <f t="shared" si="290"/>
        <v>3.3182905312291902</v>
      </c>
      <c r="V528" s="160">
        <f t="shared" si="291"/>
        <v>1.2646776960756467</v>
      </c>
      <c r="W528" s="98" t="str">
        <f t="shared" si="282"/>
        <v>1-8.21682304385746i</v>
      </c>
      <c r="X528" s="160">
        <f t="shared" si="292"/>
        <v>8.2774501468789872</v>
      </c>
      <c r="Y528" s="160">
        <f t="shared" si="293"/>
        <v>-1.4496903564688826</v>
      </c>
      <c r="Z528" s="98" t="str">
        <f t="shared" si="283"/>
        <v>-31.7457271169652+9.41897781965098i</v>
      </c>
      <c r="AA528" s="160">
        <f t="shared" si="294"/>
        <v>33.113567209708727</v>
      </c>
      <c r="AB528" s="160">
        <f t="shared" si="295"/>
        <v>2.8531655290985536</v>
      </c>
      <c r="AC528" s="171" t="str">
        <f t="shared" si="296"/>
        <v>-0.000299684641045637+0.00287340868525534i</v>
      </c>
      <c r="AD528" s="190">
        <f t="shared" si="297"/>
        <v>-50.785066148905528</v>
      </c>
      <c r="AE528" s="169">
        <f t="shared" si="298"/>
        <v>95.954185950652416</v>
      </c>
      <c r="AF528" s="98" t="str">
        <f t="shared" si="284"/>
        <v>-0.0000816326530612245</v>
      </c>
      <c r="AG528" s="98" t="str">
        <f t="shared" si="285"/>
        <v>0.175761569867891i</v>
      </c>
      <c r="AH528" s="98">
        <f t="shared" si="299"/>
        <v>0.17576156986789099</v>
      </c>
      <c r="AI528" s="98">
        <f t="shared" si="300"/>
        <v>1.5707963267948966</v>
      </c>
      <c r="AJ528" s="98" t="str">
        <f t="shared" si="286"/>
        <v>1+19.4697161014329i</v>
      </c>
      <c r="AK528" s="98">
        <f t="shared" si="301"/>
        <v>19.495380095560989</v>
      </c>
      <c r="AL528" s="98">
        <f t="shared" si="302"/>
        <v>1.5194796029864255</v>
      </c>
      <c r="AM528" s="98" t="str">
        <f t="shared" si="287"/>
        <v>1+1966.44132624472i</v>
      </c>
      <c r="AN528" s="98">
        <f t="shared" si="303"/>
        <v>1966.4415805111253</v>
      </c>
      <c r="AO528" s="98">
        <f t="shared" si="304"/>
        <v>1.5702877939948319</v>
      </c>
      <c r="AP528" s="168" t="str">
        <f t="shared" si="305"/>
        <v>-0.00237922871862101+0.0467873587839523i</v>
      </c>
      <c r="AQ528" s="98">
        <f t="shared" si="306"/>
        <v>-26.586213395193838</v>
      </c>
      <c r="AR528" s="169">
        <f t="shared" si="307"/>
        <v>92.911094909476219</v>
      </c>
      <c r="AS528" s="168" t="str">
        <f t="shared" si="308"/>
        <v>-0.000133726184785461-0.0000208579492869367i</v>
      </c>
      <c r="AT528" s="190">
        <f t="shared" si="309"/>
        <v>-77.371279544099352</v>
      </c>
      <c r="AU528" s="169">
        <f t="shared" si="310"/>
        <v>-171.13471913987138</v>
      </c>
      <c r="AV528" s="225"/>
      <c r="AX528">
        <f t="shared" si="311"/>
        <v>0</v>
      </c>
      <c r="AY528">
        <f t="shared" si="312"/>
        <v>0</v>
      </c>
    </row>
    <row r="529" spans="14:51" x14ac:dyDescent="0.2">
      <c r="N529" s="170">
        <v>11</v>
      </c>
      <c r="O529" s="199">
        <f t="shared" si="314"/>
        <v>1288249.5516931366</v>
      </c>
      <c r="P529" s="189" t="str">
        <f t="shared" si="279"/>
        <v>6.8875</v>
      </c>
      <c r="Q529" s="160" t="str">
        <f t="shared" si="280"/>
        <v>1+2023.57766379475i</v>
      </c>
      <c r="R529" s="160">
        <f t="shared" si="288"/>
        <v>2023.5779108818663</v>
      </c>
      <c r="S529" s="160">
        <f t="shared" si="289"/>
        <v>1.5703021525724346</v>
      </c>
      <c r="T529" s="160" t="str">
        <f t="shared" si="281"/>
        <v>1+3.2377242620716i</v>
      </c>
      <c r="U529" s="160">
        <f t="shared" si="290"/>
        <v>3.3886366575965456</v>
      </c>
      <c r="V529" s="160">
        <f t="shared" si="291"/>
        <v>1.2712320341634136</v>
      </c>
      <c r="W529" s="98" t="str">
        <f t="shared" si="282"/>
        <v>1-8.40821743959037i</v>
      </c>
      <c r="X529" s="160">
        <f t="shared" si="292"/>
        <v>8.4674742699007748</v>
      </c>
      <c r="Y529" s="160">
        <f t="shared" si="293"/>
        <v>-1.4524210898374741</v>
      </c>
      <c r="Z529" s="98" t="str">
        <f t="shared" si="283"/>
        <v>-33.2889856908588+9.63837399729672i</v>
      </c>
      <c r="AA529" s="160">
        <f t="shared" si="294"/>
        <v>34.656237845991988</v>
      </c>
      <c r="AB529" s="160">
        <f t="shared" si="295"/>
        <v>2.8597628949298217</v>
      </c>
      <c r="AC529" s="171" t="str">
        <f t="shared" si="296"/>
        <v>-0.000284511292819126+0.00280358882857155i</v>
      </c>
      <c r="AD529" s="190">
        <f t="shared" si="297"/>
        <v>-51.001216869014002</v>
      </c>
      <c r="AE529" s="169">
        <f t="shared" si="298"/>
        <v>95.794601625613581</v>
      </c>
      <c r="AF529" s="98" t="str">
        <f t="shared" si="284"/>
        <v>-0.0000816326530612245</v>
      </c>
      <c r="AG529" s="98" t="str">
        <f t="shared" si="285"/>
        <v>0.179855582758078i</v>
      </c>
      <c r="AH529" s="98">
        <f t="shared" si="299"/>
        <v>0.179855582758078</v>
      </c>
      <c r="AI529" s="98">
        <f t="shared" si="300"/>
        <v>1.5707963267948966</v>
      </c>
      <c r="AJ529" s="98" t="str">
        <f t="shared" si="286"/>
        <v>1+19.9232240482921i</v>
      </c>
      <c r="AK529" s="98">
        <f t="shared" si="301"/>
        <v>19.948304601605734</v>
      </c>
      <c r="AL529" s="98">
        <f t="shared" si="302"/>
        <v>1.5206457338829136</v>
      </c>
      <c r="AM529" s="98" t="str">
        <f t="shared" si="287"/>
        <v>1+2012.2456288775i</v>
      </c>
      <c r="AN529" s="98">
        <f t="shared" si="303"/>
        <v>2012.2458773560961</v>
      </c>
      <c r="AO529" s="98">
        <f t="shared" si="304"/>
        <v>1.5702993696126686</v>
      </c>
      <c r="AP529" s="168" t="str">
        <f t="shared" si="305"/>
        <v>-0.00227241488336999+0.0457277097464946i</v>
      </c>
      <c r="AQ529" s="98">
        <f t="shared" si="306"/>
        <v>-26.785699128986554</v>
      </c>
      <c r="AR529" s="169">
        <f t="shared" si="307"/>
        <v>92.844943764794934</v>
      </c>
      <c r="AS529" s="168" t="str">
        <f t="shared" si="308"/>
        <v>-0.000127555168505146-0.0000193809667985288i</v>
      </c>
      <c r="AT529" s="190">
        <f t="shared" si="309"/>
        <v>-77.786915998000538</v>
      </c>
      <c r="AU529" s="169">
        <f t="shared" si="310"/>
        <v>-171.3604546095915</v>
      </c>
      <c r="AV529" s="225"/>
      <c r="AX529">
        <f t="shared" si="311"/>
        <v>0</v>
      </c>
      <c r="AY529">
        <f t="shared" si="312"/>
        <v>0</v>
      </c>
    </row>
    <row r="530" spans="14:51" x14ac:dyDescent="0.2">
      <c r="N530" s="170">
        <v>12</v>
      </c>
      <c r="O530" s="199">
        <f t="shared" si="314"/>
        <v>1318256.7385564097</v>
      </c>
      <c r="P530" s="189" t="str">
        <f t="shared" si="279"/>
        <v>6.8875</v>
      </c>
      <c r="Q530" s="160" t="str">
        <f t="shared" si="280"/>
        <v>1+2070.71284269703i</v>
      </c>
      <c r="R530" s="160">
        <f t="shared" si="288"/>
        <v>2070.7130841597573</v>
      </c>
      <c r="S530" s="160">
        <f t="shared" si="289"/>
        <v>1.5703134013493005</v>
      </c>
      <c r="T530" s="160" t="str">
        <f t="shared" si="281"/>
        <v>1+3.31314054831525i</v>
      </c>
      <c r="U530" s="160">
        <f t="shared" si="290"/>
        <v>3.4607658535200954</v>
      </c>
      <c r="V530" s="160">
        <f t="shared" si="291"/>
        <v>1.2776629216930642</v>
      </c>
      <c r="W530" s="98" t="str">
        <f t="shared" si="282"/>
        <v>1-8.60406998350566i</v>
      </c>
      <c r="X530" s="160">
        <f t="shared" si="292"/>
        <v>8.6619870861750368</v>
      </c>
      <c r="Y530" s="160">
        <f t="shared" si="293"/>
        <v>-1.4550913791374345</v>
      </c>
      <c r="Z530" s="98" t="str">
        <f t="shared" si="283"/>
        <v>-34.9049758006071+9.86288056841478i</v>
      </c>
      <c r="AA530" s="160">
        <f t="shared" si="294"/>
        <v>36.271665921870493</v>
      </c>
      <c r="AB530" s="160">
        <f t="shared" si="295"/>
        <v>2.8662081794542016</v>
      </c>
      <c r="AC530" s="171" t="str">
        <f t="shared" si="296"/>
        <v>-0.000270165096098512+0.00273562344771791i</v>
      </c>
      <c r="AD530" s="190">
        <f t="shared" si="297"/>
        <v>-51.216721392049791</v>
      </c>
      <c r="AE530" s="169">
        <f t="shared" si="298"/>
        <v>95.640135924172142</v>
      </c>
      <c r="AF530" s="98" t="str">
        <f t="shared" si="284"/>
        <v>-0.0000816326530612245</v>
      </c>
      <c r="AG530" s="98" t="str">
        <f t="shared" si="285"/>
        <v>0.184044957458912i</v>
      </c>
      <c r="AH530" s="98">
        <f t="shared" si="299"/>
        <v>0.184044957458912</v>
      </c>
      <c r="AI530" s="98">
        <f t="shared" si="300"/>
        <v>1.5707963267948966</v>
      </c>
      <c r="AJ530" s="98" t="str">
        <f t="shared" si="286"/>
        <v>1+20.3872955522567i</v>
      </c>
      <c r="AK530" s="98">
        <f t="shared" si="301"/>
        <v>20.411805895977597</v>
      </c>
      <c r="AL530" s="98">
        <f t="shared" si="302"/>
        <v>1.5217854523224319</v>
      </c>
      <c r="AM530" s="98" t="str">
        <f t="shared" si="287"/>
        <v>1+2059.11685077793i</v>
      </c>
      <c r="AN530" s="98">
        <f t="shared" si="303"/>
        <v>2059.1170936004637</v>
      </c>
      <c r="AO530" s="98">
        <f t="shared" si="304"/>
        <v>1.5703106817374026</v>
      </c>
      <c r="AP530" s="168" t="str">
        <f t="shared" si="305"/>
        <v>-0.0021703848418631+0.0446918245826548i</v>
      </c>
      <c r="AQ530" s="98">
        <f t="shared" si="306"/>
        <v>-26.985207951706649</v>
      </c>
      <c r="AR530" s="169">
        <f t="shared" si="307"/>
        <v>92.780290845381884</v>
      </c>
      <c r="AS530" s="168" t="str">
        <f t="shared" si="308"/>
        <v>-0.000121673641020233-0.000018011526747163i</v>
      </c>
      <c r="AT530" s="190">
        <f t="shared" si="309"/>
        <v>-78.201929343756476</v>
      </c>
      <c r="AU530" s="169">
        <f t="shared" si="310"/>
        <v>-171.57957323044593</v>
      </c>
      <c r="AV530" s="225"/>
      <c r="AX530">
        <f t="shared" si="311"/>
        <v>0</v>
      </c>
      <c r="AY530">
        <f t="shared" si="312"/>
        <v>0</v>
      </c>
    </row>
    <row r="531" spans="14:51" x14ac:dyDescent="0.2">
      <c r="N531" s="170">
        <v>13</v>
      </c>
      <c r="O531" s="199">
        <f t="shared" si="314"/>
        <v>1348962.8825916562</v>
      </c>
      <c r="P531" s="189" t="str">
        <f t="shared" ref="P531:P560" si="315">COMPLEX(Adc,0)</f>
        <v>6.8875</v>
      </c>
      <c r="Q531" s="160" t="str">
        <f t="shared" ref="Q531:Q560" si="316">IMSUM(COMPLEX(1,0),IMDIV(COMPLEX(0,2*PI()*O531),COMPLEX(wp_lf,0)))</f>
        <v>1+2118.94594095763i</v>
      </c>
      <c r="R531" s="160">
        <f t="shared" si="288"/>
        <v>2118.9461769239952</v>
      </c>
      <c r="S531" s="160">
        <f t="shared" si="289"/>
        <v>1.5703243940728622</v>
      </c>
      <c r="T531" s="160" t="str">
        <f t="shared" ref="T531:T560" si="317">IMSUM(COMPLEX(1,0),IMDIV(COMPLEX(0,2*PI()*O531),COMPLEX(wz_esr,0)))</f>
        <v>1+3.3903135055322i</v>
      </c>
      <c r="U531" s="160">
        <f t="shared" si="290"/>
        <v>3.5347171974281104</v>
      </c>
      <c r="V531" s="160">
        <f t="shared" si="291"/>
        <v>1.2839716399617598</v>
      </c>
      <c r="W531" s="98" t="str">
        <f t="shared" ref="W531:W560" si="318">IMSUB(COMPLEX(1,0),IMDIV(COMPLEX(0,2*PI()*O531),COMPLEX(wz_rhp,0)))</f>
        <v>1-8.80448451921452i</v>
      </c>
      <c r="X531" s="160">
        <f t="shared" si="292"/>
        <v>8.8610917865175143</v>
      </c>
      <c r="Y531" s="160">
        <f t="shared" si="293"/>
        <v>-1.4577024877866147</v>
      </c>
      <c r="Z531" s="98" t="str">
        <f t="shared" ref="Z531:Z560" si="319">IF(Dc_Mode_Loop="CCM",IMSUM(COMPLEX(1,0),IMDIV(COMPLEX(0,2*PI()*O531),COMPLEX(Q*(wsl/2),0)),IMDIV(IMPOWER(COMPLEX(0,2*PI()*O531),2),IMPOWER(COMPLEX(wsl/2,0),2))),COMPLEX(1,0))</f>
        <v>-36.5971251778923+10.0926165693609i</v>
      </c>
      <c r="AA531" s="160">
        <f t="shared" si="294"/>
        <v>37.963278052645258</v>
      </c>
      <c r="AB531" s="160">
        <f t="shared" si="295"/>
        <v>2.8725049474229585</v>
      </c>
      <c r="AC531" s="171" t="str">
        <f t="shared" si="296"/>
        <v>-0.000256596657779803+0.00266945578504522i</v>
      </c>
      <c r="AD531" s="190">
        <f t="shared" si="297"/>
        <v>-51.431602226560486</v>
      </c>
      <c r="AE531" s="169">
        <f t="shared" si="298"/>
        <v>95.490585283809011</v>
      </c>
      <c r="AF531" s="98" t="str">
        <f t="shared" ref="AF531:AF560" si="320">COMPLEX(Adc_ea,0)</f>
        <v>-0.0000816326530612245</v>
      </c>
      <c r="AG531" s="98" t="str">
        <f t="shared" ref="AG531:AG560" si="321">COMPLEX(0,2*PI()*O531*wp0_ea)</f>
        <v>0.188331915232314i</v>
      </c>
      <c r="AH531" s="98">
        <f t="shared" si="299"/>
        <v>0.18833191523231399</v>
      </c>
      <c r="AI531" s="98">
        <f t="shared" si="300"/>
        <v>1.5707963267948966</v>
      </c>
      <c r="AJ531" s="98" t="str">
        <f t="shared" ref="AJ531:AJ560" si="322">IMSUM(COMPLEX(1,0),IMDIV(COMPLEX(0,2*PI()*O531),COMPLEX(wp1_ea,0)))</f>
        <v>1+20.8621766701808i</v>
      </c>
      <c r="AK531" s="98">
        <f t="shared" si="301"/>
        <v>20.88612973764733</v>
      </c>
      <c r="AL531" s="98">
        <f t="shared" si="302"/>
        <v>1.5228993507484836</v>
      </c>
      <c r="AM531" s="98" t="str">
        <f t="shared" ref="AM531:AM560" si="323">IMSUM(COMPLEX(1,0),IMDIV(COMPLEX(0,2*PI()*O531),COMPLEX(wz_ea,0)))</f>
        <v>1+2107.07984368827i</v>
      </c>
      <c r="AN531" s="98">
        <f t="shared" si="303"/>
        <v>2107.0800809834886</v>
      </c>
      <c r="AO531" s="98">
        <f t="shared" si="304"/>
        <v>1.5703217363668609</v>
      </c>
      <c r="AP531" s="168" t="str">
        <f t="shared" si="305"/>
        <v>-0.00207292535896926+0.043679186042057i</v>
      </c>
      <c r="AQ531" s="98">
        <f t="shared" si="306"/>
        <v>-27.184738829173064</v>
      </c>
      <c r="AR531" s="169">
        <f t="shared" si="307"/>
        <v>92.717102550374918</v>
      </c>
      <c r="AS531" s="168" t="str">
        <f t="shared" si="308"/>
        <v>-0.000116067750147097-0.0000167415157444015i</v>
      </c>
      <c r="AT531" s="190">
        <f t="shared" si="309"/>
        <v>-78.616341055733542</v>
      </c>
      <c r="AU531" s="169">
        <f t="shared" si="310"/>
        <v>-171.79231216581604</v>
      </c>
      <c r="AV531" s="225"/>
      <c r="AX531">
        <f t="shared" si="311"/>
        <v>0</v>
      </c>
      <c r="AY531">
        <f t="shared" si="312"/>
        <v>0</v>
      </c>
    </row>
    <row r="532" spans="14:51" x14ac:dyDescent="0.2">
      <c r="N532" s="170">
        <v>14</v>
      </c>
      <c r="O532" s="199">
        <f t="shared" si="314"/>
        <v>1380384.2646028849</v>
      </c>
      <c r="P532" s="189" t="str">
        <f t="shared" si="315"/>
        <v>6.8875</v>
      </c>
      <c r="Q532" s="160" t="str">
        <f t="shared" si="316"/>
        <v>1+2168.30253240369i</v>
      </c>
      <c r="R532" s="160">
        <f t="shared" ref="R532:R560" si="324">IMABS(Q532)</f>
        <v>2168.3027629988055</v>
      </c>
      <c r="S532" s="160">
        <f t="shared" ref="S532:S560" si="325">IMARGUMENT(Q532)</f>
        <v>1.5703351365715967</v>
      </c>
      <c r="T532" s="160" t="str">
        <f t="shared" si="317"/>
        <v>1+3.4692840518459i</v>
      </c>
      <c r="U532" s="160">
        <f t="shared" ref="U532:U560" si="326">IMABS(T532)</f>
        <v>3.6105306857015225</v>
      </c>
      <c r="V532" s="160">
        <f t="shared" ref="V532:V560" si="327">IMARGUMENT(T532)</f>
        <v>1.2901595244892798</v>
      </c>
      <c r="W532" s="98" t="str">
        <f t="shared" si="318"/>
        <v>1-9.00956730915658i</v>
      </c>
      <c r="X532" s="160">
        <f t="shared" ref="X532:X560" si="328">IMABS(W532)</f>
        <v>9.0648939926632881</v>
      </c>
      <c r="Y532" s="160">
        <f t="shared" ref="Y532:Y560" si="329">IMARGUMENT(W532)</f>
        <v>-1.4602556577344441</v>
      </c>
      <c r="Z532" s="98" t="str">
        <f t="shared" si="319"/>
        <v>-38.3690230984142+10.3277038092036i</v>
      </c>
      <c r="AA532" s="160">
        <f t="shared" ref="AA532:AA560" si="330">IMABS(Z532)</f>
        <v>39.734662443479763</v>
      </c>
      <c r="AB532" s="160">
        <f t="shared" ref="AB532:AB560" si="331">IMARGUMENT(Z532)</f>
        <v>2.8786566781698615</v>
      </c>
      <c r="AC532" s="171" t="str">
        <f t="shared" ref="AC532:AC560" si="332">(IMDIV(IMPRODUCT(P532,T532,W532),IMPRODUCT(Q532,Z532)))</f>
        <v>-0.00024375980979303+0.00260503100868372i</v>
      </c>
      <c r="AD532" s="190">
        <f t="shared" ref="AD532:AD560" si="333">20*LOG(IMABS(AC532))</f>
        <v>-51.645881383671721</v>
      </c>
      <c r="AE532" s="169">
        <f t="shared" ref="AE532:AE560" si="334">(180/PI())*IMARGUMENT(AC532)</f>
        <v>95.34575538062262</v>
      </c>
      <c r="AF532" s="98" t="str">
        <f t="shared" si="320"/>
        <v>-0.0000816326530612245</v>
      </c>
      <c r="AG532" s="98" t="str">
        <f t="shared" si="321"/>
        <v>0.19271872908004i</v>
      </c>
      <c r="AH532" s="98">
        <f t="shared" ref="AH532:AH560" si="335">IMABS(AG532)</f>
        <v>0.19271872908004001</v>
      </c>
      <c r="AI532" s="98">
        <f t="shared" ref="AI532:AI560" si="336">IMARGUMENT(AG532)</f>
        <v>1.5707963267948966</v>
      </c>
      <c r="AJ532" s="98" t="str">
        <f t="shared" si="322"/>
        <v>1+21.3481191903191i</v>
      </c>
      <c r="AK532" s="98">
        <f t="shared" ref="AK532:AK560" si="337">IMABS(AJ532)</f>
        <v>21.371527623547895</v>
      </c>
      <c r="AL532" s="98">
        <f t="shared" ref="AL532:AL560" si="338">IMARGUMENT(AJ532)</f>
        <v>1.5239880087017439</v>
      </c>
      <c r="AM532" s="98" t="str">
        <f t="shared" si="323"/>
        <v>1+2156.16003822223i</v>
      </c>
      <c r="AN532" s="98">
        <f t="shared" ref="AN532:AN560" si="339">IMABS(AM532)</f>
        <v>2156.1602701159504</v>
      </c>
      <c r="AO532" s="98">
        <f t="shared" ref="AO532:AO560" si="340">IMARGUMENT(AM532)</f>
        <v>1.5703325393623437</v>
      </c>
      <c r="AP532" s="168" t="str">
        <f t="shared" ref="AP532:AP560" si="341">IMPRODUCT(AF532,IMDIV(AM532,IMPRODUCT(AG532,AJ532)))</f>
        <v>-0.00197983261543007+0.0426892870813602i</v>
      </c>
      <c r="AQ532" s="98">
        <f t="shared" ref="AQ532:AQ560" si="342">20*LOG(IMABS(AP532))</f>
        <v>-27.384290773312742</v>
      </c>
      <c r="AR532" s="169">
        <f t="shared" ref="AR532:AR560" si="343">(180/PI())*IMARGUMENT(AP532)</f>
        <v>92.655346010366998</v>
      </c>
      <c r="AS532" s="168" t="str">
        <f t="shared" ref="AS532:AS560" si="344">IMPRODUCT(AC532,AP532)</f>
        <v>-0.000110724312963785-0.0000155634578543511i</v>
      </c>
      <c r="AT532" s="190">
        <f t="shared" ref="AT532:AT560" si="345">20*LOG(IMABS(AS532))</f>
        <v>-79.030172156984491</v>
      </c>
      <c r="AU532" s="169">
        <f t="shared" ref="AU532:AU560" si="346">(180/PI())*IMARGUMENT(AS532)</f>
        <v>-171.99889860901038</v>
      </c>
      <c r="AV532" s="225"/>
      <c r="AX532">
        <f t="shared" ref="AX532:AX559" si="347">SUM((AT533&lt;0)*(AT532&gt;0))*O532</f>
        <v>0</v>
      </c>
      <c r="AY532">
        <f t="shared" ref="AY532:AY559" si="348">IF(AX532&gt;0,AU532,0)</f>
        <v>0</v>
      </c>
    </row>
    <row r="533" spans="14:51" x14ac:dyDescent="0.2">
      <c r="N533" s="170">
        <v>15</v>
      </c>
      <c r="O533" s="199">
        <f t="shared" si="314"/>
        <v>1412537.5446227565</v>
      </c>
      <c r="P533" s="189" t="str">
        <f t="shared" si="315"/>
        <v>6.8875</v>
      </c>
      <c r="Q533" s="160" t="str">
        <f t="shared" si="316"/>
        <v>1+2218.80878655331i</v>
      </c>
      <c r="R533" s="160">
        <f t="shared" si="324"/>
        <v>2218.8090118994405</v>
      </c>
      <c r="S533" s="160">
        <f t="shared" si="325"/>
        <v>1.5703456345413087</v>
      </c>
      <c r="T533" s="160" t="str">
        <f t="shared" si="317"/>
        <v>1+3.55009405848529i</v>
      </c>
      <c r="U533" s="160">
        <f t="shared" si="326"/>
        <v>3.6882472563661666</v>
      </c>
      <c r="V533" s="160">
        <f t="shared" si="327"/>
        <v>1.2962279599795272</v>
      </c>
      <c r="W533" s="98" t="str">
        <f t="shared" si="318"/>
        <v>1-9.21942709094172i</v>
      </c>
      <c r="X533" s="160">
        <f t="shared" si="328"/>
        <v>9.273501813510908</v>
      </c>
      <c r="Y533" s="160">
        <f t="shared" si="329"/>
        <v>-1.4627521094869584</v>
      </c>
      <c r="Z533" s="98" t="str">
        <f t="shared" si="319"/>
        <v>-40.2244279952249+10.5682669343093i</v>
      </c>
      <c r="AA533" s="160">
        <f t="shared" si="330"/>
        <v>41.589576501063917</v>
      </c>
      <c r="AB533" s="160">
        <f t="shared" si="331"/>
        <v>2.8846667675653874</v>
      </c>
      <c r="AC533" s="171" t="str">
        <f t="shared" si="332"/>
        <v>-0.000231611384690655+0.00254229616207667i</v>
      </c>
      <c r="AD533" s="190">
        <f t="shared" si="333"/>
        <v>-51.859580361448351</v>
      </c>
      <c r="AE533" s="169">
        <f t="shared" si="334"/>
        <v>95.205460727066153</v>
      </c>
      <c r="AF533" s="98" t="str">
        <f t="shared" si="320"/>
        <v>-0.0000816326530612245</v>
      </c>
      <c r="AG533" s="98" t="str">
        <f t="shared" si="321"/>
        <v>0.197207724948858i</v>
      </c>
      <c r="AH533" s="98">
        <f t="shared" si="335"/>
        <v>0.19720772494885799</v>
      </c>
      <c r="AI533" s="98">
        <f t="shared" si="336"/>
        <v>1.5707963267948966</v>
      </c>
      <c r="AJ533" s="98" t="str">
        <f t="shared" si="322"/>
        <v>1+21.8453807658278i</v>
      </c>
      <c r="AK533" s="98">
        <f t="shared" si="337"/>
        <v>21.868256921940514</v>
      </c>
      <c r="AL533" s="98">
        <f t="shared" si="338"/>
        <v>1.5250519930751893</v>
      </c>
      <c r="AM533" s="98" t="str">
        <f t="shared" si="323"/>
        <v>1+2206.38345734861i</v>
      </c>
      <c r="AN533" s="98">
        <f t="shared" si="339"/>
        <v>2206.3836839637856</v>
      </c>
      <c r="AO533" s="98">
        <f t="shared" si="340"/>
        <v>1.5703430964517318</v>
      </c>
      <c r="AP533" s="168" t="str">
        <f t="shared" si="341"/>
        <v>-0.00189091179990642+0.0417216307350372i</v>
      </c>
      <c r="AQ533" s="98">
        <f t="shared" si="342"/>
        <v>-27.583862840123746</v>
      </c>
      <c r="AR533" s="169">
        <f t="shared" si="343"/>
        <v>92.594989072966598</v>
      </c>
      <c r="AS533" s="168" t="str">
        <f t="shared" si="344"/>
        <v>-0.000105630784992961-0.0000144704624778217i</v>
      </c>
      <c r="AT533" s="190">
        <f t="shared" si="345"/>
        <v>-79.443443201572094</v>
      </c>
      <c r="AU533" s="169">
        <f t="shared" si="346"/>
        <v>-172.19955019996729</v>
      </c>
      <c r="AV533" s="225"/>
      <c r="AX533">
        <f t="shared" si="347"/>
        <v>0</v>
      </c>
      <c r="AY533">
        <f t="shared" si="348"/>
        <v>0</v>
      </c>
    </row>
    <row r="534" spans="14:51" x14ac:dyDescent="0.2">
      <c r="N534" s="170">
        <v>16</v>
      </c>
      <c r="O534" s="199">
        <f t="shared" si="314"/>
        <v>1445439.7707459298</v>
      </c>
      <c r="P534" s="189" t="str">
        <f t="shared" si="315"/>
        <v>6.8875</v>
      </c>
      <c r="Q534" s="160" t="str">
        <f t="shared" si="316"/>
        <v>1+2270.49148249097i</v>
      </c>
      <c r="R534" s="160">
        <f t="shared" si="324"/>
        <v>2270.4917027075971</v>
      </c>
      <c r="S534" s="160">
        <f t="shared" si="325"/>
        <v>1.5703558935481521</v>
      </c>
      <c r="T534" s="160" t="str">
        <f t="shared" si="317"/>
        <v>1+3.63278637198554i</v>
      </c>
      <c r="U534" s="160">
        <f t="shared" si="326"/>
        <v>3.7679088131858847</v>
      </c>
      <c r="V534" s="160">
        <f t="shared" si="327"/>
        <v>1.3021783754944156</v>
      </c>
      <c r="W534" s="98" t="str">
        <f t="shared" si="318"/>
        <v>1-9.43417513500401i</v>
      </c>
      <c r="X534" s="160">
        <f t="shared" si="328"/>
        <v>9.4870259026698101</v>
      </c>
      <c r="Y534" s="160">
        <f t="shared" si="329"/>
        <v>-1.4651930421597772</v>
      </c>
      <c r="Z534" s="98" t="str">
        <f t="shared" si="319"/>
        <v>-42.1672754308687+10.8144334944311i</v>
      </c>
      <c r="AA534" s="160">
        <f t="shared" si="330"/>
        <v>43.531954804123096</v>
      </c>
      <c r="AB534" s="160">
        <f t="shared" si="331"/>
        <v>2.8905385299546422</v>
      </c>
      <c r="AC534" s="171" t="str">
        <f t="shared" si="332"/>
        <v>-0.000220111007152156+0.00248120011138043i</v>
      </c>
      <c r="AD534" s="190">
        <f t="shared" si="333"/>
        <v>-52.072720132476263</v>
      </c>
      <c r="AE534" s="169">
        <f t="shared" si="334"/>
        <v>95.069524281188237</v>
      </c>
      <c r="AF534" s="98" t="str">
        <f t="shared" si="320"/>
        <v>-0.0000816326530612245</v>
      </c>
      <c r="AG534" s="98" t="str">
        <f t="shared" si="321"/>
        <v>0.201801282963797i</v>
      </c>
      <c r="AH534" s="98">
        <f t="shared" si="335"/>
        <v>0.20180128296379701</v>
      </c>
      <c r="AI534" s="98">
        <f t="shared" si="336"/>
        <v>1.5707963267948966</v>
      </c>
      <c r="AJ534" s="98" t="str">
        <f t="shared" si="322"/>
        <v>1+22.3542250513764i</v>
      </c>
      <c r="AK534" s="98">
        <f t="shared" si="337"/>
        <v>22.376581008893744</v>
      </c>
      <c r="AL534" s="98">
        <f t="shared" si="338"/>
        <v>1.5260918583659604</v>
      </c>
      <c r="AM534" s="98" t="str">
        <f t="shared" si="323"/>
        <v>1+2257.77673018902i</v>
      </c>
      <c r="AN534" s="98">
        <f t="shared" si="339"/>
        <v>2257.7769516458047</v>
      </c>
      <c r="AO534" s="98">
        <f t="shared" si="340"/>
        <v>1.5703534132325243</v>
      </c>
      <c r="AP534" s="168" t="str">
        <f t="shared" si="341"/>
        <v>-0.00180597671800815+0.0407757299823697i</v>
      </c>
      <c r="AQ534" s="98">
        <f t="shared" si="342"/>
        <v>-27.783454127726991</v>
      </c>
      <c r="AR534" s="169">
        <f t="shared" si="343"/>
        <v>92.536000288540848</v>
      </c>
      <c r="AS534" s="168" t="str">
        <f t="shared" si="344"/>
        <v>-0.00010077523041958-0.000013456176627656i</v>
      </c>
      <c r="AT534" s="190">
        <f t="shared" si="345"/>
        <v>-79.856174260203247</v>
      </c>
      <c r="AU534" s="169">
        <f t="shared" si="346"/>
        <v>-172.39447543027094</v>
      </c>
      <c r="AV534" s="225"/>
      <c r="AX534">
        <f t="shared" si="347"/>
        <v>0</v>
      </c>
      <c r="AY534">
        <f t="shared" si="348"/>
        <v>0</v>
      </c>
    </row>
    <row r="535" spans="14:51" x14ac:dyDescent="0.2">
      <c r="N535" s="170">
        <v>17</v>
      </c>
      <c r="O535" s="199">
        <f t="shared" si="314"/>
        <v>1479108.3881682095</v>
      </c>
      <c r="P535" s="189" t="str">
        <f t="shared" si="315"/>
        <v>6.8875</v>
      </c>
      <c r="Q535" s="160" t="str">
        <f t="shared" si="316"/>
        <v>1+2323.37802306614i</v>
      </c>
      <c r="R535" s="160">
        <f t="shared" si="324"/>
        <v>2323.3782382700247</v>
      </c>
      <c r="S535" s="160">
        <f t="shared" si="325"/>
        <v>1.5703659190315788</v>
      </c>
      <c r="T535" s="160" t="str">
        <f t="shared" si="317"/>
        <v>1+3.71740483690583i</v>
      </c>
      <c r="U535" s="160">
        <f t="shared" si="326"/>
        <v>3.8495582501698631</v>
      </c>
      <c r="V535" s="160">
        <f t="shared" si="327"/>
        <v>1.3080122398412319</v>
      </c>
      <c r="W535" s="98" t="str">
        <f t="shared" si="318"/>
        <v>1-9.65392530359893i</v>
      </c>
      <c r="X535" s="160">
        <f t="shared" si="328"/>
        <v>9.7055795173429846</v>
      </c>
      <c r="Y535" s="160">
        <f t="shared" si="329"/>
        <v>-1.4675796335567513</v>
      </c>
      <c r="Z535" s="98" t="str">
        <f t="shared" si="319"/>
        <v>-44.2016864452388+11.0663340103376i</v>
      </c>
      <c r="AA535" s="160">
        <f t="shared" si="330"/>
        <v>45.565917449685593</v>
      </c>
      <c r="AB535" s="160">
        <f t="shared" si="331"/>
        <v>2.8962752000745078</v>
      </c>
      <c r="AC535" s="171" t="str">
        <f t="shared" si="332"/>
        <v>-0.000209220900327163+0.00242169349137886i</v>
      </c>
      <c r="AD535" s="190">
        <f t="shared" si="333"/>
        <v>-52.285321134388013</v>
      </c>
      <c r="AE535" s="169">
        <f t="shared" si="334"/>
        <v>94.937777067828804</v>
      </c>
      <c r="AF535" s="98" t="str">
        <f t="shared" si="320"/>
        <v>-0.0000816326530612245</v>
      </c>
      <c r="AG535" s="98" t="str">
        <f t="shared" si="321"/>
        <v>0.206501838690119i</v>
      </c>
      <c r="AH535" s="98">
        <f t="shared" si="335"/>
        <v>0.20650183869011901</v>
      </c>
      <c r="AI535" s="98">
        <f t="shared" si="336"/>
        <v>1.5707963267948966</v>
      </c>
      <c r="AJ535" s="98" t="str">
        <f t="shared" si="322"/>
        <v>1+22.8749218429403i</v>
      </c>
      <c r="AK535" s="98">
        <f t="shared" si="337"/>
        <v>22.896769407945463</v>
      </c>
      <c r="AL535" s="98">
        <f t="shared" si="338"/>
        <v>1.5271081469238632</v>
      </c>
      <c r="AM535" s="98" t="str">
        <f t="shared" si="323"/>
        <v>1+2310.36710613697i</v>
      </c>
      <c r="AN535" s="98">
        <f t="shared" si="339"/>
        <v>2310.3673225527832</v>
      </c>
      <c r="AO535" s="98">
        <f t="shared" si="340"/>
        <v>1.5703634951748064</v>
      </c>
      <c r="AP535" s="168" t="str">
        <f t="shared" si="341"/>
        <v>-0.00172484941766267+0.039851107611182i</v>
      </c>
      <c r="AQ535" s="98">
        <f t="shared" si="342"/>
        <v>-27.983063774501961</v>
      </c>
      <c r="AR535" s="169">
        <f t="shared" si="343"/>
        <v>92.478348896147637</v>
      </c>
      <c r="AS535" s="168" t="str">
        <f t="shared" si="344"/>
        <v>-0.0000961462933781458-0.0000125147412218085i</v>
      </c>
      <c r="AT535" s="190">
        <f t="shared" si="345"/>
        <v>-80.268384908889971</v>
      </c>
      <c r="AU535" s="169">
        <f t="shared" si="346"/>
        <v>-172.58387403602353</v>
      </c>
      <c r="AV535" s="225"/>
      <c r="AX535">
        <f t="shared" si="347"/>
        <v>0</v>
      </c>
      <c r="AY535">
        <f t="shared" si="348"/>
        <v>0</v>
      </c>
    </row>
    <row r="536" spans="14:51" x14ac:dyDescent="0.2">
      <c r="N536" s="170">
        <v>18</v>
      </c>
      <c r="O536" s="199">
        <f t="shared" si="314"/>
        <v>1513561.2484362102</v>
      </c>
      <c r="P536" s="189" t="str">
        <f t="shared" si="315"/>
        <v>6.8875</v>
      </c>
      <c r="Q536" s="160" t="str">
        <f t="shared" si="316"/>
        <v>1+2377.4964494227i</v>
      </c>
      <c r="R536" s="160">
        <f t="shared" si="324"/>
        <v>2377.4966597279467</v>
      </c>
      <c r="S536" s="160">
        <f t="shared" si="325"/>
        <v>1.5703757163072252</v>
      </c>
      <c r="T536" s="160" t="str">
        <f t="shared" si="317"/>
        <v>1+3.80399431907632i</v>
      </c>
      <c r="U536" s="160">
        <f t="shared" si="326"/>
        <v>3.9332394765085068</v>
      </c>
      <c r="V536" s="160">
        <f t="shared" si="327"/>
        <v>1.3137310571733718</v>
      </c>
      <c r="W536" s="98" t="str">
        <f t="shared" si="318"/>
        <v>1-9.87879411117464i</v>
      </c>
      <c r="X536" s="160">
        <f t="shared" si="328"/>
        <v>9.929278578576529</v>
      </c>
      <c r="Y536" s="160">
        <f t="shared" si="329"/>
        <v>-1.4699130402721219</v>
      </c>
      <c r="Z536" s="98" t="str">
        <f t="shared" si="319"/>
        <v>-46.3319762968549+11.3241020430167i</v>
      </c>
      <c r="AA536" s="160">
        <f t="shared" si="330"/>
        <v>47.695778792813307</v>
      </c>
      <c r="AB536" s="160">
        <f t="shared" si="331"/>
        <v>2.9018799349462538</v>
      </c>
      <c r="AC536" s="171" t="str">
        <f t="shared" si="332"/>
        <v>-0.000198905706000357+0.002363728650468i</v>
      </c>
      <c r="AD536" s="190">
        <f t="shared" si="333"/>
        <v>-52.497403263069529</v>
      </c>
      <c r="AE536" s="169">
        <f t="shared" si="334"/>
        <v>94.810057812102357</v>
      </c>
      <c r="AF536" s="98" t="str">
        <f t="shared" si="320"/>
        <v>-0.0000816326530612245</v>
      </c>
      <c r="AG536" s="98" t="str">
        <f t="shared" si="321"/>
        <v>0.211311884424689i</v>
      </c>
      <c r="AH536" s="98">
        <f t="shared" si="335"/>
        <v>0.21131188442468901</v>
      </c>
      <c r="AI536" s="98">
        <f t="shared" si="336"/>
        <v>1.5707963267948966</v>
      </c>
      <c r="AJ536" s="98" t="str">
        <f t="shared" si="322"/>
        <v>1+23.4077472208508i</v>
      </c>
      <c r="AK536" s="98">
        <f t="shared" si="337"/>
        <v>23.429097933024401</v>
      </c>
      <c r="AL536" s="98">
        <f t="shared" si="338"/>
        <v>1.5281013891964357</v>
      </c>
      <c r="AM536" s="98" t="str">
        <f t="shared" si="323"/>
        <v>1+2364.18246930593i</v>
      </c>
      <c r="AN536" s="98">
        <f t="shared" si="339"/>
        <v>2364.1826807955185</v>
      </c>
      <c r="AO536" s="98">
        <f t="shared" si="340"/>
        <v>1.570373347624149</v>
      </c>
      <c r="AP536" s="168" t="str">
        <f t="shared" si="341"/>
        <v>-0.00164735983019509+0.0389472960787863i</v>
      </c>
      <c r="AQ536" s="98">
        <f t="shared" si="342"/>
        <v>-28.182690957304164</v>
      </c>
      <c r="AR536" s="169">
        <f t="shared" si="343"/>
        <v>92.422004809660436</v>
      </c>
      <c r="AS536" s="168" t="str">
        <f t="shared" si="344"/>
        <v>-0.0000917331703296256-0.0000116407510516182i</v>
      </c>
      <c r="AT536" s="190">
        <f t="shared" si="345"/>
        <v>-80.680094220373689</v>
      </c>
      <c r="AU536" s="169">
        <f t="shared" si="346"/>
        <v>-172.76793737823718</v>
      </c>
      <c r="AV536" s="225"/>
      <c r="AX536">
        <f t="shared" si="347"/>
        <v>0</v>
      </c>
      <c r="AY536">
        <f t="shared" si="348"/>
        <v>0</v>
      </c>
    </row>
    <row r="537" spans="14:51" x14ac:dyDescent="0.2">
      <c r="N537" s="170">
        <v>19</v>
      </c>
      <c r="O537" s="199">
        <f t="shared" si="314"/>
        <v>1548816.6189124861</v>
      </c>
      <c r="P537" s="189" t="str">
        <f t="shared" si="315"/>
        <v>6.8875</v>
      </c>
      <c r="Q537" s="160" t="str">
        <f t="shared" si="316"/>
        <v>1+2432.87545586663i</v>
      </c>
      <c r="R537" s="160">
        <f t="shared" si="324"/>
        <v>2432.8756613847454</v>
      </c>
      <c r="S537" s="160">
        <f t="shared" si="325"/>
        <v>1.5703852905697286</v>
      </c>
      <c r="T537" s="160" t="str">
        <f t="shared" si="317"/>
        <v>1+3.8926007293866i</v>
      </c>
      <c r="U537" s="160">
        <f t="shared" si="326"/>
        <v>4.0189974419525436</v>
      </c>
      <c r="V537" s="160">
        <f t="shared" si="327"/>
        <v>1.3193363628032395</v>
      </c>
      <c r="W537" s="98" t="str">
        <f t="shared" si="318"/>
        <v>1-10.1089007861494i</v>
      </c>
      <c r="X537" s="160">
        <f t="shared" si="328"/>
        <v>10.158241732908898</v>
      </c>
      <c r="Y537" s="160">
        <f t="shared" si="329"/>
        <v>-1.4721943978141747</v>
      </c>
      <c r="Z537" s="98" t="str">
        <f t="shared" si="319"/>
        <v>-48.5626636161055+11.5878742644911i</v>
      </c>
      <c r="AA537" s="160">
        <f t="shared" si="330"/>
        <v>49.926056598340232</v>
      </c>
      <c r="AB537" s="160">
        <f t="shared" si="331"/>
        <v>2.9073558157405155</v>
      </c>
      <c r="AC537" s="171" t="str">
        <f t="shared" si="332"/>
        <v>-0.000189132317620765+0.00230725959518528i</v>
      </c>
      <c r="AD537" s="190">
        <f t="shared" si="333"/>
        <v>-52.708985868301639</v>
      </c>
      <c r="AE537" s="169">
        <f t="shared" si="334"/>
        <v>94.686212585393349</v>
      </c>
      <c r="AF537" s="98" t="str">
        <f t="shared" si="320"/>
        <v>-0.0000816326530612245</v>
      </c>
      <c r="AG537" s="98" t="str">
        <f t="shared" si="321"/>
        <v>0.216233970517426i</v>
      </c>
      <c r="AH537" s="98">
        <f t="shared" si="335"/>
        <v>0.21623397051742599</v>
      </c>
      <c r="AI537" s="98">
        <f t="shared" si="336"/>
        <v>1.5707963267948966</v>
      </c>
      <c r="AJ537" s="98" t="str">
        <f t="shared" si="322"/>
        <v>1+23.952983696176i</v>
      </c>
      <c r="AK537" s="98">
        <f t="shared" si="337"/>
        <v>23.973848834704725</v>
      </c>
      <c r="AL537" s="98">
        <f t="shared" si="338"/>
        <v>1.5290721039705044</v>
      </c>
      <c r="AM537" s="98" t="str">
        <f t="shared" si="323"/>
        <v>1+2419.25135331377i</v>
      </c>
      <c r="AN537" s="98">
        <f t="shared" si="339"/>
        <v>2419.2515599892681</v>
      </c>
      <c r="AO537" s="98">
        <f t="shared" si="340"/>
        <v>1.5703829758044436</v>
      </c>
      <c r="AP537" s="168" t="str">
        <f t="shared" si="341"/>
        <v>-0.00157334542651313+0.038063837370586i</v>
      </c>
      <c r="AQ537" s="98">
        <f t="shared" si="342"/>
        <v>-28.382334889760045</v>
      </c>
      <c r="AR537" s="169">
        <f t="shared" si="343"/>
        <v>92.366938604090578</v>
      </c>
      <c r="AS537" s="168" t="str">
        <f t="shared" si="344"/>
        <v>-0.0000875255835359221-0.0000108292181113021i</v>
      </c>
      <c r="AT537" s="190">
        <f t="shared" si="345"/>
        <v>-81.091320758061698</v>
      </c>
      <c r="AU537" s="169">
        <f t="shared" si="346"/>
        <v>-172.94684881051609</v>
      </c>
      <c r="AV537" s="225"/>
      <c r="AX537">
        <f t="shared" si="347"/>
        <v>0</v>
      </c>
      <c r="AY537">
        <f t="shared" si="348"/>
        <v>0</v>
      </c>
    </row>
    <row r="538" spans="14:51" x14ac:dyDescent="0.2">
      <c r="N538" s="170">
        <v>20</v>
      </c>
      <c r="O538" s="199">
        <f t="shared" si="314"/>
        <v>1584893.1924611153</v>
      </c>
      <c r="P538" s="189" t="str">
        <f t="shared" si="315"/>
        <v>6.8875</v>
      </c>
      <c r="Q538" s="160" t="str">
        <f t="shared" si="316"/>
        <v>1+2489.54440508016i</v>
      </c>
      <c r="R538" s="160">
        <f t="shared" si="324"/>
        <v>2489.5446059201122</v>
      </c>
      <c r="S538" s="160">
        <f t="shared" si="325"/>
        <v>1.5703946468954832</v>
      </c>
      <c r="T538" s="160" t="str">
        <f t="shared" si="317"/>
        <v>1+3.98327104812825i</v>
      </c>
      <c r="U538" s="160">
        <f t="shared" si="326"/>
        <v>4.1068781626506441</v>
      </c>
      <c r="V538" s="160">
        <f t="shared" si="327"/>
        <v>1.324829719225137</v>
      </c>
      <c r="W538" s="98" t="str">
        <f t="shared" si="318"/>
        <v>1-10.3443673341281i</v>
      </c>
      <c r="X538" s="160">
        <f t="shared" si="328"/>
        <v>10.392590415453526</v>
      </c>
      <c r="Y538" s="160">
        <f t="shared" si="329"/>
        <v>-1.4744248207484929</v>
      </c>
      <c r="Z538" s="98" t="str">
        <f t="shared" si="319"/>
        <v>-50.8984799898675+11.8577905302843i</v>
      </c>
      <c r="AA538" s="160">
        <f t="shared" si="330"/>
        <v>52.261481624032086</v>
      </c>
      <c r="AB538" s="160">
        <f t="shared" si="331"/>
        <v>2.9127058496120313</v>
      </c>
      <c r="AC538" s="171" t="str">
        <f t="shared" si="332"/>
        <v>-0.000179869725296003+0.00225224193468579i</v>
      </c>
      <c r="AD538" s="190">
        <f t="shared" si="333"/>
        <v>-52.920087751603909</v>
      </c>
      <c r="AE538" s="169">
        <f t="shared" si="334"/>
        <v>94.566094463996137</v>
      </c>
      <c r="AF538" s="98" t="str">
        <f t="shared" si="320"/>
        <v>-0.0000816326530612245</v>
      </c>
      <c r="AG538" s="98" t="str">
        <f t="shared" si="321"/>
        <v>0.221270706723524i</v>
      </c>
      <c r="AH538" s="98">
        <f t="shared" si="335"/>
        <v>0.221270706723524</v>
      </c>
      <c r="AI538" s="98">
        <f t="shared" si="336"/>
        <v>1.5707963267948966</v>
      </c>
      <c r="AJ538" s="98" t="str">
        <f t="shared" si="322"/>
        <v>1+24.510920360512i</v>
      </c>
      <c r="AK538" s="98">
        <f t="shared" si="337"/>
        <v>24.531310949873056</v>
      </c>
      <c r="AL538" s="98">
        <f t="shared" si="338"/>
        <v>1.5300207986101855</v>
      </c>
      <c r="AM538" s="98" t="str">
        <f t="shared" si="323"/>
        <v>1+2475.60295641171i</v>
      </c>
      <c r="AN538" s="98">
        <f t="shared" si="339"/>
        <v>2475.6031583826998</v>
      </c>
      <c r="AO538" s="98">
        <f t="shared" si="340"/>
        <v>1.5703923848206716</v>
      </c>
      <c r="AP538" s="168" t="str">
        <f t="shared" si="341"/>
        <v>-0.00150265088780754+0.0372002828567473i</v>
      </c>
      <c r="AQ538" s="98">
        <f t="shared" si="342"/>
        <v>-28.581994820635799</v>
      </c>
      <c r="AR538" s="169">
        <f t="shared" si="343"/>
        <v>92.313121502109425</v>
      </c>
      <c r="AS538" s="168" t="str">
        <f t="shared" si="344"/>
        <v>-0.0000835137556297334-0.0000100755380010897i</v>
      </c>
      <c r="AT538" s="190">
        <f t="shared" si="345"/>
        <v>-81.502082572239715</v>
      </c>
      <c r="AU538" s="169">
        <f t="shared" si="346"/>
        <v>-173.12078403389444</v>
      </c>
      <c r="AV538" s="225"/>
      <c r="AX538">
        <f t="shared" si="347"/>
        <v>0</v>
      </c>
      <c r="AY538">
        <f t="shared" si="348"/>
        <v>0</v>
      </c>
    </row>
    <row r="539" spans="14:51" x14ac:dyDescent="0.2">
      <c r="N539" s="170">
        <v>21</v>
      </c>
      <c r="O539" s="199">
        <f t="shared" si="314"/>
        <v>1621810.0973589318</v>
      </c>
      <c r="P539" s="189" t="str">
        <f t="shared" si="315"/>
        <v>6.8875</v>
      </c>
      <c r="Q539" s="160" t="str">
        <f t="shared" si="316"/>
        <v>1+2547.53334369028i</v>
      </c>
      <c r="R539" s="160">
        <f t="shared" si="324"/>
        <v>2547.5335399585579</v>
      </c>
      <c r="S539" s="160">
        <f t="shared" si="325"/>
        <v>1.5704037902453298</v>
      </c>
      <c r="T539" s="160" t="str">
        <f t="shared" si="317"/>
        <v>1+4.07605334990444i</v>
      </c>
      <c r="U539" s="160">
        <f t="shared" si="326"/>
        <v>4.1969287474613148</v>
      </c>
      <c r="V539" s="160">
        <f t="shared" si="327"/>
        <v>1.3302127123451275</v>
      </c>
      <c r="W539" s="98" t="str">
        <f t="shared" si="318"/>
        <v>1-10.5853186025912i</v>
      </c>
      <c r="X539" s="160">
        <f t="shared" si="328"/>
        <v>10.632448914448792</v>
      </c>
      <c r="Y539" s="160">
        <f t="shared" si="329"/>
        <v>-1.4766054028590296</v>
      </c>
      <c r="Z539" s="98" t="str">
        <f t="shared" si="319"/>
        <v>-53.3443799978382+12.1339939535729i</v>
      </c>
      <c r="AA539" s="160">
        <f t="shared" si="330"/>
        <v>54.707007655501535</v>
      </c>
      <c r="AB539" s="160">
        <f t="shared" si="331"/>
        <v>2.9179329715021507</v>
      </c>
      <c r="AC539" s="171" t="str">
        <f t="shared" si="332"/>
        <v>-0.00017108887190759+0.00219863282550484i</v>
      </c>
      <c r="AD539" s="190">
        <f t="shared" si="333"/>
        <v>-53.130727166063814</v>
      </c>
      <c r="AE539" s="169">
        <f t="shared" si="334"/>
        <v>94.449563200442995</v>
      </c>
      <c r="AF539" s="98" t="str">
        <f t="shared" si="320"/>
        <v>-0.0000816326530612245</v>
      </c>
      <c r="AG539" s="98" t="str">
        <f t="shared" si="321"/>
        <v>0.226424763587192i</v>
      </c>
      <c r="AH539" s="98">
        <f t="shared" si="335"/>
        <v>0.22642476358719199</v>
      </c>
      <c r="AI539" s="98">
        <f t="shared" si="336"/>
        <v>1.5707963267948966</v>
      </c>
      <c r="AJ539" s="98" t="str">
        <f t="shared" si="322"/>
        <v>1+25.0818530392635i</v>
      </c>
      <c r="AK539" s="98">
        <f t="shared" si="337"/>
        <v>25.101779854887017</v>
      </c>
      <c r="AL539" s="98">
        <f t="shared" si="338"/>
        <v>1.5309479692912762</v>
      </c>
      <c r="AM539" s="98" t="str">
        <f t="shared" si="323"/>
        <v>1+2533.26715696561i</v>
      </c>
      <c r="AN539" s="98">
        <f t="shared" si="339"/>
        <v>2533.2673543391788</v>
      </c>
      <c r="AO539" s="98">
        <f t="shared" si="340"/>
        <v>1.5704015796616113</v>
      </c>
      <c r="AP539" s="168" t="str">
        <f t="shared" si="341"/>
        <v>-0.00143512779019796+0.036356193147308i</v>
      </c>
      <c r="AQ539" s="98">
        <f t="shared" si="342"/>
        <v>-28.781670032278782</v>
      </c>
      <c r="AR539" s="169">
        <f t="shared" si="343"/>
        <v>92.260525360773769</v>
      </c>
      <c r="AS539" s="168" t="str">
        <f t="shared" si="344"/>
        <v>-0.0000796883852693973-9.37545914075084E-06i</v>
      </c>
      <c r="AT539" s="190">
        <f t="shared" si="345"/>
        <v>-81.912397198342589</v>
      </c>
      <c r="AU539" s="169">
        <f t="shared" si="346"/>
        <v>-173.28991143878326</v>
      </c>
      <c r="AV539" s="225"/>
      <c r="AX539">
        <f t="shared" si="347"/>
        <v>0</v>
      </c>
      <c r="AY539">
        <f t="shared" si="348"/>
        <v>0</v>
      </c>
    </row>
    <row r="540" spans="14:51" x14ac:dyDescent="0.2">
      <c r="N540" s="170">
        <v>22</v>
      </c>
      <c r="O540" s="199">
        <f t="shared" si="314"/>
        <v>1659586.9074375622</v>
      </c>
      <c r="P540" s="189" t="str">
        <f t="shared" si="315"/>
        <v>6.8875</v>
      </c>
      <c r="Q540" s="160" t="str">
        <f t="shared" si="316"/>
        <v>1+2606.87301819983i</v>
      </c>
      <c r="R540" s="160">
        <f t="shared" si="324"/>
        <v>2606.8732100004963</v>
      </c>
      <c r="S540" s="160">
        <f t="shared" si="325"/>
        <v>1.5704127254671878</v>
      </c>
      <c r="T540" s="160" t="str">
        <f t="shared" si="317"/>
        <v>1+4.17099682911972i</v>
      </c>
      <c r="U540" s="160">
        <f t="shared" si="326"/>
        <v>4.2891974247552138</v>
      </c>
      <c r="V540" s="160">
        <f t="shared" si="327"/>
        <v>1.335486947914108</v>
      </c>
      <c r="W540" s="98" t="str">
        <f t="shared" si="318"/>
        <v>1-10.8318823470907i</v>
      </c>
      <c r="X540" s="160">
        <f t="shared" si="328"/>
        <v>10.877944437310532</v>
      </c>
      <c r="Y540" s="160">
        <f t="shared" si="329"/>
        <v>-1.4787372173253361</v>
      </c>
      <c r="Z540" s="98" t="str">
        <f t="shared" si="319"/>
        <v>-55.9055517218629+12.4166309810683i</v>
      </c>
      <c r="AA540" s="160">
        <f t="shared" si="330"/>
        <v>57.267822014163528</v>
      </c>
      <c r="AB540" s="160">
        <f t="shared" si="331"/>
        <v>2.9230400459073684</v>
      </c>
      <c r="AC540" s="171" t="str">
        <f t="shared" si="332"/>
        <v>-0.000162762519557444+0.00214639091689077i</v>
      </c>
      <c r="AD540" s="190">
        <f t="shared" si="333"/>
        <v>-53.340921817946779</v>
      </c>
      <c r="AE540" s="169">
        <f t="shared" si="334"/>
        <v>94.336484907499369</v>
      </c>
      <c r="AF540" s="98" t="str">
        <f t="shared" si="320"/>
        <v>-0.0000816326530612245</v>
      </c>
      <c r="AG540" s="98" t="str">
        <f t="shared" si="321"/>
        <v>0.2316988738576i</v>
      </c>
      <c r="AH540" s="98">
        <f t="shared" si="335"/>
        <v>0.23169887385759999</v>
      </c>
      <c r="AI540" s="98">
        <f t="shared" si="336"/>
        <v>1.5707963267948966</v>
      </c>
      <c r="AJ540" s="98" t="str">
        <f t="shared" si="322"/>
        <v>1+25.6660844484941i</v>
      </c>
      <c r="AK540" s="98">
        <f t="shared" si="337"/>
        <v>25.68555802230566</v>
      </c>
      <c r="AL540" s="98">
        <f t="shared" si="338"/>
        <v>1.5318541012320039</v>
      </c>
      <c r="AM540" s="98" t="str">
        <f t="shared" si="323"/>
        <v>1+2592.27452929791i</v>
      </c>
      <c r="AN540" s="98">
        <f t="shared" si="339"/>
        <v>2592.2747221787085</v>
      </c>
      <c r="AO540" s="98">
        <f t="shared" si="340"/>
        <v>1.5704105652024827</v>
      </c>
      <c r="AP540" s="168" t="str">
        <f t="shared" si="341"/>
        <v>-0.00137063430277305+0.0355311379460841i</v>
      </c>
      <c r="AQ540" s="98">
        <f t="shared" si="342"/>
        <v>-28.981359839125474</v>
      </c>
      <c r="AR540" s="169">
        <f t="shared" si="343"/>
        <v>92.20912265845665</v>
      </c>
      <c r="AS540" s="168" t="str">
        <f t="shared" si="344"/>
        <v>-0.0000760406238617567-8.72505455269874E-06i</v>
      </c>
      <c r="AT540" s="190">
        <f t="shared" si="345"/>
        <v>-82.322281657072253</v>
      </c>
      <c r="AU540" s="169">
        <f t="shared" si="346"/>
        <v>-173.45439243404397</v>
      </c>
      <c r="AV540" s="225"/>
      <c r="AX540">
        <f t="shared" si="347"/>
        <v>0</v>
      </c>
      <c r="AY540">
        <f t="shared" si="348"/>
        <v>0</v>
      </c>
    </row>
    <row r="541" spans="14:51" x14ac:dyDescent="0.2">
      <c r="N541" s="170">
        <v>23</v>
      </c>
      <c r="O541" s="199">
        <f t="shared" si="314"/>
        <v>1698243.6524617488</v>
      </c>
      <c r="P541" s="189" t="str">
        <f t="shared" si="315"/>
        <v>6.8875</v>
      </c>
      <c r="Q541" s="160" t="str">
        <f t="shared" si="316"/>
        <v>1+2667.59489128968i</v>
      </c>
      <c r="R541" s="160">
        <f t="shared" si="324"/>
        <v>2667.5950787244301</v>
      </c>
      <c r="S541" s="160">
        <f t="shared" si="325"/>
        <v>1.5704214572986239</v>
      </c>
      <c r="T541" s="160" t="str">
        <f t="shared" si="317"/>
        <v>1+4.26815182606348i</v>
      </c>
      <c r="U541" s="160">
        <f t="shared" si="326"/>
        <v>4.3837335697244439</v>
      </c>
      <c r="V541" s="160">
        <f t="shared" si="327"/>
        <v>1.3406540481597071</v>
      </c>
      <c r="W541" s="98" t="str">
        <f t="shared" si="318"/>
        <v>1-11.0841892989876i</v>
      </c>
      <c r="X541" s="160">
        <f t="shared" si="328"/>
        <v>11.12920717822214</v>
      </c>
      <c r="Y541" s="160">
        <f t="shared" si="329"/>
        <v>-1.4808213169143818</v>
      </c>
      <c r="Z541" s="98" t="str">
        <f t="shared" si="319"/>
        <v>-58.5874277505503+12.7058514706633i</v>
      </c>
      <c r="AA541" s="160">
        <f t="shared" si="330"/>
        <v>59.949356560521217</v>
      </c>
      <c r="AB541" s="160">
        <f t="shared" si="331"/>
        <v>2.9280298686127115</v>
      </c>
      <c r="AC541" s="171" t="str">
        <f t="shared" si="332"/>
        <v>-0.000154865125606525+0.00209547629694294i</v>
      </c>
      <c r="AD541" s="190">
        <f t="shared" si="333"/>
        <v>-53.550688869898096</v>
      </c>
      <c r="AE541" s="169">
        <f t="shared" si="334"/>
        <v>94.226731754732441</v>
      </c>
      <c r="AF541" s="98" t="str">
        <f t="shared" si="320"/>
        <v>-0.0000816326530612245</v>
      </c>
      <c r="AG541" s="98" t="str">
        <f t="shared" si="321"/>
        <v>0.237095833937825i</v>
      </c>
      <c r="AH541" s="98">
        <f t="shared" si="335"/>
        <v>0.23709583393782499</v>
      </c>
      <c r="AI541" s="98">
        <f t="shared" si="336"/>
        <v>1.5707963267948966</v>
      </c>
      <c r="AJ541" s="98" t="str">
        <f t="shared" si="322"/>
        <v>1+26.2639243554302i</v>
      </c>
      <c r="AK541" s="98">
        <f t="shared" si="337"/>
        <v>26.282954981275598</v>
      </c>
      <c r="AL541" s="98">
        <f t="shared" si="338"/>
        <v>1.5327396689201038</v>
      </c>
      <c r="AM541" s="98" t="str">
        <f t="shared" si="323"/>
        <v>1+2652.65635989845i</v>
      </c>
      <c r="AN541" s="98">
        <f t="shared" si="339"/>
        <v>2652.6565483887462</v>
      </c>
      <c r="AO541" s="98">
        <f t="shared" si="340"/>
        <v>1.5704193462075329</v>
      </c>
      <c r="AP541" s="168" t="str">
        <f t="shared" si="341"/>
        <v>-0.00130903489849071+0.03472469590368i</v>
      </c>
      <c r="AQ541" s="98">
        <f t="shared" si="342"/>
        <v>-29.181063586276302</v>
      </c>
      <c r="AR541" s="169">
        <f t="shared" si="343"/>
        <v>92.158886481984624</v>
      </c>
      <c r="AS541" s="168" t="str">
        <f t="shared" si="344"/>
        <v>-0.000072562053330735-8.12069599443018E-06i</v>
      </c>
      <c r="AT541" s="190">
        <f t="shared" si="345"/>
        <v>-82.731752456174391</v>
      </c>
      <c r="AU541" s="169">
        <f t="shared" si="346"/>
        <v>-173.61438176328292</v>
      </c>
      <c r="AV541" s="225"/>
      <c r="AX541">
        <f t="shared" si="347"/>
        <v>0</v>
      </c>
      <c r="AY541">
        <f t="shared" si="348"/>
        <v>0</v>
      </c>
    </row>
    <row r="542" spans="14:51" x14ac:dyDescent="0.2">
      <c r="N542" s="170">
        <v>24</v>
      </c>
      <c r="O542" s="199">
        <f t="shared" si="314"/>
        <v>1737800.8287493798</v>
      </c>
      <c r="P542" s="189" t="str">
        <f t="shared" si="315"/>
        <v>6.8875</v>
      </c>
      <c r="Q542" s="160" t="str">
        <f t="shared" si="316"/>
        <v>1+2729.73115850065i</v>
      </c>
      <c r="R542" s="160">
        <f t="shared" si="324"/>
        <v>2729.7313416688648</v>
      </c>
      <c r="S542" s="160">
        <f t="shared" si="325"/>
        <v>1.5704299903693655</v>
      </c>
      <c r="T542" s="160" t="str">
        <f t="shared" si="317"/>
        <v>1+4.36756985360104i</v>
      </c>
      <c r="U542" s="160">
        <f t="shared" si="326"/>
        <v>4.4805877322160104</v>
      </c>
      <c r="V542" s="160">
        <f t="shared" si="327"/>
        <v>1.3457156486120929</v>
      </c>
      <c r="W542" s="98" t="str">
        <f t="shared" si="318"/>
        <v>1-11.3423732347672i</v>
      </c>
      <c r="X542" s="160">
        <f t="shared" si="328"/>
        <v>11.386370387299165</v>
      </c>
      <c r="Y542" s="160">
        <f t="shared" si="329"/>
        <v>-1.4828587341855122</v>
      </c>
      <c r="Z542" s="98" t="str">
        <f t="shared" si="319"/>
        <v>-61.3956967025213+13.0018087708898i</v>
      </c>
      <c r="AA542" s="160">
        <f t="shared" si="330"/>
        <v>62.757299216129205</v>
      </c>
      <c r="AB542" s="160">
        <f t="shared" si="331"/>
        <v>2.9329051683889613</v>
      </c>
      <c r="AC542" s="171" t="str">
        <f t="shared" si="332"/>
        <v>-0.000147372727615846+0.00204585043974769i</v>
      </c>
      <c r="AD542" s="190">
        <f t="shared" si="333"/>
        <v>-53.760044945559386</v>
      </c>
      <c r="AE542" s="169">
        <f t="shared" si="334"/>
        <v>94.120181677512946</v>
      </c>
      <c r="AF542" s="98" t="str">
        <f t="shared" si="320"/>
        <v>-0.0000816326530612245</v>
      </c>
      <c r="AG542" s="98" t="str">
        <f t="shared" si="321"/>
        <v>0.242618505367538i</v>
      </c>
      <c r="AH542" s="98">
        <f t="shared" si="335"/>
        <v>0.24261850536753801</v>
      </c>
      <c r="AI542" s="98">
        <f t="shared" si="336"/>
        <v>1.5707963267948966</v>
      </c>
      <c r="AJ542" s="98" t="str">
        <f t="shared" si="322"/>
        <v>1+26.8756897427034i</v>
      </c>
      <c r="AK542" s="98">
        <f t="shared" si="337"/>
        <v>26.894287481657752</v>
      </c>
      <c r="AL542" s="98">
        <f t="shared" si="338"/>
        <v>1.5336051363362044</v>
      </c>
      <c r="AM542" s="98" t="str">
        <f t="shared" si="323"/>
        <v>1+2714.44466401305i</v>
      </c>
      <c r="AN542" s="98">
        <f t="shared" si="339"/>
        <v>2714.4448482127832</v>
      </c>
      <c r="AO542" s="98">
        <f t="shared" si="340"/>
        <v>1.5704279273325616</v>
      </c>
      <c r="AP542" s="168" t="str">
        <f t="shared" si="341"/>
        <v>-0.00125020007742392+0.0339364544699082i</v>
      </c>
      <c r="AQ542" s="98">
        <f t="shared" si="342"/>
        <v>-29.380780648131761</v>
      </c>
      <c r="AR542" s="169">
        <f t="shared" si="343"/>
        <v>92.109790513983597</v>
      </c>
      <c r="AS542" s="168" t="str">
        <f t="shared" si="344"/>
        <v>-0.0000692446649052636-7.55903023901166E-06i</v>
      </c>
      <c r="AT542" s="190">
        <f t="shared" si="345"/>
        <v>-83.140825593691147</v>
      </c>
      <c r="AU542" s="169">
        <f t="shared" si="346"/>
        <v>-173.77002780850344</v>
      </c>
      <c r="AV542" s="225"/>
      <c r="AX542">
        <f t="shared" si="347"/>
        <v>0</v>
      </c>
      <c r="AY542">
        <f t="shared" si="348"/>
        <v>0</v>
      </c>
    </row>
    <row r="543" spans="14:51" x14ac:dyDescent="0.2">
      <c r="N543" s="170">
        <v>25</v>
      </c>
      <c r="O543" s="199">
        <f t="shared" si="314"/>
        <v>1778279.4100389241</v>
      </c>
      <c r="P543" s="189" t="str">
        <f t="shared" si="315"/>
        <v>6.8875</v>
      </c>
      <c r="Q543" s="160" t="str">
        <f t="shared" si="316"/>
        <v>1+2793.31476530413i</v>
      </c>
      <c r="R543" s="160">
        <f t="shared" si="324"/>
        <v>2793.3149443029274</v>
      </c>
      <c r="S543" s="160">
        <f t="shared" si="325"/>
        <v>1.5704383292037549</v>
      </c>
      <c r="T543" s="160" t="str">
        <f t="shared" si="317"/>
        <v>1+4.4693036244866i</v>
      </c>
      <c r="U543" s="160">
        <f t="shared" si="326"/>
        <v>4.579811665106881</v>
      </c>
      <c r="V543" s="160">
        <f t="shared" si="327"/>
        <v>1.3506733951183303</v>
      </c>
      <c r="W543" s="98" t="str">
        <f t="shared" si="318"/>
        <v>1-11.60657104697i</v>
      </c>
      <c r="X543" s="160">
        <f t="shared" si="328"/>
        <v>11.649570441366594</v>
      </c>
      <c r="Y543" s="160">
        <f t="shared" si="329"/>
        <v>-1.4848504817071904</v>
      </c>
      <c r="Z543" s="98" t="str">
        <f t="shared" si="319"/>
        <v>-64.3363152927348+13.3046598022259i</v>
      </c>
      <c r="AA543" s="160">
        <f t="shared" si="330"/>
        <v>65.697606028676162</v>
      </c>
      <c r="AB543" s="160">
        <f t="shared" si="331"/>
        <v>2.9376686086531185</v>
      </c>
      <c r="AC543" s="171" t="str">
        <f t="shared" si="332"/>
        <v>-0.000140262836545981+0.00199747615366748i</v>
      </c>
      <c r="AD543" s="190">
        <f t="shared" si="333"/>
        <v>-53.969006135437155</v>
      </c>
      <c r="AE543" s="169">
        <f t="shared" si="334"/>
        <v>94.016718098252738</v>
      </c>
      <c r="AF543" s="98" t="str">
        <f t="shared" si="320"/>
        <v>-0.0000816326530612245</v>
      </c>
      <c r="AG543" s="98" t="str">
        <f t="shared" si="321"/>
        <v>0.248269816340232i</v>
      </c>
      <c r="AH543" s="98">
        <f t="shared" si="335"/>
        <v>0.24826981634023201</v>
      </c>
      <c r="AI543" s="98">
        <f t="shared" si="336"/>
        <v>1.5707963267948966</v>
      </c>
      <c r="AJ543" s="98" t="str">
        <f t="shared" si="322"/>
        <v>1+27.50170497642i</v>
      </c>
      <c r="AK543" s="98">
        <f t="shared" si="337"/>
        <v>27.519879661983346</v>
      </c>
      <c r="AL543" s="98">
        <f t="shared" si="338"/>
        <v>1.5344509571735108</v>
      </c>
      <c r="AM543" s="98" t="str">
        <f t="shared" si="323"/>
        <v>1+2777.67220261842i</v>
      </c>
      <c r="AN543" s="98">
        <f t="shared" si="339"/>
        <v>2777.672382625256</v>
      </c>
      <c r="AO543" s="98">
        <f t="shared" si="340"/>
        <v>1.5704363131273897</v>
      </c>
      <c r="AP543" s="168" t="str">
        <f t="shared" si="341"/>
        <v>-0.0011940061018537+0.0331660097458776i</v>
      </c>
      <c r="AQ543" s="98">
        <f t="shared" si="342"/>
        <v>-29.580510427089656</v>
      </c>
      <c r="AR543" s="169">
        <f t="shared" si="343"/>
        <v>92.061809020433216</v>
      </c>
      <c r="AS543" s="168" t="str">
        <f t="shared" si="344"/>
        <v>-0.0000660808388969945-7.03695731965467E-06i</v>
      </c>
      <c r="AT543" s="190">
        <f t="shared" si="345"/>
        <v>-83.549516562526819</v>
      </c>
      <c r="AU543" s="169">
        <f t="shared" si="346"/>
        <v>-173.92147288131403</v>
      </c>
      <c r="AV543" s="225"/>
      <c r="AX543">
        <f t="shared" si="347"/>
        <v>0</v>
      </c>
      <c r="AY543">
        <f t="shared" si="348"/>
        <v>0</v>
      </c>
    </row>
    <row r="544" spans="14:51" x14ac:dyDescent="0.2">
      <c r="N544" s="170">
        <v>26</v>
      </c>
      <c r="O544" s="199">
        <f t="shared" si="314"/>
        <v>1819700.8586099846</v>
      </c>
      <c r="P544" s="189" t="str">
        <f t="shared" si="315"/>
        <v>6.8875</v>
      </c>
      <c r="Q544" s="160" t="str">
        <f t="shared" si="316"/>
        <v>1+2858.37942457007i</v>
      </c>
      <c r="R544" s="160">
        <f t="shared" si="324"/>
        <v>2858.379599494358</v>
      </c>
      <c r="S544" s="160">
        <f t="shared" si="325"/>
        <v>1.5704464782231478</v>
      </c>
      <c r="T544" s="160" t="str">
        <f t="shared" si="317"/>
        <v>1+4.57340707931212i</v>
      </c>
      <c r="U544" s="160">
        <f t="shared" si="326"/>
        <v>4.6814583532380398</v>
      </c>
      <c r="V544" s="160">
        <f t="shared" si="327"/>
        <v>1.3555289410395412</v>
      </c>
      <c r="W544" s="98" t="str">
        <f t="shared" si="318"/>
        <v>1-11.8769228167732i</v>
      </c>
      <c r="X544" s="160">
        <f t="shared" si="328"/>
        <v>11.918946916384344</v>
      </c>
      <c r="Y544" s="160">
        <f t="shared" si="329"/>
        <v>-1.4867975522842305</v>
      </c>
      <c r="Z544" s="98" t="str">
        <f t="shared" si="319"/>
        <v>-67.4155209674773+13.6145651402973i</v>
      </c>
      <c r="AA544" s="160">
        <f t="shared" si="330"/>
        <v>68.776513805773632</v>
      </c>
      <c r="AB544" s="160">
        <f t="shared" si="331"/>
        <v>2.9423227890916417</v>
      </c>
      <c r="AC544" s="171" t="str">
        <f t="shared" si="332"/>
        <v>-0.000133514337615665+0.00195031753090706i</v>
      </c>
      <c r="AD544" s="190">
        <f t="shared" si="333"/>
        <v>-54.177588003869673</v>
      </c>
      <c r="AE544" s="169">
        <f t="shared" si="334"/>
        <v>93.916229659653524</v>
      </c>
      <c r="AF544" s="98" t="str">
        <f t="shared" si="320"/>
        <v>-0.0000816326530612245</v>
      </c>
      <c r="AG544" s="98" t="str">
        <f t="shared" si="321"/>
        <v>0.254052763255789i</v>
      </c>
      <c r="AH544" s="98">
        <f t="shared" si="335"/>
        <v>0.25405276325578902</v>
      </c>
      <c r="AI544" s="98">
        <f t="shared" si="336"/>
        <v>1.5707963267948966</v>
      </c>
      <c r="AJ544" s="98" t="str">
        <f t="shared" si="322"/>
        <v>1+28.1423019781434i</v>
      </c>
      <c r="AK544" s="98">
        <f t="shared" si="337"/>
        <v>28.160063221324879</v>
      </c>
      <c r="AL544" s="98">
        <f t="shared" si="338"/>
        <v>1.5352775750537744</v>
      </c>
      <c r="AM544" s="98" t="str">
        <f t="shared" si="323"/>
        <v>1+2842.37249979248i</v>
      </c>
      <c r="AN544" s="98">
        <f t="shared" si="339"/>
        <v>2842.3726757018599</v>
      </c>
      <c r="AO544" s="98">
        <f t="shared" si="340"/>
        <v>1.5704445080382718</v>
      </c>
      <c r="AP544" s="168" t="str">
        <f t="shared" si="341"/>
        <v>-0.00114033474272969+0.0324129663360076i</v>
      </c>
      <c r="AQ544" s="98">
        <f t="shared" si="342"/>
        <v>-29.780252352298525</v>
      </c>
      <c r="AR544" s="169">
        <f t="shared" si="343"/>
        <v>92.014916838431105</v>
      </c>
      <c r="AS544" s="168" t="str">
        <f t="shared" si="344"/>
        <v>-0.0000630633254359803-6.55161057035901E-06i</v>
      </c>
      <c r="AT544" s="190">
        <f t="shared" si="345"/>
        <v>-83.957840356168205</v>
      </c>
      <c r="AU544" s="169">
        <f t="shared" si="346"/>
        <v>-174.06885350191536</v>
      </c>
      <c r="AV544" s="225"/>
      <c r="AX544">
        <f t="shared" si="347"/>
        <v>0</v>
      </c>
      <c r="AY544">
        <f t="shared" si="348"/>
        <v>0</v>
      </c>
    </row>
    <row r="545" spans="14:51" x14ac:dyDescent="0.2">
      <c r="N545" s="170">
        <v>27</v>
      </c>
      <c r="O545" s="199">
        <f t="shared" si="314"/>
        <v>1862087.1366628683</v>
      </c>
      <c r="P545" s="189" t="str">
        <f t="shared" si="315"/>
        <v>6.8875</v>
      </c>
      <c r="Q545" s="160" t="str">
        <f t="shared" si="316"/>
        <v>1+2924.95963444205i</v>
      </c>
      <c r="R545" s="160">
        <f t="shared" si="324"/>
        <v>2924.9598053845748</v>
      </c>
      <c r="S545" s="160">
        <f t="shared" si="325"/>
        <v>1.5704544417482578</v>
      </c>
      <c r="T545" s="160" t="str">
        <f t="shared" si="317"/>
        <v>1+4.67993541510728i</v>
      </c>
      <c r="U545" s="160">
        <f t="shared" si="326"/>
        <v>4.7855820429259532</v>
      </c>
      <c r="V545" s="160">
        <f t="shared" si="327"/>
        <v>1.3602839446248769</v>
      </c>
      <c r="W545" s="98" t="str">
        <f t="shared" si="318"/>
        <v>1-12.1535718882634i</v>
      </c>
      <c r="X545" s="160">
        <f t="shared" si="328"/>
        <v>12.194642661561938</v>
      </c>
      <c r="Y545" s="160">
        <f t="shared" si="329"/>
        <v>-1.4887009191943554</v>
      </c>
      <c r="Z545" s="98" t="str">
        <f t="shared" si="319"/>
        <v>-70.6398451348202+13.931689101016i</v>
      </c>
      <c r="AA545" s="160">
        <f t="shared" si="330"/>
        <v>72.000553344253888</v>
      </c>
      <c r="AB545" s="160">
        <f t="shared" si="331"/>
        <v>2.94687024724628</v>
      </c>
      <c r="AC545" s="171" t="str">
        <f t="shared" si="332"/>
        <v>-0.000127107398260992+0.00190433989845168i</v>
      </c>
      <c r="AD545" s="190">
        <f t="shared" si="333"/>
        <v>-54.385805596954057</v>
      </c>
      <c r="AE545" s="169">
        <f t="shared" si="334"/>
        <v>93.818609969695828</v>
      </c>
      <c r="AF545" s="98" t="str">
        <f t="shared" si="320"/>
        <v>-0.0000816326530612245</v>
      </c>
      <c r="AG545" s="98" t="str">
        <f t="shared" si="321"/>
        <v>0.25997041230921i</v>
      </c>
      <c r="AH545" s="98">
        <f t="shared" si="335"/>
        <v>0.25997041230920998</v>
      </c>
      <c r="AI545" s="98">
        <f t="shared" si="336"/>
        <v>1.5707963267948966</v>
      </c>
      <c r="AJ545" s="98" t="str">
        <f t="shared" si="322"/>
        <v>1+28.7978204008829i</v>
      </c>
      <c r="AK545" s="98">
        <f t="shared" si="337"/>
        <v>28.815177595175559</v>
      </c>
      <c r="AL545" s="98">
        <f t="shared" si="338"/>
        <v>1.5360854237395507</v>
      </c>
      <c r="AM545" s="98" t="str">
        <f t="shared" si="323"/>
        <v>1+2908.57986048918i</v>
      </c>
      <c r="AN545" s="98">
        <f t="shared" si="339"/>
        <v>2908.5800323943745</v>
      </c>
      <c r="AO545" s="98">
        <f t="shared" si="340"/>
        <v>1.5704525164102541</v>
      </c>
      <c r="AP545" s="168" t="str">
        <f t="shared" si="341"/>
        <v>-0.00108907303703459+0.0316769372001866i</v>
      </c>
      <c r="AQ545" s="98">
        <f t="shared" si="342"/>
        <v>-29.98000587846667</v>
      </c>
      <c r="AR545" s="169">
        <f t="shared" si="343"/>
        <v>91.969089364166294</v>
      </c>
      <c r="AS545" s="168" t="str">
        <f t="shared" si="344"/>
        <v>-0.0000601852261308099-6.10033830914547E-06i</v>
      </c>
      <c r="AT545" s="190">
        <f t="shared" si="345"/>
        <v>-84.365811475420728</v>
      </c>
      <c r="AU545" s="169">
        <f t="shared" si="346"/>
        <v>-174.21230066613785</v>
      </c>
      <c r="AV545" s="225"/>
      <c r="AX545">
        <f t="shared" si="347"/>
        <v>0</v>
      </c>
      <c r="AY545">
        <f t="shared" si="348"/>
        <v>0</v>
      </c>
    </row>
    <row r="546" spans="14:51" x14ac:dyDescent="0.2">
      <c r="N546" s="170">
        <v>28</v>
      </c>
      <c r="O546" s="199">
        <f t="shared" si="314"/>
        <v>1905460.7179632513</v>
      </c>
      <c r="P546" s="189" t="str">
        <f t="shared" si="315"/>
        <v>6.8875</v>
      </c>
      <c r="Q546" s="160" t="str">
        <f t="shared" si="316"/>
        <v>1+2993.09069662865i</v>
      </c>
      <c r="R546" s="160">
        <f t="shared" si="324"/>
        <v>2993.0908636800482</v>
      </c>
      <c r="S546" s="160">
        <f t="shared" si="325"/>
        <v>1.570462224001447</v>
      </c>
      <c r="T546" s="160" t="str">
        <f t="shared" si="317"/>
        <v>1+4.78894511460584i</v>
      </c>
      <c r="U546" s="160">
        <f t="shared" si="326"/>
        <v>4.8922382720700694</v>
      </c>
      <c r="V546" s="160">
        <f t="shared" si="327"/>
        <v>1.364940066556074</v>
      </c>
      <c r="W546" s="98" t="str">
        <f t="shared" si="318"/>
        <v>1-12.4366649444404i</v>
      </c>
      <c r="X546" s="160">
        <f t="shared" si="328"/>
        <v>12.476803875202684</v>
      </c>
      <c r="Y546" s="160">
        <f t="shared" si="329"/>
        <v>-1.4905615364329783</v>
      </c>
      <c r="Z546" s="98" t="str">
        <f t="shared" si="319"/>
        <v>-74.0161270186169+14.256199827704i</v>
      </c>
      <c r="AA546" s="160">
        <f t="shared" si="330"/>
        <v>75.376563283048782</v>
      </c>
      <c r="AB546" s="160">
        <f t="shared" si="331"/>
        <v>2.9513134600624693</v>
      </c>
      <c r="AC546" s="171" t="str">
        <f t="shared" si="332"/>
        <v>-0.000121023382676172+0.00185950977044918i</v>
      </c>
      <c r="AD546" s="190">
        <f t="shared" si="333"/>
        <v>-54.593673451302607</v>
      </c>
      <c r="AE546" s="169">
        <f t="shared" si="334"/>
        <v>93.72375735808042</v>
      </c>
      <c r="AF546" s="98" t="str">
        <f t="shared" si="320"/>
        <v>-0.0000816326530612245</v>
      </c>
      <c r="AG546" s="98" t="str">
        <f t="shared" si="321"/>
        <v>0.266025901116354i</v>
      </c>
      <c r="AH546" s="98">
        <f t="shared" si="335"/>
        <v>0.26602590111635399</v>
      </c>
      <c r="AI546" s="98">
        <f t="shared" si="336"/>
        <v>1.5707963267948966</v>
      </c>
      <c r="AJ546" s="98" t="str">
        <f t="shared" si="322"/>
        <v>1+29.4686078091835i</v>
      </c>
      <c r="AK546" s="98">
        <f t="shared" si="337"/>
        <v>29.485570135431853</v>
      </c>
      <c r="AL546" s="98">
        <f t="shared" si="338"/>
        <v>1.5368749273427551</v>
      </c>
      <c r="AM546" s="98" t="str">
        <f t="shared" si="323"/>
        <v>1+2976.32938872753i</v>
      </c>
      <c r="AN546" s="98">
        <f t="shared" si="339"/>
        <v>2976.3295567196842</v>
      </c>
      <c r="AO546" s="98">
        <f t="shared" si="340"/>
        <v>1.570460342489477</v>
      </c>
      <c r="AP546" s="168" t="str">
        <f t="shared" si="341"/>
        <v>-0.00104011305560598+0.0309575435062851i</v>
      </c>
      <c r="AQ546" s="98">
        <f t="shared" si="342"/>
        <v>-30.179770484723548</v>
      </c>
      <c r="AR546" s="169">
        <f t="shared" si="343"/>
        <v>91.924302541101923</v>
      </c>
      <c r="AS546" s="168" t="str">
        <f t="shared" si="344"/>
        <v>-0.0000574399766186876-5.68068702374646E-06i</v>
      </c>
      <c r="AT546" s="190">
        <f t="shared" si="345"/>
        <v>-84.773443936026155</v>
      </c>
      <c r="AU546" s="169">
        <f t="shared" si="346"/>
        <v>-174.35194010081764</v>
      </c>
      <c r="AV546" s="225"/>
      <c r="AX546">
        <f t="shared" si="347"/>
        <v>0</v>
      </c>
      <c r="AY546">
        <f t="shared" si="348"/>
        <v>0</v>
      </c>
    </row>
    <row r="547" spans="14:51" x14ac:dyDescent="0.2">
      <c r="N547" s="170">
        <v>29</v>
      </c>
      <c r="O547" s="199">
        <f t="shared" si="314"/>
        <v>1949844.5997580495</v>
      </c>
      <c r="P547" s="189" t="str">
        <f t="shared" si="315"/>
        <v>6.8875</v>
      </c>
      <c r="Q547" s="160" t="str">
        <f t="shared" si="316"/>
        <v>1+3062.8087351208i</v>
      </c>
      <c r="R547" s="160">
        <f t="shared" si="324"/>
        <v>3062.8088983696448</v>
      </c>
      <c r="S547" s="160">
        <f t="shared" si="325"/>
        <v>1.5704698291089656</v>
      </c>
      <c r="T547" s="160" t="str">
        <f t="shared" si="317"/>
        <v>1+4.90049397619328i</v>
      </c>
      <c r="U547" s="160">
        <f t="shared" si="326"/>
        <v>5.001483900874482</v>
      </c>
      <c r="V547" s="160">
        <f t="shared" si="327"/>
        <v>1.3694989676561822</v>
      </c>
      <c r="W547" s="98" t="str">
        <f t="shared" si="318"/>
        <v>1-12.7263520849895i</v>
      </c>
      <c r="X547" s="160">
        <f t="shared" si="328"/>
        <v>12.765580182315121</v>
      </c>
      <c r="Y547" s="160">
        <f t="shared" si="329"/>
        <v>-1.4923803389651595</v>
      </c>
      <c r="Z547" s="98" t="str">
        <f t="shared" si="319"/>
        <v>-77.5515281654048+14.5882693802435i</v>
      </c>
      <c r="AA547" s="160">
        <f t="shared" si="330"/>
        <v>78.911704609013</v>
      </c>
      <c r="AB547" s="160">
        <f t="shared" si="331"/>
        <v>2.9556548454004234</v>
      </c>
      <c r="AC547" s="171" t="str">
        <f t="shared" si="332"/>
        <v>-0.000115244772453211+0.00181579480208635i</v>
      </c>
      <c r="AD547" s="190">
        <f t="shared" si="333"/>
        <v>-54.801205603511306</v>
      </c>
      <c r="AE547" s="169">
        <f t="shared" si="334"/>
        <v>93.631574643804214</v>
      </c>
      <c r="AF547" s="98" t="str">
        <f t="shared" si="320"/>
        <v>-0.0000816326530612245</v>
      </c>
      <c r="AG547" s="98" t="str">
        <f t="shared" si="321"/>
        <v>0.272222440377538i</v>
      </c>
      <c r="AH547" s="98">
        <f t="shared" si="335"/>
        <v>0.27222244037753801</v>
      </c>
      <c r="AI547" s="98">
        <f t="shared" si="336"/>
        <v>1.5707963267948966</v>
      </c>
      <c r="AJ547" s="98" t="str">
        <f t="shared" si="322"/>
        <v>1+30.1550198634072i</v>
      </c>
      <c r="AK547" s="98">
        <f t="shared" si="337"/>
        <v>30.171596294569547</v>
      </c>
      <c r="AL547" s="98">
        <f t="shared" si="338"/>
        <v>1.5376465005295163</v>
      </c>
      <c r="AM547" s="98" t="str">
        <f t="shared" si="323"/>
        <v>1+3045.65700620412i</v>
      </c>
      <c r="AN547" s="98">
        <f t="shared" si="339"/>
        <v>3045.6571703723062</v>
      </c>
      <c r="AO547" s="98">
        <f t="shared" si="340"/>
        <v>1.5704679904254275</v>
      </c>
      <c r="AP547" s="168" t="str">
        <f t="shared" si="341"/>
        <v>-0.000993351680985535+0.0302544144832137i</v>
      </c>
      <c r="AQ547" s="98">
        <f t="shared" si="342"/>
        <v>-30.379545673530824</v>
      </c>
      <c r="AR547" s="169">
        <f t="shared" si="343"/>
        <v>91.880532848366983</v>
      </c>
      <c r="AS547" s="168" t="str">
        <f t="shared" si="344"/>
        <v>-0.0000548213299703442-5.29038593180037E-06i</v>
      </c>
      <c r="AT547" s="190">
        <f t="shared" si="345"/>
        <v>-85.180751277042134</v>
      </c>
      <c r="AU547" s="169">
        <f t="shared" si="346"/>
        <v>-174.48789250782878</v>
      </c>
      <c r="AV547" s="225"/>
      <c r="AX547">
        <f t="shared" si="347"/>
        <v>0</v>
      </c>
      <c r="AY547">
        <f t="shared" si="348"/>
        <v>0</v>
      </c>
    </row>
    <row r="548" spans="14:51" x14ac:dyDescent="0.2">
      <c r="N548" s="170">
        <v>30</v>
      </c>
      <c r="O548" s="199">
        <f t="shared" si="314"/>
        <v>1995262.31496888</v>
      </c>
      <c r="P548" s="189" t="str">
        <f t="shared" si="315"/>
        <v>6.8875</v>
      </c>
      <c r="Q548" s="160" t="str">
        <f t="shared" si="316"/>
        <v>1+3134.1507153454i</v>
      </c>
      <c r="R548" s="160">
        <f t="shared" si="324"/>
        <v>3134.1508748782471</v>
      </c>
      <c r="S548" s="160">
        <f t="shared" si="325"/>
        <v>1.5704772611031386</v>
      </c>
      <c r="T548" s="160" t="str">
        <f t="shared" si="317"/>
        <v>1+5.01464114455264i</v>
      </c>
      <c r="U548" s="160">
        <f t="shared" si="326"/>
        <v>5.1133771432039135</v>
      </c>
      <c r="V548" s="160">
        <f t="shared" si="327"/>
        <v>1.3739623067560158</v>
      </c>
      <c r="W548" s="98" t="str">
        <f t="shared" si="318"/>
        <v>1-13.0227869058673i</v>
      </c>
      <c r="X548" s="160">
        <f t="shared" si="328"/>
        <v>13.061124714037025</v>
      </c>
      <c r="Y548" s="160">
        <f t="shared" si="329"/>
        <v>-1.4941582429838112</v>
      </c>
      <c r="Z548" s="98" t="str">
        <f t="shared" si="319"/>
        <v>-81.25354763502+14.9280738263071i</v>
      </c>
      <c r="AA548" s="160">
        <f t="shared" si="330"/>
        <v>82.613475846499384</v>
      </c>
      <c r="AB548" s="160">
        <f t="shared" si="331"/>
        <v>2.959896763509188</v>
      </c>
      <c r="AC548" s="171" t="str">
        <f t="shared" si="332"/>
        <v>-0.000109755092872464+0.00177316374499251i</v>
      </c>
      <c r="AD548" s="190">
        <f t="shared" si="333"/>
        <v>-55.008415600231899</v>
      </c>
      <c r="AE548" s="169">
        <f t="shared" si="334"/>
        <v>93.541968913540472</v>
      </c>
      <c r="AF548" s="98" t="str">
        <f t="shared" si="320"/>
        <v>-0.0000816326530612245</v>
      </c>
      <c r="AG548" s="98" t="str">
        <f t="shared" si="321"/>
        <v>0.278563315579899i</v>
      </c>
      <c r="AH548" s="98">
        <f t="shared" si="335"/>
        <v>0.278563315579899</v>
      </c>
      <c r="AI548" s="98">
        <f t="shared" si="336"/>
        <v>1.5707963267948966</v>
      </c>
      <c r="AJ548" s="98" t="str">
        <f t="shared" si="322"/>
        <v>1+30.8574205083116i</v>
      </c>
      <c r="AK548" s="98">
        <f t="shared" si="337"/>
        <v>30.873619814119127</v>
      </c>
      <c r="AL548" s="98">
        <f t="shared" si="338"/>
        <v>1.5384005487213559</v>
      </c>
      <c r="AM548" s="98" t="str">
        <f t="shared" si="323"/>
        <v>1+3116.59947133947i</v>
      </c>
      <c r="AN548" s="98">
        <f t="shared" si="339"/>
        <v>3116.5996317707322</v>
      </c>
      <c r="AO548" s="98">
        <f t="shared" si="340"/>
        <v>1.5704754642731391</v>
      </c>
      <c r="AP548" s="168" t="str">
        <f t="shared" si="341"/>
        <v>-0.000948690394880604+0.0295671872746922i</v>
      </c>
      <c r="AQ548" s="98">
        <f t="shared" si="342"/>
        <v>-30.579330969642335</v>
      </c>
      <c r="AR548" s="169">
        <f t="shared" si="343"/>
        <v>91.837757289355693</v>
      </c>
      <c r="AS548" s="168" t="str">
        <f t="shared" si="344"/>
        <v>-0.0000523233409144908-4.92733279873629E-06i</v>
      </c>
      <c r="AT548" s="190">
        <f t="shared" si="345"/>
        <v>-85.587746569874227</v>
      </c>
      <c r="AU548" s="169">
        <f t="shared" si="346"/>
        <v>-174.62027379710383</v>
      </c>
      <c r="AV548" s="225"/>
      <c r="AX548">
        <f t="shared" si="347"/>
        <v>0</v>
      </c>
      <c r="AY548">
        <f t="shared" si="348"/>
        <v>0</v>
      </c>
    </row>
    <row r="549" spans="14:51" x14ac:dyDescent="0.2">
      <c r="N549" s="170">
        <v>31</v>
      </c>
      <c r="O549" s="199">
        <f t="shared" si="314"/>
        <v>2041737.9446695296</v>
      </c>
      <c r="P549" s="189" t="str">
        <f t="shared" si="315"/>
        <v>6.8875</v>
      </c>
      <c r="Q549" s="160" t="str">
        <f t="shared" si="316"/>
        <v>1+3207.15446376465i</v>
      </c>
      <c r="R549" s="160">
        <f t="shared" si="324"/>
        <v>3207.1546196660861</v>
      </c>
      <c r="S549" s="160">
        <f t="shared" si="325"/>
        <v>1.5704845239245044</v>
      </c>
      <c r="T549" s="160" t="str">
        <f t="shared" si="317"/>
        <v>1+5.13144714202344i</v>
      </c>
      <c r="U549" s="160">
        <f t="shared" si="326"/>
        <v>5.227977598592072</v>
      </c>
      <c r="V549" s="160">
        <f t="shared" si="327"/>
        <v>1.3783317387117324</v>
      </c>
      <c r="W549" s="98" t="str">
        <f t="shared" si="318"/>
        <v>1-13.3261265807395i</v>
      </c>
      <c r="X549" s="160">
        <f t="shared" si="328"/>
        <v>13.36359418891085</v>
      </c>
      <c r="Y549" s="160">
        <f t="shared" si="329"/>
        <v>-1.495896146173237</v>
      </c>
      <c r="Z549" s="98" t="str">
        <f t="shared" si="319"/>
        <v>-85.1300379070935+15.2757933347097i</v>
      </c>
      <c r="AA549" s="160">
        <f t="shared" si="330"/>
        <v>86.489728962853945</v>
      </c>
      <c r="AB549" s="160">
        <f t="shared" si="331"/>
        <v>2.9640415184639881</v>
      </c>
      <c r="AC549" s="171" t="str">
        <f t="shared" si="332"/>
        <v>-0.000104538844428263+0.00173158640418884i</v>
      </c>
      <c r="AD549" s="190">
        <f t="shared" si="333"/>
        <v>-55.215316508745573</v>
      </c>
      <c r="AE549" s="169">
        <f t="shared" si="334"/>
        <v>93.454851310478631</v>
      </c>
      <c r="AF549" s="98" t="str">
        <f t="shared" si="320"/>
        <v>-0.0000816326530612245</v>
      </c>
      <c r="AG549" s="98" t="str">
        <f t="shared" si="321"/>
        <v>0.285051888739403i</v>
      </c>
      <c r="AH549" s="98">
        <f t="shared" si="335"/>
        <v>0.28505188873940301</v>
      </c>
      <c r="AI549" s="98">
        <f t="shared" si="336"/>
        <v>1.5707963267948966</v>
      </c>
      <c r="AJ549" s="98" t="str">
        <f t="shared" si="322"/>
        <v>1+31.5761821660155i</v>
      </c>
      <c r="AK549" s="98">
        <f t="shared" si="337"/>
        <v>31.592012917530202</v>
      </c>
      <c r="AL549" s="98">
        <f t="shared" si="338"/>
        <v>1.539137468292699</v>
      </c>
      <c r="AM549" s="98" t="str">
        <f t="shared" si="323"/>
        <v>1+3189.19439876757i</v>
      </c>
      <c r="AN549" s="98">
        <f t="shared" si="339"/>
        <v>3189.1945555469711</v>
      </c>
      <c r="AO549" s="98">
        <f t="shared" si="340"/>
        <v>1.570482767995341</v>
      </c>
      <c r="AP549" s="168" t="str">
        <f t="shared" si="341"/>
        <v>-0.000906035074839714+0.0288955067938901i</v>
      </c>
      <c r="AQ549" s="98">
        <f t="shared" si="342"/>
        <v>-30.779125919109713</v>
      </c>
      <c r="AR549" s="169">
        <f t="shared" si="343"/>
        <v>91.795953380534058</v>
      </c>
      <c r="AS549" s="168" t="str">
        <f t="shared" si="344"/>
        <v>-0.0000499403508467111-4.58958090671296E-06i</v>
      </c>
      <c r="AT549" s="190">
        <f t="shared" si="345"/>
        <v>-85.994442427855304</v>
      </c>
      <c r="AU549" s="169">
        <f t="shared" si="346"/>
        <v>-174.74919530898728</v>
      </c>
      <c r="AV549" s="225"/>
      <c r="AX549">
        <f t="shared" si="347"/>
        <v>0</v>
      </c>
      <c r="AY549">
        <f t="shared" si="348"/>
        <v>0</v>
      </c>
    </row>
    <row r="550" spans="14:51" x14ac:dyDescent="0.2">
      <c r="N550" s="170">
        <v>32</v>
      </c>
      <c r="O550" s="199">
        <f t="shared" si="314"/>
        <v>2089296.1308540432</v>
      </c>
      <c r="P550" s="189" t="str">
        <f t="shared" si="315"/>
        <v>6.8875</v>
      </c>
      <c r="Q550" s="160" t="str">
        <f t="shared" si="316"/>
        <v>1+3281.85868793233i</v>
      </c>
      <c r="R550" s="160">
        <f t="shared" si="324"/>
        <v>3281.8588402850173</v>
      </c>
      <c r="S550" s="160">
        <f t="shared" si="325"/>
        <v>1.570491621423904</v>
      </c>
      <c r="T550" s="160" t="str">
        <f t="shared" si="317"/>
        <v>1+5.25097390069172i</v>
      </c>
      <c r="U550" s="160">
        <f t="shared" si="326"/>
        <v>5.3453462849235152</v>
      </c>
      <c r="V550" s="160">
        <f t="shared" si="327"/>
        <v>1.3826089125670413</v>
      </c>
      <c r="W550" s="98" t="str">
        <f t="shared" si="318"/>
        <v>1-13.6365319443171i</v>
      </c>
      <c r="X550" s="160">
        <f t="shared" si="328"/>
        <v>13.673148996057225</v>
      </c>
      <c r="Y550" s="160">
        <f t="shared" si="329"/>
        <v>-1.4975949279772067</v>
      </c>
      <c r="Z550" s="98" t="str">
        <f t="shared" si="319"/>
        <v>-89.1892215372249+15.6316122709376i</v>
      </c>
      <c r="AA550" s="160">
        <f t="shared" si="330"/>
        <v>90.548686023625493</v>
      </c>
      <c r="AB550" s="160">
        <f t="shared" si="331"/>
        <v>2.9680913595673832</v>
      </c>
      <c r="AC550" s="171" t="str">
        <f t="shared" si="332"/>
        <v>-0.0000995814392037699+0.00169103359658776i</v>
      </c>
      <c r="AD550" s="190">
        <f t="shared" si="333"/>
        <v>-55.42192092795122</v>
      </c>
      <c r="AE550" s="169">
        <f t="shared" si="334"/>
        <v>93.370136833266585</v>
      </c>
      <c r="AF550" s="98" t="str">
        <f t="shared" si="320"/>
        <v>-0.0000816326530612245</v>
      </c>
      <c r="AG550" s="98" t="str">
        <f t="shared" si="321"/>
        <v>0.291691600183425i</v>
      </c>
      <c r="AH550" s="98">
        <f t="shared" si="335"/>
        <v>0.29169160018342499</v>
      </c>
      <c r="AI550" s="98">
        <f t="shared" si="336"/>
        <v>1.5707963267948966</v>
      </c>
      <c r="AJ550" s="98" t="str">
        <f t="shared" si="322"/>
        <v>1+32.3116859334644i</v>
      </c>
      <c r="AK550" s="98">
        <f t="shared" si="337"/>
        <v>32.327156507537772</v>
      </c>
      <c r="AL550" s="98">
        <f t="shared" si="338"/>
        <v>1.5398576467647509</v>
      </c>
      <c r="AM550" s="98" t="str">
        <f t="shared" si="323"/>
        <v>1+3263.48027927991i</v>
      </c>
      <c r="AN550" s="98">
        <f t="shared" si="339"/>
        <v>3263.4804324905767</v>
      </c>
      <c r="AO550" s="98">
        <f t="shared" si="340"/>
        <v>1.5704899054645607</v>
      </c>
      <c r="AP550" s="168" t="str">
        <f t="shared" si="341"/>
        <v>-0.000865295799757723+0.02823902557908i</v>
      </c>
      <c r="AQ550" s="98">
        <f t="shared" si="342"/>
        <v>-30.97893008833152</v>
      </c>
      <c r="AR550" s="169">
        <f t="shared" si="343"/>
        <v>91.755099140452003</v>
      </c>
      <c r="AS550" s="168" t="str">
        <f t="shared" si="344"/>
        <v>-0.0000476669735880486-4.27532707725344E-06i</v>
      </c>
      <c r="AT550" s="190">
        <f t="shared" si="345"/>
        <v>-86.400851016282729</v>
      </c>
      <c r="AU550" s="169">
        <f t="shared" si="346"/>
        <v>-174.87476402628144</v>
      </c>
      <c r="AV550" s="225"/>
      <c r="AX550">
        <f t="shared" si="347"/>
        <v>0</v>
      </c>
      <c r="AY550">
        <f t="shared" si="348"/>
        <v>0</v>
      </c>
    </row>
    <row r="551" spans="14:51" x14ac:dyDescent="0.2">
      <c r="N551" s="170">
        <v>33</v>
      </c>
      <c r="O551" s="199">
        <f t="shared" si="314"/>
        <v>2137962.0895022359</v>
      </c>
      <c r="P551" s="189" t="str">
        <f t="shared" si="315"/>
        <v>6.8875</v>
      </c>
      <c r="Q551" s="160" t="str">
        <f t="shared" si="316"/>
        <v>1+3358.30299701685i</v>
      </c>
      <c r="R551" s="160">
        <f t="shared" si="324"/>
        <v>3358.3031459015665</v>
      </c>
      <c r="S551" s="160">
        <f t="shared" si="325"/>
        <v>1.5704985573645227</v>
      </c>
      <c r="T551" s="160" t="str">
        <f t="shared" si="317"/>
        <v>1+5.37328479522696i</v>
      </c>
      <c r="U551" s="160">
        <f t="shared" si="326"/>
        <v>5.4655456718078232</v>
      </c>
      <c r="V551" s="160">
        <f t="shared" si="327"/>
        <v>1.3867954698534664</v>
      </c>
      <c r="W551" s="98" t="str">
        <f t="shared" si="318"/>
        <v>1-13.9541675776323i</v>
      </c>
      <c r="X551" s="160">
        <f t="shared" si="328"/>
        <v>13.989953280288125</v>
      </c>
      <c r="Y551" s="160">
        <f t="shared" si="329"/>
        <v>-1.499255449870786</v>
      </c>
      <c r="Z551" s="98" t="str">
        <f t="shared" si="319"/>
        <v>-93.4397085981149+15.9957192949002i</v>
      </c>
      <c r="AA551" s="160">
        <f t="shared" si="330"/>
        <v>94.798956632770327</v>
      </c>
      <c r="AB551" s="160">
        <f t="shared" si="331"/>
        <v>2.9720484827147224</v>
      </c>
      <c r="AC551" s="171" t="str">
        <f t="shared" si="332"/>
        <v>-0.0000948691417375927+0.00165147711103741i</v>
      </c>
      <c r="AD551" s="190">
        <f t="shared" si="333"/>
        <v>-55.628240999682973</v>
      </c>
      <c r="AE551" s="169">
        <f t="shared" si="334"/>
        <v>93.287744144696845</v>
      </c>
      <c r="AF551" s="98" t="str">
        <f t="shared" si="320"/>
        <v>-0.0000816326530612245</v>
      </c>
      <c r="AG551" s="98" t="str">
        <f t="shared" si="321"/>
        <v>0.298485970374858i</v>
      </c>
      <c r="AH551" s="98">
        <f t="shared" si="335"/>
        <v>0.29848597037485802</v>
      </c>
      <c r="AI551" s="98">
        <f t="shared" si="336"/>
        <v>1.5707963267948966</v>
      </c>
      <c r="AJ551" s="98" t="str">
        <f t="shared" si="322"/>
        <v>1+33.0643217844907i</v>
      </c>
      <c r="AK551" s="98">
        <f t="shared" si="337"/>
        <v>33.079440368125134</v>
      </c>
      <c r="AL551" s="98">
        <f t="shared" si="338"/>
        <v>1.5405614629957549</v>
      </c>
      <c r="AM551" s="98" t="str">
        <f t="shared" si="323"/>
        <v>1+3339.49650023356i</v>
      </c>
      <c r="AN551" s="98">
        <f t="shared" si="339"/>
        <v>3339.4966499567254</v>
      </c>
      <c r="AO551" s="98">
        <f t="shared" si="340"/>
        <v>1.5704968804651758</v>
      </c>
      <c r="AP551" s="168" t="str">
        <f t="shared" si="341"/>
        <v>-0.000826386663841453+0.0275974036504276i</v>
      </c>
      <c r="AQ551" s="98">
        <f t="shared" si="342"/>
        <v>-31.178743063145106</v>
      </c>
      <c r="AR551" s="169">
        <f t="shared" si="343"/>
        <v>91.715173078960007</v>
      </c>
      <c r="AS551" s="168" t="str">
        <f t="shared" si="344"/>
        <v>-0.0000454980818591994-0.0000039829006587027i</v>
      </c>
      <c r="AT551" s="190">
        <f t="shared" si="345"/>
        <v>-86.806984062828093</v>
      </c>
      <c r="AU551" s="169">
        <f t="shared" si="346"/>
        <v>-174.99708277634315</v>
      </c>
      <c r="AV551" s="225"/>
      <c r="AX551">
        <f t="shared" si="347"/>
        <v>0</v>
      </c>
      <c r="AY551">
        <f t="shared" si="348"/>
        <v>0</v>
      </c>
    </row>
    <row r="552" spans="14:51" x14ac:dyDescent="0.2">
      <c r="N552" s="170">
        <v>34</v>
      </c>
      <c r="O552" s="199">
        <f t="shared" si="314"/>
        <v>2187761.6239495561</v>
      </c>
      <c r="P552" s="189" t="str">
        <f t="shared" si="315"/>
        <v>6.8875</v>
      </c>
      <c r="Q552" s="160" t="str">
        <f t="shared" si="316"/>
        <v>1+3436.5279228028i</v>
      </c>
      <c r="R552" s="160">
        <f t="shared" si="324"/>
        <v>3436.5280682984862</v>
      </c>
      <c r="S552" s="160">
        <f t="shared" si="325"/>
        <v>1.5705053354238854</v>
      </c>
      <c r="T552" s="160" t="str">
        <f t="shared" si="317"/>
        <v>1+5.49844467648448i</v>
      </c>
      <c r="U552" s="160">
        <f t="shared" si="326"/>
        <v>5.588639714667651</v>
      </c>
      <c r="V552" s="160">
        <f t="shared" si="327"/>
        <v>1.3908930430222486</v>
      </c>
      <c r="W552" s="98" t="str">
        <f t="shared" si="318"/>
        <v>1-14.2792018953025i</v>
      </c>
      <c r="X552" s="160">
        <f t="shared" si="328"/>
        <v>14.314175029208302</v>
      </c>
      <c r="Y552" s="160">
        <f t="shared" si="329"/>
        <v>-1.5008785556352311</v>
      </c>
      <c r="Z552" s="98" t="str">
        <f t="shared" si="319"/>
        <v>-97.890514942694+16.3683074609615i</v>
      </c>
      <c r="AA552" s="160">
        <f t="shared" si="330"/>
        <v>99.249556194888683</v>
      </c>
      <c r="AB552" s="160">
        <f t="shared" si="331"/>
        <v>2.9759150317245249</v>
      </c>
      <c r="AC552" s="171" t="str">
        <f t="shared" si="332"/>
        <v>-0.0000903890140507651+0.00161288966989628i</v>
      </c>
      <c r="AD552" s="190">
        <f t="shared" si="333"/>
        <v>-55.834288420283855</v>
      </c>
      <c r="AE552" s="169">
        <f t="shared" si="334"/>
        <v>93.2075953897711</v>
      </c>
      <c r="AF552" s="98" t="str">
        <f t="shared" si="320"/>
        <v>-0.0000816326530612245</v>
      </c>
      <c r="AG552" s="98" t="str">
        <f t="shared" si="321"/>
        <v>0.305438601778713i</v>
      </c>
      <c r="AH552" s="98">
        <f t="shared" si="335"/>
        <v>0.30543860177871301</v>
      </c>
      <c r="AI552" s="98">
        <f t="shared" si="336"/>
        <v>1.5707963267948966</v>
      </c>
      <c r="AJ552" s="98" t="str">
        <f t="shared" si="322"/>
        <v>1+33.8344887765852i</v>
      </c>
      <c r="AK552" s="98">
        <f t="shared" si="337"/>
        <v>33.849263371200109</v>
      </c>
      <c r="AL552" s="98">
        <f t="shared" si="338"/>
        <v>1.541249287367674</v>
      </c>
      <c r="AM552" s="98" t="str">
        <f t="shared" si="323"/>
        <v>1+3417.28336643511i</v>
      </c>
      <c r="AN552" s="98">
        <f t="shared" si="339"/>
        <v>3417.2835127501608</v>
      </c>
      <c r="AO552" s="98">
        <f t="shared" si="340"/>
        <v>1.5705036966954211</v>
      </c>
      <c r="AP552" s="168" t="str">
        <f t="shared" si="341"/>
        <v>-0.000789225598680397+0.0269703083680367i</v>
      </c>
      <c r="AQ552" s="98">
        <f t="shared" si="342"/>
        <v>-31.378564447958382</v>
      </c>
      <c r="AR552" s="169">
        <f t="shared" si="343"/>
        <v>91.676154186628054</v>
      </c>
      <c r="AS552" s="168" t="str">
        <f t="shared" si="344"/>
        <v>-0.0000434287944369953-3.71075339736126E-06i</v>
      </c>
      <c r="AT552" s="190">
        <f t="shared" si="345"/>
        <v>-87.212852868242237</v>
      </c>
      <c r="AU552" s="169">
        <f t="shared" si="346"/>
        <v>-175.11625042360083</v>
      </c>
      <c r="AV552" s="225"/>
      <c r="AX552">
        <f t="shared" si="347"/>
        <v>0</v>
      </c>
      <c r="AY552">
        <f t="shared" si="348"/>
        <v>0</v>
      </c>
    </row>
    <row r="553" spans="14:51" x14ac:dyDescent="0.2">
      <c r="N553" s="170">
        <v>35</v>
      </c>
      <c r="O553" s="199">
        <f t="shared" si="314"/>
        <v>2238721.1385683389</v>
      </c>
      <c r="P553" s="189" t="str">
        <f t="shared" si="315"/>
        <v>6.8875</v>
      </c>
      <c r="Q553" s="160" t="str">
        <f t="shared" si="316"/>
        <v>1+3516.57494118122i</v>
      </c>
      <c r="R553" s="160">
        <f t="shared" si="324"/>
        <v>3516.5750833650209</v>
      </c>
      <c r="S553" s="160">
        <f t="shared" si="325"/>
        <v>1.5705119591958063</v>
      </c>
      <c r="T553" s="160" t="str">
        <f t="shared" si="317"/>
        <v>1+5.62651990588996i</v>
      </c>
      <c r="U553" s="160">
        <f t="shared" si="326"/>
        <v>5.7146938895601371</v>
      </c>
      <c r="V553" s="160">
        <f t="shared" si="327"/>
        <v>1.3949032540014636</v>
      </c>
      <c r="W553" s="98" t="str">
        <f t="shared" si="318"/>
        <v>1-14.611807234825i</v>
      </c>
      <c r="X553" s="160">
        <f t="shared" si="328"/>
        <v>14.645986162347832</v>
      </c>
      <c r="Y553" s="160">
        <f t="shared" si="329"/>
        <v>-1.5024650716352825</v>
      </c>
      <c r="Z553" s="98" t="str">
        <f t="shared" si="319"/>
        <v>-102.551081327948+16.7495743202986i</v>
      </c>
      <c r="AA553" s="160">
        <f t="shared" si="330"/>
        <v>103.90992503819166</v>
      </c>
      <c r="AB553" s="160">
        <f t="shared" si="331"/>
        <v>2.9796930996344195</v>
      </c>
      <c r="AC553" s="171" t="str">
        <f t="shared" si="332"/>
        <v>-0.0000861288645272108+0.00157524489211606i</v>
      </c>
      <c r="AD553" s="190">
        <f t="shared" si="333"/>
        <v>-56.04007445236747</v>
      </c>
      <c r="AE553" s="169">
        <f t="shared" si="334"/>
        <v>93.129616022777967</v>
      </c>
      <c r="AF553" s="98" t="str">
        <f t="shared" si="320"/>
        <v>-0.0000816326530612245</v>
      </c>
      <c r="AG553" s="98" t="str">
        <f t="shared" si="321"/>
        <v>0.312553180772188i</v>
      </c>
      <c r="AH553" s="98">
        <f t="shared" si="335"/>
        <v>0.31255318077218802</v>
      </c>
      <c r="AI553" s="98">
        <f t="shared" si="336"/>
        <v>1.5707963267948966</v>
      </c>
      <c r="AJ553" s="98" t="str">
        <f t="shared" si="322"/>
        <v>1+34.6225952624813i</v>
      </c>
      <c r="AK553" s="98">
        <f t="shared" si="337"/>
        <v>34.637033688085822</v>
      </c>
      <c r="AL553" s="98">
        <f t="shared" si="338"/>
        <v>1.5419214819693143</v>
      </c>
      <c r="AM553" s="98" t="str">
        <f t="shared" si="323"/>
        <v>1+3496.88212151061i</v>
      </c>
      <c r="AN553" s="98">
        <f t="shared" si="339"/>
        <v>3496.8822644951238</v>
      </c>
      <c r="AO553" s="98">
        <f t="shared" si="340"/>
        <v>1.5705103577693498</v>
      </c>
      <c r="AP553" s="168" t="str">
        <f t="shared" si="341"/>
        <v>-0.000753734203081368+0.0263574142913507i</v>
      </c>
      <c r="AQ553" s="98">
        <f t="shared" si="342"/>
        <v>-31.578393864920173</v>
      </c>
      <c r="AR553" s="169">
        <f t="shared" si="343"/>
        <v>91.638021924365731</v>
      </c>
      <c r="AS553" s="168" t="str">
        <f t="shared" si="344"/>
        <v>-0.0000414544639607703-3.45745011820441E-06i</v>
      </c>
      <c r="AT553" s="190">
        <f t="shared" si="345"/>
        <v>-87.618468317287636</v>
      </c>
      <c r="AU553" s="169">
        <f t="shared" si="346"/>
        <v>-175.23236205285627</v>
      </c>
      <c r="AV553" s="225"/>
      <c r="AX553">
        <f t="shared" si="347"/>
        <v>0</v>
      </c>
      <c r="AY553">
        <f t="shared" si="348"/>
        <v>0</v>
      </c>
    </row>
    <row r="554" spans="14:51" x14ac:dyDescent="0.2">
      <c r="N554" s="170">
        <v>36</v>
      </c>
      <c r="O554" s="199">
        <f t="shared" si="314"/>
        <v>2290867.6527677765</v>
      </c>
      <c r="P554" s="189" t="str">
        <f t="shared" si="315"/>
        <v>6.8875</v>
      </c>
      <c r="Q554" s="160" t="str">
        <f t="shared" si="316"/>
        <v>1+3598.48649414088i</v>
      </c>
      <c r="R554" s="160">
        <f t="shared" si="324"/>
        <v>3598.4866330881823</v>
      </c>
      <c r="S554" s="160">
        <f t="shared" si="325"/>
        <v>1.5705184321922945</v>
      </c>
      <c r="T554" s="160" t="str">
        <f t="shared" si="317"/>
        <v>1+5.7575783906254i</v>
      </c>
      <c r="U554" s="160">
        <f t="shared" si="326"/>
        <v>5.8437752287538043</v>
      </c>
      <c r="V554" s="160">
        <f t="shared" si="327"/>
        <v>1.3988277128721409</v>
      </c>
      <c r="W554" s="98" t="str">
        <f t="shared" si="318"/>
        <v>1-14.9521599479538i</v>
      </c>
      <c r="X554" s="160">
        <f t="shared" si="328"/>
        <v>14.985562622377374</v>
      </c>
      <c r="Y554" s="160">
        <f t="shared" si="329"/>
        <v>-1.504015807098269</v>
      </c>
      <c r="Z554" s="98" t="str">
        <f t="shared" si="319"/>
        <v>-107.431293440037+17.1397220256473i</v>
      </c>
      <c r="AA554" s="160">
        <f t="shared" si="330"/>
        <v>108.78994843879555</v>
      </c>
      <c r="AB554" s="160">
        <f t="shared" si="331"/>
        <v>2.9833847299633334</v>
      </c>
      <c r="AC554" s="171" t="str">
        <f t="shared" si="332"/>
        <v>-0.0000820772003635684+0.00153851725780476i</v>
      </c>
      <c r="AD554" s="190">
        <f t="shared" si="333"/>
        <v>-56.245609936706167</v>
      </c>
      <c r="AE554" s="169">
        <f t="shared" si="334"/>
        <v>93.053734643021201</v>
      </c>
      <c r="AF554" s="98" t="str">
        <f t="shared" si="320"/>
        <v>-0.0000816326530612245</v>
      </c>
      <c r="AG554" s="98" t="str">
        <f t="shared" si="321"/>
        <v>0.319833479599241i</v>
      </c>
      <c r="AH554" s="98">
        <f t="shared" si="335"/>
        <v>0.31983347959924102</v>
      </c>
      <c r="AI554" s="98">
        <f t="shared" si="336"/>
        <v>1.5707963267948966</v>
      </c>
      <c r="AJ554" s="98" t="str">
        <f t="shared" si="322"/>
        <v>1+35.4290591066702i</v>
      </c>
      <c r="AK554" s="98">
        <f t="shared" si="337"/>
        <v>35.443169005944306</v>
      </c>
      <c r="AL554" s="98">
        <f t="shared" si="338"/>
        <v>1.5425784007759358</v>
      </c>
      <c r="AM554" s="98" t="str">
        <f t="shared" si="323"/>
        <v>1+3578.33496977369i</v>
      </c>
      <c r="AN554" s="98">
        <f t="shared" si="339"/>
        <v>3578.3351095034786</v>
      </c>
      <c r="AO554" s="98">
        <f t="shared" si="340"/>
        <v>1.5705168672187488</v>
      </c>
      <c r="AP554" s="168" t="str">
        <f t="shared" si="341"/>
        <v>-0.000719837580338858+0.0257584030400035i</v>
      </c>
      <c r="AQ554" s="98">
        <f t="shared" si="342"/>
        <v>-31.778230953127348</v>
      </c>
      <c r="AR554" s="169">
        <f t="shared" si="343"/>
        <v>91.600756213241084</v>
      </c>
      <c r="AS554" s="168" t="str">
        <f t="shared" si="344"/>
        <v>-0.0000395706653572253-3.22166014752767E-06i</v>
      </c>
      <c r="AT554" s="190">
        <f t="shared" si="345"/>
        <v>-88.023840889833508</v>
      </c>
      <c r="AU554" s="169">
        <f t="shared" si="346"/>
        <v>-175.34550914373773</v>
      </c>
      <c r="AV554" s="225"/>
      <c r="AX554">
        <f t="shared" si="347"/>
        <v>0</v>
      </c>
      <c r="AY554">
        <f t="shared" si="348"/>
        <v>0</v>
      </c>
    </row>
    <row r="555" spans="14:51" x14ac:dyDescent="0.2">
      <c r="N555" s="170">
        <v>37</v>
      </c>
      <c r="O555" s="199">
        <f t="shared" si="314"/>
        <v>2344228.8153199251</v>
      </c>
      <c r="P555" s="189" t="str">
        <f t="shared" si="315"/>
        <v>6.8875</v>
      </c>
      <c r="Q555" s="160" t="str">
        <f t="shared" si="316"/>
        <v>1+3682.3060122713i</v>
      </c>
      <c r="R555" s="160">
        <f t="shared" si="324"/>
        <v>3682.3061480557753</v>
      </c>
      <c r="S555" s="160">
        <f t="shared" si="325"/>
        <v>1.5705247578454165</v>
      </c>
      <c r="T555" s="160" t="str">
        <f t="shared" si="317"/>
        <v>1+5.89168961963408i</v>
      </c>
      <c r="U555" s="160">
        <f t="shared" si="326"/>
        <v>5.9759523570811686</v>
      </c>
      <c r="V555" s="160">
        <f t="shared" si="327"/>
        <v>1.4026680166572132</v>
      </c>
      <c r="W555" s="98" t="str">
        <f t="shared" si="318"/>
        <v>1-15.3004404942021i</v>
      </c>
      <c r="X555" s="160">
        <f t="shared" si="328"/>
        <v>15.333084468449893</v>
      </c>
      <c r="Y555" s="160">
        <f t="shared" si="329"/>
        <v>-1.5055315543944505</v>
      </c>
      <c r="Z555" s="98" t="str">
        <f t="shared" si="319"/>
        <v>-112.541502863147+17.538957438485i</v>
      </c>
      <c r="AA555" s="160">
        <f t="shared" si="330"/>
        <v>113.89997758878056</v>
      </c>
      <c r="AB555" s="160">
        <f t="shared" si="331"/>
        <v>2.986991917940641</v>
      </c>
      <c r="AC555" s="171" t="str">
        <f t="shared" si="332"/>
        <v>-0.0000782231833253604+0.00150268207423686i</v>
      </c>
      <c r="AD555" s="190">
        <f t="shared" si="333"/>
        <v>-56.450905304191828</v>
      </c>
      <c r="AE555" s="169">
        <f t="shared" si="334"/>
        <v>92.979882838837767</v>
      </c>
      <c r="AF555" s="98" t="str">
        <f t="shared" si="320"/>
        <v>-0.0000816326530612245</v>
      </c>
      <c r="AG555" s="98" t="str">
        <f t="shared" si="321"/>
        <v>0.327283358370672i</v>
      </c>
      <c r="AH555" s="98">
        <f t="shared" si="335"/>
        <v>0.32728335837067202</v>
      </c>
      <c r="AI555" s="98">
        <f t="shared" si="336"/>
        <v>1.5707963267948966</v>
      </c>
      <c r="AJ555" s="98" t="str">
        <f t="shared" si="322"/>
        <v>1+36.2543079069563i</v>
      </c>
      <c r="AK555" s="98">
        <f t="shared" si="337"/>
        <v>36.268096749242225</v>
      </c>
      <c r="AL555" s="98">
        <f t="shared" si="338"/>
        <v>1.5432203898253805</v>
      </c>
      <c r="AM555" s="98" t="str">
        <f t="shared" si="323"/>
        <v>1+3661.68509860258i</v>
      </c>
      <c r="AN555" s="98">
        <f t="shared" si="339"/>
        <v>3661.6852351517309</v>
      </c>
      <c r="AO555" s="98">
        <f t="shared" si="340"/>
        <v>1.5705232284950126</v>
      </c>
      <c r="AP555" s="168" t="str">
        <f t="shared" si="341"/>
        <v>-0.000687464182625969+0.0251729631562025i</v>
      </c>
      <c r="AQ555" s="98">
        <f t="shared" si="342"/>
        <v>-31.978075367866889</v>
      </c>
      <c r="AR555" s="169">
        <f t="shared" si="343"/>
        <v>91.564337424496486</v>
      </c>
      <c r="AS555" s="168" t="str">
        <f t="shared" si="344"/>
        <v>-0.0000377731848534633-3.00214941572211E-06i</v>
      </c>
      <c r="AT555" s="190">
        <f t="shared" si="345"/>
        <v>-88.428980672058714</v>
      </c>
      <c r="AU555" s="169">
        <f t="shared" si="346"/>
        <v>-175.45577973666573</v>
      </c>
      <c r="AV555" s="225"/>
      <c r="AX555">
        <f t="shared" si="347"/>
        <v>0</v>
      </c>
      <c r="AY555">
        <f t="shared" si="348"/>
        <v>0</v>
      </c>
    </row>
    <row r="556" spans="14:51" x14ac:dyDescent="0.2">
      <c r="N556" s="170">
        <v>38</v>
      </c>
      <c r="O556" s="199">
        <f t="shared" si="314"/>
        <v>2398832.9190194933</v>
      </c>
      <c r="P556" s="189" t="str">
        <f t="shared" si="315"/>
        <v>6.8875</v>
      </c>
      <c r="Q556" s="160" t="str">
        <f t="shared" si="316"/>
        <v>1+3768.0779377905i</v>
      </c>
      <c r="R556" s="160">
        <f t="shared" si="324"/>
        <v>3768.0780704841436</v>
      </c>
      <c r="S556" s="160">
        <f t="shared" si="325"/>
        <v>1.5705309395091152</v>
      </c>
      <c r="T556" s="160" t="str">
        <f t="shared" si="317"/>
        <v>1+6.0289247004648i</v>
      </c>
      <c r="U556" s="160">
        <f t="shared" si="326"/>
        <v>6.1112955290899302</v>
      </c>
      <c r="V556" s="160">
        <f t="shared" si="327"/>
        <v>1.4064257482173688</v>
      </c>
      <c r="W556" s="98" t="str">
        <f t="shared" si="318"/>
        <v>1-15.6568335365256i</v>
      </c>
      <c r="X556" s="160">
        <f t="shared" si="328"/>
        <v>15.688735971724194</v>
      </c>
      <c r="Y556" s="160">
        <f t="shared" si="329"/>
        <v>-1.5070130893181095</v>
      </c>
      <c r="Z556" s="98" t="str">
        <f t="shared" si="319"/>
        <v>-117.892549036603+17.9474922387121i</v>
      </c>
      <c r="AA556" s="160">
        <f t="shared" si="330"/>
        <v>119.25085155254227</v>
      </c>
      <c r="AB556" s="160">
        <f t="shared" si="331"/>
        <v>2.9905166117030473</v>
      </c>
      <c r="AC556" s="171" t="str">
        <f t="shared" si="332"/>
        <v>-0.0000745565885660868+0.00146771544327356i</v>
      </c>
      <c r="AD556" s="190">
        <f t="shared" si="333"/>
        <v>-56.655970587820832</v>
      </c>
      <c r="AE556" s="169">
        <f t="shared" si="334"/>
        <v>92.907995039548609</v>
      </c>
      <c r="AF556" s="98" t="str">
        <f t="shared" si="320"/>
        <v>-0.0000816326530612245</v>
      </c>
      <c r="AG556" s="98" t="str">
        <f t="shared" si="321"/>
        <v>0.33490676711082i</v>
      </c>
      <c r="AH556" s="98">
        <f t="shared" si="335"/>
        <v>0.33490676711082001</v>
      </c>
      <c r="AI556" s="98">
        <f t="shared" si="336"/>
        <v>1.5707963267948966</v>
      </c>
      <c r="AJ556" s="98" t="str">
        <f t="shared" si="322"/>
        <v>1+37.098779221177i</v>
      </c>
      <c r="AK556" s="98">
        <f t="shared" si="337"/>
        <v>37.112254306382873</v>
      </c>
      <c r="AL556" s="98">
        <f t="shared" si="338"/>
        <v>1.5438477873907623</v>
      </c>
      <c r="AM556" s="98" t="str">
        <f t="shared" si="323"/>
        <v>1+3746.97670133888i</v>
      </c>
      <c r="AN556" s="98">
        <f t="shared" si="339"/>
        <v>3746.9768347797926</v>
      </c>
      <c r="AO556" s="98">
        <f t="shared" si="340"/>
        <v>1.5705294449709715</v>
      </c>
      <c r="AP556" s="168" t="str">
        <f t="shared" si="341"/>
        <v>-0.000656545662203185+0.0246007899687136i</v>
      </c>
      <c r="AQ556" s="98">
        <f t="shared" si="342"/>
        <v>-32.177926779892296</v>
      </c>
      <c r="AR556" s="169">
        <f t="shared" si="343"/>
        <v>91.528746369759205</v>
      </c>
      <c r="AS556" s="168" t="str">
        <f t="shared" si="344"/>
        <v>-0.0000360580095489985-2.79777318372798E-06i</v>
      </c>
      <c r="AT556" s="190">
        <f t="shared" si="345"/>
        <v>-88.833897367713135</v>
      </c>
      <c r="AU556" s="169">
        <f t="shared" si="346"/>
        <v>-175.56325859069216</v>
      </c>
      <c r="AV556" s="225"/>
      <c r="AX556">
        <f t="shared" si="347"/>
        <v>0</v>
      </c>
      <c r="AY556">
        <f t="shared" si="348"/>
        <v>0</v>
      </c>
    </row>
    <row r="557" spans="14:51" x14ac:dyDescent="0.2">
      <c r="N557" s="170">
        <v>39</v>
      </c>
      <c r="O557" s="199">
        <f t="shared" si="314"/>
        <v>2454708.915685033</v>
      </c>
      <c r="P557" s="189" t="str">
        <f t="shared" si="315"/>
        <v>6.8875</v>
      </c>
      <c r="Q557" s="160" t="str">
        <f t="shared" si="316"/>
        <v>1+3855.84774810873i</v>
      </c>
      <c r="R557" s="160">
        <f t="shared" si="324"/>
        <v>3855.8478777818968</v>
      </c>
      <c r="S557" s="160">
        <f t="shared" si="325"/>
        <v>1.5705369804609886</v>
      </c>
      <c r="T557" s="160" t="str">
        <f t="shared" si="317"/>
        <v>1+6.16935639697396i</v>
      </c>
      <c r="U557" s="160">
        <f t="shared" si="326"/>
        <v>6.2498766670138002</v>
      </c>
      <c r="V557" s="160">
        <f t="shared" si="327"/>
        <v>1.4101024752479614</v>
      </c>
      <c r="W557" s="98" t="str">
        <f t="shared" si="318"/>
        <v>1-16.0215280392329i</v>
      </c>
      <c r="X557" s="160">
        <f t="shared" si="328"/>
        <v>16.052705713116591</v>
      </c>
      <c r="Y557" s="160">
        <f t="shared" si="329"/>
        <v>-1.5084611713689036</v>
      </c>
      <c r="Z557" s="98" t="str">
        <f t="shared" si="319"/>
        <v>-123.495782246768+18.3655430368873i</v>
      </c>
      <c r="AA557" s="160">
        <f t="shared" si="330"/>
        <v>124.85392025795946</v>
      </c>
      <c r="AB557" s="160">
        <f t="shared" si="331"/>
        <v>2.9939607134599124</v>
      </c>
      <c r="AC557" s="171" t="str">
        <f t="shared" si="332"/>
        <v>-0.0000710677662841922+0.00143359423015351i</v>
      </c>
      <c r="AD557" s="190">
        <f t="shared" si="333"/>
        <v>-56.860815434657603</v>
      </c>
      <c r="AE557" s="169">
        <f t="shared" si="334"/>
        <v>92.838008374995539</v>
      </c>
      <c r="AF557" s="98" t="str">
        <f t="shared" si="320"/>
        <v>-0.0000816326530612245</v>
      </c>
      <c r="AG557" s="98" t="str">
        <f t="shared" si="321"/>
        <v>0.342707747851904i</v>
      </c>
      <c r="AH557" s="98">
        <f t="shared" si="335"/>
        <v>0.342707747851904</v>
      </c>
      <c r="AI557" s="98">
        <f t="shared" si="336"/>
        <v>1.5707963267948966</v>
      </c>
      <c r="AJ557" s="98" t="str">
        <f t="shared" si="322"/>
        <v>1+37.9629207992012i</v>
      </c>
      <c r="AK557" s="98">
        <f t="shared" si="337"/>
        <v>37.976089261618597</v>
      </c>
      <c r="AL557" s="98">
        <f t="shared" si="338"/>
        <v>1.544460924149756</v>
      </c>
      <c r="AM557" s="98" t="str">
        <f t="shared" si="323"/>
        <v>1+3834.25500071932i</v>
      </c>
      <c r="AN557" s="98">
        <f t="shared" si="339"/>
        <v>3834.2551311227467</v>
      </c>
      <c r="AO557" s="98">
        <f t="shared" si="340"/>
        <v>1.5705355199426818</v>
      </c>
      <c r="AP557" s="168" t="str">
        <f t="shared" si="341"/>
        <v>-0.000627016729154451+0.0240415854585169i</v>
      </c>
      <c r="AQ557" s="98">
        <f t="shared" si="342"/>
        <v>-32.377784874731368</v>
      </c>
      <c r="AR557" s="169">
        <f t="shared" si="343"/>
        <v>91.493964291444215</v>
      </c>
      <c r="AS557" s="168" t="str">
        <f t="shared" si="344"/>
        <v>-0.0000344213175187085-2.60746934159286E-06i</v>
      </c>
      <c r="AT557" s="190">
        <f t="shared" si="345"/>
        <v>-89.238600309388971</v>
      </c>
      <c r="AU557" s="169">
        <f t="shared" si="346"/>
        <v>-175.66802733356022</v>
      </c>
      <c r="AV557" s="225"/>
      <c r="AX557">
        <f t="shared" si="347"/>
        <v>0</v>
      </c>
      <c r="AY557">
        <f t="shared" si="348"/>
        <v>0</v>
      </c>
    </row>
    <row r="558" spans="14:51" x14ac:dyDescent="0.2">
      <c r="N558" s="170">
        <v>40</v>
      </c>
      <c r="O558" s="199">
        <f t="shared" si="314"/>
        <v>2511886.431509587</v>
      </c>
      <c r="P558" s="189" t="str">
        <f t="shared" si="315"/>
        <v>6.8875</v>
      </c>
      <c r="Q558" s="160" t="str">
        <f t="shared" si="316"/>
        <v>1+3945.6619799412i</v>
      </c>
      <c r="R558" s="160">
        <f t="shared" si="324"/>
        <v>3945.6621066626467</v>
      </c>
      <c r="S558" s="160">
        <f t="shared" si="325"/>
        <v>1.5705428839040274</v>
      </c>
      <c r="T558" s="160" t="str">
        <f t="shared" si="317"/>
        <v>1+6.31305916790592i</v>
      </c>
      <c r="U558" s="160">
        <f t="shared" si="326"/>
        <v>6.3917693995857672</v>
      </c>
      <c r="V558" s="160">
        <f t="shared" si="327"/>
        <v>1.4136997493713643</v>
      </c>
      <c r="W558" s="98" t="str">
        <f t="shared" si="318"/>
        <v>1-16.3947173681767i</v>
      </c>
      <c r="X558" s="160">
        <f t="shared" si="328"/>
        <v>16.425186683334676</v>
      </c>
      <c r="Y558" s="160">
        <f t="shared" si="329"/>
        <v>-1.5098765440330546</v>
      </c>
      <c r="Z558" s="98" t="str">
        <f t="shared" si="319"/>
        <v>-129.36308770252+18.7933314890774i</v>
      </c>
      <c r="AA558" s="160">
        <f t="shared" si="330"/>
        <v>130.72106857116884</v>
      </c>
      <c r="AB558" s="160">
        <f t="shared" si="331"/>
        <v>2.9973260806278108</v>
      </c>
      <c r="AC558" s="171" t="str">
        <f t="shared" si="332"/>
        <v>-0.000067747606009603+0.0014002960336116i</v>
      </c>
      <c r="AD558" s="190">
        <f t="shared" si="333"/>
        <v>-57.065449117739533</v>
      </c>
      <c r="AE558" s="169">
        <f t="shared" si="334"/>
        <v>92.769862542320908</v>
      </c>
      <c r="AF558" s="98" t="str">
        <f t="shared" si="320"/>
        <v>-0.0000816326530612245</v>
      </c>
      <c r="AG558" s="98" t="str">
        <f t="shared" si="321"/>
        <v>0.350690436777174i</v>
      </c>
      <c r="AH558" s="98">
        <f t="shared" si="335"/>
        <v>0.35069043677717399</v>
      </c>
      <c r="AI558" s="98">
        <f t="shared" si="336"/>
        <v>1.5707963267948966</v>
      </c>
      <c r="AJ558" s="98" t="str">
        <f t="shared" si="322"/>
        <v>1+38.847190820332i</v>
      </c>
      <c r="AK558" s="98">
        <f t="shared" si="337"/>
        <v>38.860059632369158</v>
      </c>
      <c r="AL558" s="98">
        <f t="shared" si="338"/>
        <v>1.5450601233505259</v>
      </c>
      <c r="AM558" s="98" t="str">
        <f t="shared" si="323"/>
        <v>1+3923.56627285353i</v>
      </c>
      <c r="AN558" s="98">
        <f t="shared" si="339"/>
        <v>3923.5664002886128</v>
      </c>
      <c r="AO558" s="98">
        <f t="shared" si="340"/>
        <v>1.570541456631172</v>
      </c>
      <c r="AP558" s="168" t="str">
        <f t="shared" si="341"/>
        <v>-0.00059881501537151+0.0234950581261845i</v>
      </c>
      <c r="AQ558" s="98">
        <f t="shared" si="342"/>
        <v>-32.57764935202551</v>
      </c>
      <c r="AR558" s="169">
        <f t="shared" si="343"/>
        <v>91.459972853347253</v>
      </c>
      <c r="AS558" s="168" t="str">
        <f t="shared" si="344"/>
        <v>-0.0000328594684198361-2.43025223199726E-06i</v>
      </c>
      <c r="AT558" s="190">
        <f t="shared" si="345"/>
        <v>-89.64309846976505</v>
      </c>
      <c r="AU558" s="169">
        <f t="shared" si="346"/>
        <v>-175.77016460433182</v>
      </c>
      <c r="AV558" s="225"/>
      <c r="AX558">
        <f t="shared" si="347"/>
        <v>0</v>
      </c>
      <c r="AY558">
        <f t="shared" si="348"/>
        <v>0</v>
      </c>
    </row>
    <row r="559" spans="14:51" x14ac:dyDescent="0.2">
      <c r="N559" s="170">
        <v>41</v>
      </c>
      <c r="O559" s="199">
        <f t="shared" si="314"/>
        <v>2570395.782768866</v>
      </c>
      <c r="P559" s="189" t="str">
        <f t="shared" si="315"/>
        <v>6.8875</v>
      </c>
      <c r="Q559" s="160" t="str">
        <f t="shared" si="316"/>
        <v>1+4037.56825398243i</v>
      </c>
      <c r="R559" s="160">
        <f t="shared" si="324"/>
        <v>4037.5683778193438</v>
      </c>
      <c r="S559" s="160">
        <f t="shared" si="325"/>
        <v>1.5705486529683139</v>
      </c>
      <c r="T559" s="160" t="str">
        <f t="shared" si="317"/>
        <v>1+6.46010920637188i</v>
      </c>
      <c r="U559" s="160">
        <f t="shared" si="326"/>
        <v>6.5370491017163648</v>
      </c>
      <c r="V559" s="160">
        <f t="shared" si="327"/>
        <v>1.4172191053193171</v>
      </c>
      <c r="W559" s="98" t="str">
        <f t="shared" si="318"/>
        <v>1-16.7765993932788i</v>
      </c>
      <c r="X559" s="160">
        <f t="shared" si="328"/>
        <v>16.806376385246242</v>
      </c>
      <c r="Y559" s="160">
        <f t="shared" si="329"/>
        <v>-1.5112599350639797</v>
      </c>
      <c r="Z559" s="98" t="str">
        <f t="shared" si="319"/>
        <v>-135.506910745371+19.2310844143821i</v>
      </c>
      <c r="AA559" s="160">
        <f t="shared" si="330"/>
        <v>136.86474150601035</v>
      </c>
      <c r="AB559" s="160">
        <f t="shared" si="331"/>
        <v>3.0006145269350943</v>
      </c>
      <c r="AC559" s="171" t="str">
        <f t="shared" si="332"/>
        <v>-0.0000645875033272637+0.00136779915728204i</v>
      </c>
      <c r="AD559" s="190">
        <f t="shared" si="333"/>
        <v>-57.269880547888981</v>
      </c>
      <c r="AE559" s="169">
        <f t="shared" si="334"/>
        <v>92.703499679656559</v>
      </c>
      <c r="AF559" s="98" t="str">
        <f t="shared" si="320"/>
        <v>-0.0000816326530612245</v>
      </c>
      <c r="AG559" s="98" t="str">
        <f t="shared" si="321"/>
        <v>0.358859066413958i</v>
      </c>
      <c r="AH559" s="98">
        <f t="shared" si="335"/>
        <v>0.35885906641395798</v>
      </c>
      <c r="AI559" s="98">
        <f t="shared" si="336"/>
        <v>1.5707963267948966</v>
      </c>
      <c r="AJ559" s="98" t="str">
        <f t="shared" si="322"/>
        <v>1+39.7520581362389i</v>
      </c>
      <c r="AK559" s="98">
        <f t="shared" si="337"/>
        <v>39.764634112071455</v>
      </c>
      <c r="AL559" s="98">
        <f t="shared" si="338"/>
        <v>1.5456457009743434</v>
      </c>
      <c r="AM559" s="98" t="str">
        <f t="shared" si="323"/>
        <v>1+4014.95787176013i</v>
      </c>
      <c r="AN559" s="98">
        <f t="shared" si="339"/>
        <v>4014.9579962944354</v>
      </c>
      <c r="AO559" s="98">
        <f t="shared" si="340"/>
        <v>1.5705472581841509</v>
      </c>
      <c r="AP559" s="168" t="str">
        <f t="shared" si="341"/>
        <v>-0.000571880944519034+0.0229609228610345i</v>
      </c>
      <c r="AQ559" s="98">
        <f t="shared" si="342"/>
        <v>-32.777519924897334</v>
      </c>
      <c r="AR559" s="169">
        <f t="shared" si="343"/>
        <v>91.426754131425525</v>
      </c>
      <c r="AS559" s="168" t="str">
        <f t="shared" si="344"/>
        <v>-0.000031368994577334-0.0000022652069556629i</v>
      </c>
      <c r="AT559" s="190">
        <f t="shared" si="345"/>
        <v>-90.047400472786308</v>
      </c>
      <c r="AU559" s="169">
        <f t="shared" si="346"/>
        <v>-175.8697461889179</v>
      </c>
      <c r="AV559" s="225"/>
      <c r="AX559">
        <f t="shared" si="347"/>
        <v>0</v>
      </c>
      <c r="AY559">
        <f t="shared" si="348"/>
        <v>0</v>
      </c>
    </row>
    <row r="560" spans="14:51" ht="16" thickBot="1" x14ac:dyDescent="0.25">
      <c r="N560" s="170">
        <v>42</v>
      </c>
      <c r="O560" s="199">
        <f t="shared" si="314"/>
        <v>2630267.9918953842</v>
      </c>
      <c r="P560" s="189" t="str">
        <f t="shared" si="315"/>
        <v>6.8875</v>
      </c>
      <c r="Q560" s="160" t="str">
        <f t="shared" si="316"/>
        <v>1+4131.61530015545i</v>
      </c>
      <c r="R560" s="160">
        <f t="shared" si="324"/>
        <v>4131.6154211734929</v>
      </c>
      <c r="S560" s="160">
        <f t="shared" si="325"/>
        <v>1.5705542907126808</v>
      </c>
      <c r="T560" s="160" t="str">
        <f t="shared" si="317"/>
        <v>1+6.61058448024872i</v>
      </c>
      <c r="U560" s="160">
        <f t="shared" si="326"/>
        <v>6.6857929350605261</v>
      </c>
      <c r="V560" s="160">
        <f t="shared" si="327"/>
        <v>1.4206620602000244</v>
      </c>
      <c r="W560" s="98" t="str">
        <f t="shared" si="318"/>
        <v>1-17.1673765934437i</v>
      </c>
      <c r="X560" s="160">
        <f t="shared" si="328"/>
        <v>17.196476938638291</v>
      </c>
      <c r="Y560" s="160">
        <f t="shared" si="329"/>
        <v>-1.5126120567620032</v>
      </c>
      <c r="Z560" s="98" t="str">
        <f t="shared" si="319"/>
        <v>-141.940283247714+19.6790339151968i</v>
      </c>
      <c r="AA560" s="160">
        <f t="shared" si="330"/>
        <v>143.29797062162726</v>
      </c>
      <c r="AB560" s="160">
        <f t="shared" si="331"/>
        <v>3.0038278234972324</v>
      </c>
      <c r="AC560" s="196" t="str">
        <f t="shared" si="332"/>
        <v>-0.0000615793288596059+0.00133608258234099i</v>
      </c>
      <c r="AD560" s="197">
        <f t="shared" si="333"/>
        <v>-57.474118285401786</v>
      </c>
      <c r="AE560" s="198">
        <f t="shared" si="334"/>
        <v>92.638864246397631</v>
      </c>
      <c r="AF560" s="98" t="str">
        <f t="shared" si="320"/>
        <v>-0.0000816326530612245</v>
      </c>
      <c r="AG560" s="98" t="str">
        <f t="shared" si="321"/>
        <v>0.367217967877817i</v>
      </c>
      <c r="AH560" s="98">
        <f t="shared" si="335"/>
        <v>0.36721796787781702</v>
      </c>
      <c r="AI560" s="98">
        <f t="shared" si="336"/>
        <v>1.5707963267948966</v>
      </c>
      <c r="AJ560" s="98" t="str">
        <f t="shared" si="322"/>
        <v>1+40.6780025195503i</v>
      </c>
      <c r="AK560" s="98">
        <f t="shared" si="337"/>
        <v>40.690292318691199</v>
      </c>
      <c r="AL560" s="98">
        <f t="shared" si="338"/>
        <v>1.546217965894934</v>
      </c>
      <c r="AM560" s="98" t="str">
        <f t="shared" si="323"/>
        <v>1+4108.47825447458i</v>
      </c>
      <c r="AN560" s="98">
        <f t="shared" si="339"/>
        <v>4108.4783761741392</v>
      </c>
      <c r="AO560" s="98">
        <f t="shared" si="340"/>
        <v>1.5705529276776777</v>
      </c>
      <c r="AP560" s="191" t="str">
        <f t="shared" si="341"/>
        <v>-0.000546157607723284+0.0224389008120948i</v>
      </c>
      <c r="AQ560" s="195">
        <f t="shared" si="342"/>
        <v>-32.977396319348124</v>
      </c>
      <c r="AR560" s="198">
        <f t="shared" si="343"/>
        <v>91.394290604763356</v>
      </c>
      <c r="AS560" s="191" t="str">
        <f t="shared" si="344"/>
        <v>-0.0000299465925229818-2.11148411924817E-06i</v>
      </c>
      <c r="AT560" s="197">
        <f t="shared" si="345"/>
        <v>-90.451514604749903</v>
      </c>
      <c r="AU560" s="198">
        <f t="shared" si="346"/>
        <v>-175.96684514883901</v>
      </c>
      <c r="AV560" s="225"/>
    </row>
    <row r="561" spans="14:30" x14ac:dyDescent="0.2">
      <c r="N561" s="170"/>
      <c r="P561" s="189"/>
      <c r="Q561" s="160"/>
      <c r="R561" s="160"/>
      <c r="S561" s="160"/>
      <c r="T561" s="160"/>
      <c r="U561" s="160"/>
      <c r="V561" s="160"/>
      <c r="X561" s="160"/>
      <c r="Y561" s="160"/>
      <c r="AA561" s="160"/>
      <c r="AB561" s="160"/>
      <c r="AC561" s="160"/>
      <c r="AD561" s="190"/>
    </row>
    <row r="562" spans="14:30" x14ac:dyDescent="0.2">
      <c r="N562" s="170"/>
      <c r="P562" s="189"/>
      <c r="Q562" s="160"/>
      <c r="R562" s="160"/>
      <c r="S562" s="160"/>
      <c r="T562" s="160"/>
      <c r="U562" s="160"/>
      <c r="V562" s="160"/>
      <c r="X562" s="160"/>
      <c r="Y562" s="160"/>
      <c r="AA562" s="160"/>
      <c r="AB562" s="160"/>
      <c r="AC562" s="160"/>
      <c r="AD562" s="190"/>
    </row>
    <row r="563" spans="14:30" x14ac:dyDescent="0.2">
      <c r="N563" s="170"/>
      <c r="P563" s="189"/>
      <c r="Q563" s="160"/>
      <c r="R563" s="160"/>
      <c r="S563" s="160"/>
      <c r="T563" s="160"/>
      <c r="U563" s="160"/>
      <c r="V563" s="160"/>
      <c r="X563" s="160"/>
      <c r="Y563" s="160"/>
      <c r="AA563" s="160"/>
      <c r="AB563" s="160"/>
      <c r="AC563" s="160"/>
      <c r="AD563" s="190"/>
    </row>
    <row r="564" spans="14:30" x14ac:dyDescent="0.2">
      <c r="N564" s="170"/>
      <c r="P564" s="189"/>
      <c r="Q564" s="160"/>
      <c r="R564" s="160"/>
      <c r="S564" s="160"/>
      <c r="T564" s="160"/>
      <c r="U564" s="160"/>
      <c r="V564" s="160"/>
      <c r="X564" s="160"/>
      <c r="Y564" s="160"/>
      <c r="AA564" s="160"/>
      <c r="AB564" s="160"/>
      <c r="AC564" s="160"/>
      <c r="AD564" s="190"/>
    </row>
    <row r="565" spans="14:30" x14ac:dyDescent="0.2">
      <c r="N565" s="170"/>
      <c r="P565" s="189"/>
      <c r="Q565" s="160"/>
      <c r="R565" s="160"/>
      <c r="S565" s="160"/>
      <c r="T565" s="160"/>
      <c r="U565" s="160"/>
      <c r="V565" s="160"/>
      <c r="X565" s="160"/>
      <c r="Y565" s="160"/>
      <c r="AA565" s="160"/>
      <c r="AB565" s="160"/>
      <c r="AC565" s="160"/>
      <c r="AD565" s="190"/>
    </row>
    <row r="566" spans="14:30" x14ac:dyDescent="0.2">
      <c r="N566" s="170"/>
      <c r="P566" s="189"/>
      <c r="Q566" s="160"/>
      <c r="R566" s="160"/>
      <c r="S566" s="160"/>
      <c r="T566" s="160"/>
      <c r="U566" s="160"/>
      <c r="V566" s="160"/>
      <c r="X566" s="160"/>
      <c r="Y566" s="160"/>
      <c r="AA566" s="160"/>
      <c r="AB566" s="160"/>
      <c r="AC566" s="160"/>
      <c r="AD566" s="190"/>
    </row>
    <row r="567" spans="14:30" x14ac:dyDescent="0.2">
      <c r="N567" s="170"/>
      <c r="P567" s="189"/>
      <c r="Q567" s="160"/>
      <c r="R567" s="160"/>
      <c r="S567" s="160"/>
      <c r="T567" s="160"/>
      <c r="U567" s="160"/>
      <c r="V567" s="160"/>
      <c r="X567" s="160"/>
      <c r="Y567" s="160"/>
      <c r="AA567" s="160"/>
      <c r="AB567" s="160"/>
      <c r="AC567" s="160"/>
      <c r="AD567" s="190"/>
    </row>
    <row r="568" spans="14:30" x14ac:dyDescent="0.2">
      <c r="N568" s="170"/>
      <c r="P568" s="189"/>
      <c r="Q568" s="160"/>
      <c r="R568" s="160"/>
      <c r="S568" s="160"/>
      <c r="T568" s="160"/>
      <c r="U568" s="160"/>
      <c r="V568" s="160"/>
      <c r="X568" s="160"/>
      <c r="Y568" s="160"/>
      <c r="AA568" s="160"/>
      <c r="AB568" s="160"/>
      <c r="AC568" s="160"/>
      <c r="AD568" s="190"/>
    </row>
    <row r="569" spans="14:30" x14ac:dyDescent="0.2">
      <c r="N569" s="170"/>
      <c r="P569" s="189"/>
      <c r="Q569" s="160"/>
      <c r="R569" s="160"/>
      <c r="S569" s="160"/>
      <c r="T569" s="160"/>
      <c r="U569" s="160"/>
      <c r="V569" s="160"/>
      <c r="X569" s="160"/>
      <c r="Y569" s="160"/>
      <c r="AA569" s="160"/>
      <c r="AB569" s="160"/>
      <c r="AC569" s="160"/>
      <c r="AD569" s="190"/>
    </row>
    <row r="570" spans="14:30" x14ac:dyDescent="0.2">
      <c r="N570" s="170"/>
      <c r="P570" s="189"/>
      <c r="Q570" s="160"/>
      <c r="R570" s="160"/>
      <c r="S570" s="160"/>
      <c r="T570" s="160"/>
      <c r="U570" s="160"/>
      <c r="V570" s="160"/>
      <c r="X570" s="160"/>
      <c r="Y570" s="160"/>
      <c r="AA570" s="160"/>
      <c r="AB570" s="160"/>
      <c r="AC570" s="160"/>
      <c r="AD570" s="190"/>
    </row>
    <row r="571" spans="14:30" x14ac:dyDescent="0.2">
      <c r="N571" s="170"/>
      <c r="P571" s="189"/>
      <c r="Q571" s="160"/>
      <c r="R571" s="160"/>
      <c r="S571" s="160"/>
      <c r="T571" s="160"/>
      <c r="U571" s="160"/>
      <c r="V571" s="160"/>
      <c r="X571" s="160"/>
      <c r="Y571" s="160"/>
      <c r="AA571" s="160"/>
      <c r="AB571" s="160"/>
      <c r="AC571" s="160"/>
      <c r="AD571" s="190"/>
    </row>
    <row r="572" spans="14:30" x14ac:dyDescent="0.2">
      <c r="N572" s="170"/>
      <c r="P572" s="189"/>
      <c r="Q572" s="160"/>
      <c r="R572" s="160"/>
      <c r="S572" s="160"/>
      <c r="T572" s="160"/>
      <c r="U572" s="160"/>
      <c r="V572" s="160"/>
      <c r="X572" s="160"/>
      <c r="Y572" s="160"/>
      <c r="AA572" s="160"/>
      <c r="AB572" s="160"/>
      <c r="AC572" s="160"/>
      <c r="AD572" s="190"/>
    </row>
    <row r="573" spans="14:30" x14ac:dyDescent="0.2">
      <c r="N573" s="170"/>
      <c r="P573" s="189"/>
      <c r="Q573" s="160"/>
      <c r="R573" s="160"/>
      <c r="S573" s="160"/>
      <c r="T573" s="160"/>
      <c r="U573" s="160"/>
      <c r="V573" s="160"/>
      <c r="X573" s="160"/>
      <c r="Y573" s="160"/>
      <c r="AA573" s="160"/>
      <c r="AB573" s="160"/>
      <c r="AC573" s="160"/>
      <c r="AD573" s="190"/>
    </row>
    <row r="574" spans="14:30" x14ac:dyDescent="0.2">
      <c r="N574" s="170"/>
      <c r="P574" s="189"/>
      <c r="Q574" s="160"/>
      <c r="R574" s="160"/>
      <c r="S574" s="160"/>
      <c r="T574" s="160"/>
      <c r="U574" s="160"/>
      <c r="V574" s="160"/>
      <c r="X574" s="160"/>
      <c r="Y574" s="160"/>
      <c r="AA574" s="160"/>
      <c r="AB574" s="160"/>
      <c r="AC574" s="160"/>
      <c r="AD574" s="190"/>
    </row>
    <row r="575" spans="14:30" x14ac:dyDescent="0.2">
      <c r="N575" s="170"/>
      <c r="P575" s="189"/>
      <c r="Q575" s="160"/>
      <c r="R575" s="160"/>
      <c r="S575" s="160"/>
      <c r="T575" s="160"/>
      <c r="U575" s="160"/>
      <c r="V575" s="160"/>
      <c r="X575" s="160"/>
      <c r="Y575" s="160"/>
      <c r="AA575" s="160"/>
      <c r="AB575" s="160"/>
      <c r="AC575" s="160"/>
      <c r="AD575" s="190"/>
    </row>
    <row r="576" spans="14:30" x14ac:dyDescent="0.2">
      <c r="N576" s="170"/>
      <c r="P576" s="189"/>
      <c r="Q576" s="160"/>
      <c r="R576" s="160"/>
      <c r="S576" s="160"/>
      <c r="T576" s="160"/>
      <c r="U576" s="160"/>
      <c r="V576" s="160"/>
      <c r="X576" s="160"/>
      <c r="Y576" s="160"/>
      <c r="AA576" s="160"/>
      <c r="AB576" s="160"/>
      <c r="AC576" s="160"/>
      <c r="AD576" s="190"/>
    </row>
    <row r="577" spans="14:30" x14ac:dyDescent="0.2">
      <c r="N577" s="170"/>
      <c r="P577" s="189"/>
      <c r="Q577" s="160"/>
      <c r="R577" s="160"/>
      <c r="S577" s="160"/>
      <c r="T577" s="160"/>
      <c r="U577" s="160"/>
      <c r="V577" s="160"/>
      <c r="X577" s="160"/>
      <c r="Y577" s="160"/>
      <c r="AA577" s="160"/>
      <c r="AB577" s="160"/>
      <c r="AC577" s="160"/>
      <c r="AD577" s="190"/>
    </row>
    <row r="578" spans="14:30" x14ac:dyDescent="0.2">
      <c r="N578" s="170"/>
      <c r="P578" s="189"/>
      <c r="Q578" s="160"/>
      <c r="R578" s="160"/>
      <c r="S578" s="160"/>
      <c r="T578" s="160"/>
      <c r="U578" s="160"/>
      <c r="V578" s="160"/>
      <c r="X578" s="160"/>
      <c r="Y578" s="160"/>
      <c r="AA578" s="160"/>
      <c r="AB578" s="160"/>
      <c r="AC578" s="160"/>
      <c r="AD578" s="190"/>
    </row>
    <row r="579" spans="14:30" x14ac:dyDescent="0.2">
      <c r="N579" s="170"/>
      <c r="P579" s="189"/>
      <c r="Q579" s="160"/>
      <c r="R579" s="160"/>
      <c r="S579" s="160"/>
      <c r="T579" s="160"/>
      <c r="U579" s="160"/>
      <c r="V579" s="160"/>
      <c r="X579" s="160"/>
      <c r="Y579" s="160"/>
      <c r="AA579" s="160"/>
      <c r="AB579" s="160"/>
      <c r="AC579" s="160"/>
      <c r="AD579" s="190"/>
    </row>
    <row r="580" spans="14:30" x14ac:dyDescent="0.2">
      <c r="N580" s="170"/>
      <c r="P580" s="189"/>
      <c r="Q580" s="160"/>
      <c r="R580" s="160"/>
      <c r="S580" s="160"/>
      <c r="T580" s="160"/>
      <c r="U580" s="160"/>
      <c r="V580" s="160"/>
      <c r="X580" s="160"/>
      <c r="Y580" s="160"/>
      <c r="AA580" s="160"/>
      <c r="AB580" s="160"/>
      <c r="AC580" s="160"/>
      <c r="AD580" s="190"/>
    </row>
    <row r="581" spans="14:30" x14ac:dyDescent="0.2">
      <c r="N581" s="170"/>
      <c r="P581" s="189"/>
      <c r="Q581" s="160"/>
      <c r="R581" s="160"/>
      <c r="S581" s="160"/>
      <c r="T581" s="160"/>
      <c r="U581" s="160"/>
      <c r="V581" s="160"/>
      <c r="X581" s="160"/>
      <c r="Y581" s="160"/>
      <c r="AA581" s="160"/>
      <c r="AB581" s="160"/>
      <c r="AC581" s="160"/>
      <c r="AD581" s="190"/>
    </row>
    <row r="582" spans="14:30" x14ac:dyDescent="0.2">
      <c r="N582" s="170"/>
      <c r="P582" s="189"/>
      <c r="Q582" s="160"/>
      <c r="R582" s="160"/>
      <c r="S582" s="160"/>
      <c r="T582" s="160"/>
      <c r="U582" s="160"/>
      <c r="V582" s="160"/>
      <c r="X582" s="160"/>
      <c r="Y582" s="160"/>
      <c r="AA582" s="160"/>
      <c r="AB582" s="160"/>
      <c r="AC582" s="160"/>
      <c r="AD582" s="190"/>
    </row>
    <row r="583" spans="14:30" x14ac:dyDescent="0.2">
      <c r="N583" s="170"/>
      <c r="P583" s="189"/>
      <c r="Q583" s="160"/>
      <c r="R583" s="160"/>
      <c r="S583" s="160"/>
      <c r="T583" s="160"/>
      <c r="U583" s="160"/>
      <c r="V583" s="160"/>
      <c r="X583" s="160"/>
      <c r="Y583" s="160"/>
      <c r="AA583" s="160"/>
      <c r="AB583" s="160"/>
      <c r="AC583" s="160"/>
      <c r="AD583" s="190"/>
    </row>
    <row r="584" spans="14:30" x14ac:dyDescent="0.2">
      <c r="N584" s="170"/>
      <c r="P584" s="189"/>
      <c r="Q584" s="160"/>
      <c r="R584" s="160"/>
      <c r="S584" s="160"/>
      <c r="T584" s="160"/>
      <c r="U584" s="160"/>
      <c r="V584" s="160"/>
      <c r="X584" s="160"/>
      <c r="Y584" s="160"/>
      <c r="AA584" s="160"/>
      <c r="AB584" s="160"/>
      <c r="AC584" s="160"/>
      <c r="AD584" s="190"/>
    </row>
    <row r="585" spans="14:30" x14ac:dyDescent="0.2">
      <c r="N585" s="170"/>
      <c r="P585" s="189"/>
      <c r="Q585" s="160"/>
      <c r="R585" s="160"/>
      <c r="S585" s="160"/>
      <c r="T585" s="160"/>
      <c r="U585" s="160"/>
      <c r="V585" s="160"/>
      <c r="X585" s="160"/>
      <c r="Y585" s="160"/>
      <c r="AA585" s="160"/>
      <c r="AB585" s="160"/>
      <c r="AC585" s="160"/>
      <c r="AD585" s="190"/>
    </row>
    <row r="586" spans="14:30" x14ac:dyDescent="0.2">
      <c r="N586" s="170"/>
      <c r="P586" s="189"/>
      <c r="Q586" s="160"/>
      <c r="R586" s="160"/>
      <c r="S586" s="160"/>
      <c r="T586" s="160"/>
      <c r="U586" s="160"/>
      <c r="V586" s="160"/>
      <c r="X586" s="160"/>
      <c r="Y586" s="160"/>
      <c r="AA586" s="160"/>
      <c r="AB586" s="160"/>
      <c r="AC586" s="160"/>
      <c r="AD586" s="190"/>
    </row>
    <row r="587" spans="14:30" x14ac:dyDescent="0.2">
      <c r="N587" s="170"/>
      <c r="P587" s="189"/>
      <c r="Q587" s="160"/>
      <c r="R587" s="160"/>
      <c r="S587" s="160"/>
      <c r="T587" s="160"/>
      <c r="U587" s="160"/>
      <c r="V587" s="160"/>
      <c r="X587" s="160"/>
      <c r="Y587" s="160"/>
      <c r="AA587" s="160"/>
      <c r="AB587" s="160"/>
      <c r="AC587" s="160"/>
      <c r="AD587" s="190"/>
    </row>
    <row r="588" spans="14:30" x14ac:dyDescent="0.2">
      <c r="N588" s="170"/>
      <c r="P588" s="189"/>
      <c r="Q588" s="160"/>
      <c r="R588" s="160"/>
      <c r="S588" s="160"/>
      <c r="T588" s="160"/>
      <c r="U588" s="160"/>
      <c r="V588" s="160"/>
      <c r="X588" s="160"/>
      <c r="Y588" s="160"/>
      <c r="AA588" s="160"/>
      <c r="AB588" s="160"/>
      <c r="AC588" s="160"/>
      <c r="AD588" s="190"/>
    </row>
    <row r="589" spans="14:30" x14ac:dyDescent="0.2">
      <c r="N589" s="170"/>
      <c r="P589" s="189"/>
      <c r="Q589" s="160"/>
      <c r="R589" s="160"/>
      <c r="S589" s="160"/>
      <c r="T589" s="160"/>
      <c r="U589" s="160"/>
      <c r="V589" s="160"/>
      <c r="X589" s="160"/>
      <c r="Y589" s="160"/>
      <c r="AA589" s="160"/>
      <c r="AB589" s="160"/>
      <c r="AC589" s="160"/>
      <c r="AD589" s="190"/>
    </row>
    <row r="590" spans="14:30" x14ac:dyDescent="0.2">
      <c r="N590" s="170"/>
      <c r="P590" s="189"/>
      <c r="Q590" s="160"/>
      <c r="R590" s="160"/>
      <c r="S590" s="160"/>
      <c r="T590" s="160"/>
      <c r="U590" s="160"/>
      <c r="V590" s="160"/>
      <c r="X590" s="160"/>
      <c r="Y590" s="160"/>
      <c r="AA590" s="160"/>
      <c r="AB590" s="160"/>
      <c r="AC590" s="160"/>
      <c r="AD590" s="190"/>
    </row>
    <row r="591" spans="14:30" x14ac:dyDescent="0.2">
      <c r="N591" s="170"/>
      <c r="P591" s="189"/>
      <c r="Q591" s="160"/>
      <c r="R591" s="160"/>
      <c r="S591" s="160"/>
      <c r="T591" s="160"/>
      <c r="U591" s="160"/>
      <c r="V591" s="160"/>
      <c r="X591" s="160"/>
      <c r="Y591" s="160"/>
      <c r="AA591" s="160"/>
      <c r="AB591" s="160"/>
      <c r="AC591" s="160"/>
      <c r="AD591" s="190"/>
    </row>
    <row r="592" spans="14:30" x14ac:dyDescent="0.2">
      <c r="N592" s="170"/>
      <c r="P592" s="189"/>
      <c r="Q592" s="160"/>
      <c r="R592" s="160"/>
      <c r="S592" s="160"/>
      <c r="T592" s="160"/>
      <c r="U592" s="160"/>
      <c r="V592" s="160"/>
      <c r="X592" s="160"/>
      <c r="Y592" s="160"/>
      <c r="AA592" s="160"/>
      <c r="AB592" s="160"/>
      <c r="AC592" s="160"/>
      <c r="AD592" s="190"/>
    </row>
    <row r="593" spans="14:30" x14ac:dyDescent="0.2">
      <c r="N593" s="170"/>
      <c r="P593" s="189"/>
      <c r="Q593" s="160"/>
      <c r="R593" s="160"/>
      <c r="S593" s="160"/>
      <c r="T593" s="160"/>
      <c r="U593" s="160"/>
      <c r="V593" s="160"/>
      <c r="X593" s="160"/>
      <c r="Y593" s="160"/>
      <c r="AA593" s="160"/>
      <c r="AB593" s="160"/>
      <c r="AC593" s="160"/>
      <c r="AD593" s="190"/>
    </row>
    <row r="594" spans="14:30" x14ac:dyDescent="0.2">
      <c r="N594" s="170"/>
      <c r="P594" s="189"/>
      <c r="Q594" s="160"/>
      <c r="R594" s="160"/>
      <c r="S594" s="160"/>
      <c r="T594" s="160"/>
      <c r="U594" s="160"/>
      <c r="V594" s="160"/>
      <c r="X594" s="160"/>
      <c r="Y594" s="160"/>
      <c r="AA594" s="160"/>
      <c r="AB594" s="160"/>
      <c r="AC594" s="160"/>
      <c r="AD594" s="190"/>
    </row>
    <row r="595" spans="14:30" x14ac:dyDescent="0.2">
      <c r="N595" s="170"/>
      <c r="P595" s="189"/>
      <c r="Q595" s="160"/>
      <c r="R595" s="160"/>
      <c r="S595" s="160"/>
      <c r="T595" s="160"/>
      <c r="U595" s="160"/>
      <c r="V595" s="160"/>
      <c r="X595" s="160"/>
      <c r="Y595" s="160"/>
      <c r="AA595" s="160"/>
      <c r="AB595" s="160"/>
      <c r="AC595" s="160"/>
      <c r="AD595" s="190"/>
    </row>
    <row r="596" spans="14:30" x14ac:dyDescent="0.2">
      <c r="N596" s="170"/>
      <c r="P596" s="189"/>
      <c r="Q596" s="160"/>
      <c r="R596" s="160"/>
      <c r="S596" s="160"/>
      <c r="T596" s="160"/>
      <c r="U596" s="160"/>
      <c r="V596" s="160"/>
      <c r="X596" s="160"/>
      <c r="Y596" s="160"/>
      <c r="AA596" s="160"/>
      <c r="AB596" s="160"/>
      <c r="AC596" s="160"/>
      <c r="AD596" s="190"/>
    </row>
    <row r="597" spans="14:30" x14ac:dyDescent="0.2">
      <c r="N597" s="170"/>
      <c r="P597" s="189"/>
      <c r="Q597" s="160"/>
      <c r="R597" s="160"/>
      <c r="S597" s="160"/>
      <c r="T597" s="160"/>
      <c r="U597" s="160"/>
      <c r="V597" s="160"/>
      <c r="X597" s="160"/>
      <c r="Y597" s="160"/>
      <c r="AA597" s="160"/>
      <c r="AB597" s="160"/>
      <c r="AC597" s="160"/>
      <c r="AD597" s="190"/>
    </row>
    <row r="598" spans="14:30" x14ac:dyDescent="0.2">
      <c r="N598" s="170"/>
      <c r="P598" s="189"/>
      <c r="Q598" s="160"/>
      <c r="R598" s="160"/>
      <c r="S598" s="160"/>
      <c r="T598" s="160"/>
      <c r="U598" s="160"/>
      <c r="V598" s="160"/>
      <c r="X598" s="160"/>
      <c r="Y598" s="160"/>
      <c r="AA598" s="160"/>
      <c r="AB598" s="160"/>
      <c r="AC598" s="160"/>
      <c r="AD598" s="190"/>
    </row>
    <row r="599" spans="14:30" x14ac:dyDescent="0.2">
      <c r="N599" s="170"/>
      <c r="P599" s="189"/>
      <c r="Q599" s="160"/>
      <c r="R599" s="160"/>
      <c r="S599" s="160"/>
      <c r="T599" s="160"/>
      <c r="U599" s="160"/>
      <c r="V599" s="160"/>
      <c r="X599" s="160"/>
      <c r="Y599" s="160"/>
      <c r="AA599" s="160"/>
      <c r="AB599" s="160"/>
      <c r="AC599" s="160"/>
      <c r="AD599" s="190"/>
    </row>
    <row r="600" spans="14:30" x14ac:dyDescent="0.2">
      <c r="N600" s="170"/>
      <c r="P600" s="189"/>
      <c r="Q600" s="160"/>
      <c r="R600" s="160"/>
      <c r="S600" s="160"/>
      <c r="T600" s="160"/>
      <c r="U600" s="160"/>
      <c r="V600" s="160"/>
      <c r="X600" s="160"/>
      <c r="Y600" s="160"/>
      <c r="AA600" s="160"/>
      <c r="AB600" s="160"/>
      <c r="AC600" s="160"/>
      <c r="AD600" s="190"/>
    </row>
    <row r="601" spans="14:30" x14ac:dyDescent="0.2">
      <c r="N601" s="170"/>
      <c r="P601" s="189"/>
      <c r="Q601" s="160"/>
      <c r="R601" s="160"/>
      <c r="S601" s="160"/>
      <c r="T601" s="160"/>
      <c r="U601" s="160"/>
      <c r="V601" s="160"/>
      <c r="X601" s="160"/>
      <c r="Y601" s="160"/>
      <c r="AA601" s="160"/>
      <c r="AB601" s="160"/>
      <c r="AC601" s="160"/>
      <c r="AD601" s="190"/>
    </row>
    <row r="602" spans="14:30" x14ac:dyDescent="0.2">
      <c r="N602" s="170"/>
      <c r="P602" s="189"/>
      <c r="Q602" s="160"/>
      <c r="R602" s="160"/>
      <c r="S602" s="160"/>
      <c r="T602" s="160"/>
      <c r="U602" s="160"/>
      <c r="V602" s="160"/>
      <c r="X602" s="160"/>
      <c r="Y602" s="160"/>
      <c r="AA602" s="160"/>
      <c r="AB602" s="160"/>
      <c r="AC602" s="160"/>
      <c r="AD602" s="190"/>
    </row>
    <row r="603" spans="14:30" x14ac:dyDescent="0.2">
      <c r="N603" s="170"/>
      <c r="P603" s="189"/>
      <c r="Q603" s="160"/>
      <c r="R603" s="160"/>
      <c r="S603" s="160"/>
      <c r="T603" s="160"/>
      <c r="U603" s="160"/>
      <c r="V603" s="160"/>
      <c r="X603" s="160"/>
      <c r="Y603" s="160"/>
      <c r="AA603" s="160"/>
      <c r="AB603" s="160"/>
      <c r="AC603" s="160"/>
      <c r="AD603" s="190"/>
    </row>
    <row r="604" spans="14:30" x14ac:dyDescent="0.2">
      <c r="N604" s="170"/>
      <c r="P604" s="189"/>
      <c r="Q604" s="160"/>
      <c r="R604" s="160"/>
      <c r="S604" s="160"/>
      <c r="T604" s="160"/>
      <c r="U604" s="160"/>
      <c r="V604" s="160"/>
      <c r="X604" s="160"/>
      <c r="Y604" s="160"/>
      <c r="AA604" s="160"/>
      <c r="AB604" s="160"/>
      <c r="AC604" s="160"/>
      <c r="AD604" s="190"/>
    </row>
    <row r="605" spans="14:30" x14ac:dyDescent="0.2">
      <c r="N605" s="170"/>
      <c r="P605" s="189"/>
      <c r="Q605" s="160"/>
      <c r="R605" s="160"/>
      <c r="S605" s="160"/>
      <c r="T605" s="160"/>
      <c r="U605" s="160"/>
      <c r="V605" s="160"/>
      <c r="X605" s="160"/>
      <c r="Y605" s="160"/>
      <c r="AA605" s="160"/>
      <c r="AB605" s="160"/>
      <c r="AC605" s="160"/>
      <c r="AD605" s="190"/>
    </row>
    <row r="606" spans="14:30" x14ac:dyDescent="0.2">
      <c r="N606" s="170"/>
      <c r="P606" s="189"/>
      <c r="Q606" s="160"/>
      <c r="R606" s="160"/>
      <c r="S606" s="160"/>
      <c r="T606" s="160"/>
      <c r="U606" s="160"/>
      <c r="V606" s="160"/>
      <c r="X606" s="160"/>
      <c r="Y606" s="160"/>
      <c r="AA606" s="160"/>
      <c r="AB606" s="160"/>
      <c r="AC606" s="160"/>
      <c r="AD606" s="190"/>
    </row>
    <row r="607" spans="14:30" x14ac:dyDescent="0.2">
      <c r="N607" s="170"/>
      <c r="P607" s="189"/>
      <c r="Q607" s="160"/>
      <c r="R607" s="160"/>
      <c r="S607" s="160"/>
      <c r="T607" s="160"/>
      <c r="U607" s="160"/>
      <c r="V607" s="160"/>
      <c r="X607" s="160"/>
      <c r="Y607" s="160"/>
      <c r="AA607" s="160"/>
      <c r="AB607" s="160"/>
      <c r="AC607" s="160"/>
      <c r="AD607" s="190"/>
    </row>
    <row r="608" spans="14:30" x14ac:dyDescent="0.2">
      <c r="N608" s="170"/>
      <c r="P608" s="189"/>
      <c r="Q608" s="160"/>
      <c r="R608" s="160"/>
      <c r="S608" s="160"/>
      <c r="T608" s="160"/>
      <c r="U608" s="160"/>
      <c r="V608" s="160"/>
      <c r="X608" s="160"/>
      <c r="Y608" s="160"/>
      <c r="AA608" s="160"/>
      <c r="AB608" s="160"/>
      <c r="AC608" s="160"/>
      <c r="AD608" s="190"/>
    </row>
    <row r="609" spans="14:30" x14ac:dyDescent="0.2">
      <c r="N609" s="170"/>
      <c r="P609" s="189"/>
      <c r="Q609" s="160"/>
      <c r="R609" s="160"/>
      <c r="S609" s="160"/>
      <c r="T609" s="160"/>
      <c r="U609" s="160"/>
      <c r="V609" s="160"/>
      <c r="X609" s="160"/>
      <c r="Y609" s="160"/>
      <c r="AA609" s="160"/>
      <c r="AB609" s="160"/>
      <c r="AC609" s="160"/>
      <c r="AD609" s="190"/>
    </row>
    <row r="610" spans="14:30" x14ac:dyDescent="0.2">
      <c r="N610" s="170"/>
      <c r="P610" s="189"/>
      <c r="Q610" s="160"/>
      <c r="R610" s="160"/>
      <c r="S610" s="160"/>
      <c r="T610" s="160"/>
      <c r="U610" s="160"/>
      <c r="V610" s="160"/>
      <c r="X610" s="160"/>
      <c r="Y610" s="160"/>
      <c r="AA610" s="160"/>
      <c r="AB610" s="160"/>
      <c r="AC610" s="160"/>
      <c r="AD610" s="190"/>
    </row>
    <row r="611" spans="14:30" x14ac:dyDescent="0.2">
      <c r="N611" s="170"/>
      <c r="P611" s="189"/>
      <c r="Q611" s="160"/>
      <c r="R611" s="160"/>
      <c r="S611" s="160"/>
      <c r="T611" s="160"/>
      <c r="U611" s="160"/>
      <c r="V611" s="160"/>
      <c r="X611" s="160"/>
      <c r="Y611" s="160"/>
      <c r="AA611" s="160"/>
      <c r="AB611" s="160"/>
      <c r="AC611" s="160"/>
      <c r="AD611" s="190"/>
    </row>
    <row r="612" spans="14:30" x14ac:dyDescent="0.2">
      <c r="N612" s="170"/>
      <c r="P612" s="189"/>
      <c r="Q612" s="160"/>
      <c r="R612" s="160"/>
      <c r="S612" s="160"/>
      <c r="T612" s="160"/>
      <c r="U612" s="160"/>
      <c r="V612" s="160"/>
      <c r="X612" s="160"/>
      <c r="Y612" s="160"/>
      <c r="AA612" s="160"/>
      <c r="AB612" s="160"/>
      <c r="AC612" s="160"/>
      <c r="AD612" s="190"/>
    </row>
    <row r="613" spans="14:30" x14ac:dyDescent="0.2">
      <c r="N613" s="170"/>
      <c r="P613" s="189"/>
      <c r="Q613" s="160"/>
      <c r="R613" s="160"/>
      <c r="S613" s="160"/>
      <c r="T613" s="160"/>
      <c r="U613" s="160"/>
      <c r="V613" s="160"/>
      <c r="X613" s="160"/>
      <c r="Y613" s="160"/>
      <c r="AA613" s="160"/>
      <c r="AB613" s="160"/>
      <c r="AC613" s="160"/>
      <c r="AD613" s="190"/>
    </row>
    <row r="614" spans="14:30" x14ac:dyDescent="0.2">
      <c r="N614" s="170"/>
      <c r="P614" s="189"/>
      <c r="Q614" s="160"/>
      <c r="R614" s="160"/>
      <c r="S614" s="160"/>
      <c r="T614" s="160"/>
      <c r="U614" s="160"/>
      <c r="V614" s="160"/>
      <c r="X614" s="160"/>
      <c r="Y614" s="160"/>
      <c r="AA614" s="160"/>
      <c r="AB614" s="160"/>
      <c r="AC614" s="160"/>
      <c r="AD614" s="190"/>
    </row>
    <row r="615" spans="14:30" x14ac:dyDescent="0.2">
      <c r="N615" s="170"/>
      <c r="P615" s="189"/>
      <c r="Q615" s="160"/>
      <c r="R615" s="160"/>
      <c r="S615" s="160"/>
      <c r="T615" s="160"/>
      <c r="U615" s="160"/>
      <c r="V615" s="160"/>
      <c r="X615" s="160"/>
      <c r="Y615" s="160"/>
      <c r="AA615" s="160"/>
      <c r="AB615" s="160"/>
      <c r="AC615" s="160"/>
      <c r="AD615" s="190"/>
    </row>
    <row r="616" spans="14:30" x14ac:dyDescent="0.2">
      <c r="N616" s="170"/>
      <c r="P616" s="189"/>
      <c r="Q616" s="160"/>
      <c r="R616" s="160"/>
      <c r="S616" s="160"/>
      <c r="T616" s="160"/>
      <c r="U616" s="160"/>
      <c r="V616" s="160"/>
      <c r="X616" s="160"/>
      <c r="Y616" s="160"/>
      <c r="AA616" s="160"/>
      <c r="AB616" s="160"/>
      <c r="AC616" s="160"/>
      <c r="AD616" s="190"/>
    </row>
    <row r="617" spans="14:30" x14ac:dyDescent="0.2">
      <c r="N617" s="170"/>
      <c r="P617" s="189"/>
      <c r="Q617" s="160"/>
      <c r="R617" s="160"/>
      <c r="S617" s="160"/>
      <c r="T617" s="160"/>
      <c r="U617" s="160"/>
      <c r="V617" s="160"/>
      <c r="X617" s="160"/>
      <c r="Y617" s="160"/>
      <c r="AA617" s="160"/>
      <c r="AB617" s="160"/>
      <c r="AC617" s="160"/>
      <c r="AD617" s="190"/>
    </row>
    <row r="618" spans="14:30" x14ac:dyDescent="0.2">
      <c r="N618" s="170"/>
      <c r="P618" s="189"/>
      <c r="Q618" s="160"/>
      <c r="R618" s="160"/>
      <c r="S618" s="160"/>
      <c r="T618" s="160"/>
      <c r="U618" s="160"/>
      <c r="V618" s="160"/>
      <c r="X618" s="160"/>
      <c r="Y618" s="160"/>
      <c r="AA618" s="160"/>
      <c r="AB618" s="160"/>
      <c r="AC618" s="160"/>
      <c r="AD618" s="190"/>
    </row>
    <row r="619" spans="14:30" x14ac:dyDescent="0.2">
      <c r="N619" s="170"/>
      <c r="P619" s="189"/>
      <c r="Q619" s="160"/>
      <c r="R619" s="160"/>
      <c r="S619" s="160"/>
      <c r="T619" s="160"/>
      <c r="U619" s="160"/>
      <c r="V619" s="160"/>
      <c r="X619" s="160"/>
      <c r="Y619" s="160"/>
      <c r="AA619" s="160"/>
      <c r="AB619" s="160"/>
      <c r="AC619" s="160"/>
      <c r="AD619" s="190"/>
    </row>
    <row r="620" spans="14:30" x14ac:dyDescent="0.2">
      <c r="N620" s="170"/>
      <c r="P620" s="189"/>
      <c r="Q620" s="160"/>
      <c r="R620" s="160"/>
      <c r="S620" s="160"/>
      <c r="T620" s="160"/>
      <c r="U620" s="160"/>
      <c r="V620" s="160"/>
      <c r="X620" s="160"/>
      <c r="Y620" s="160"/>
      <c r="AA620" s="160"/>
      <c r="AB620" s="160"/>
      <c r="AC620" s="160"/>
      <c r="AD620" s="190"/>
    </row>
    <row r="621" spans="14:30" x14ac:dyDescent="0.2">
      <c r="N621" s="170"/>
      <c r="P621" s="189"/>
      <c r="Q621" s="160"/>
      <c r="R621" s="160"/>
      <c r="S621" s="160"/>
      <c r="T621" s="160"/>
      <c r="U621" s="160"/>
      <c r="V621" s="160"/>
      <c r="X621" s="160"/>
      <c r="Y621" s="160"/>
      <c r="AA621" s="160"/>
      <c r="AB621" s="160"/>
      <c r="AC621" s="160"/>
      <c r="AD621" s="190"/>
    </row>
    <row r="622" spans="14:30" x14ac:dyDescent="0.2">
      <c r="N622" s="170"/>
      <c r="P622" s="189"/>
      <c r="Q622" s="160"/>
      <c r="R622" s="160"/>
      <c r="S622" s="160"/>
      <c r="T622" s="160"/>
      <c r="U622" s="160"/>
      <c r="V622" s="160"/>
      <c r="X622" s="160"/>
      <c r="Y622" s="160"/>
      <c r="AA622" s="160"/>
      <c r="AB622" s="160"/>
      <c r="AC622" s="160"/>
      <c r="AD622" s="190"/>
    </row>
    <row r="623" spans="14:30" x14ac:dyDescent="0.2">
      <c r="N623" s="170"/>
      <c r="P623" s="189"/>
      <c r="Q623" s="160"/>
      <c r="R623" s="160"/>
      <c r="S623" s="160"/>
      <c r="T623" s="160"/>
      <c r="U623" s="160"/>
      <c r="V623" s="160"/>
      <c r="X623" s="160"/>
      <c r="Y623" s="160"/>
      <c r="AA623" s="160"/>
      <c r="AB623" s="160"/>
      <c r="AC623" s="160"/>
      <c r="AD623" s="190"/>
    </row>
    <row r="624" spans="14:30" x14ac:dyDescent="0.2">
      <c r="N624" s="170"/>
      <c r="P624" s="189"/>
      <c r="Q624" s="160"/>
      <c r="R624" s="160"/>
      <c r="S624" s="160"/>
      <c r="T624" s="160"/>
      <c r="U624" s="160"/>
      <c r="V624" s="160"/>
      <c r="X624" s="160"/>
      <c r="Y624" s="160"/>
      <c r="AA624" s="160"/>
      <c r="AB624" s="160"/>
      <c r="AC624" s="160"/>
      <c r="AD624" s="190"/>
    </row>
    <row r="625" spans="14:30" x14ac:dyDescent="0.2">
      <c r="N625" s="170"/>
      <c r="P625" s="189"/>
      <c r="Q625" s="160"/>
      <c r="R625" s="160"/>
      <c r="S625" s="160"/>
      <c r="T625" s="160"/>
      <c r="U625" s="160"/>
      <c r="V625" s="160"/>
      <c r="X625" s="160"/>
      <c r="Y625" s="160"/>
      <c r="AA625" s="160"/>
      <c r="AB625" s="160"/>
      <c r="AC625" s="160"/>
      <c r="AD625" s="190"/>
    </row>
    <row r="626" spans="14:30" x14ac:dyDescent="0.2">
      <c r="N626" s="170"/>
      <c r="P626" s="189"/>
      <c r="Q626" s="160"/>
      <c r="R626" s="160"/>
      <c r="S626" s="160"/>
      <c r="T626" s="160"/>
      <c r="U626" s="160"/>
      <c r="V626" s="160"/>
      <c r="X626" s="160"/>
      <c r="Y626" s="160"/>
      <c r="AA626" s="160"/>
      <c r="AB626" s="160"/>
      <c r="AC626" s="160"/>
      <c r="AD626" s="190"/>
    </row>
    <row r="627" spans="14:30" x14ac:dyDescent="0.2">
      <c r="N627" s="170"/>
      <c r="P627" s="189"/>
      <c r="Q627" s="160"/>
      <c r="R627" s="160"/>
      <c r="S627" s="160"/>
      <c r="T627" s="160"/>
      <c r="U627" s="160"/>
      <c r="V627" s="160"/>
      <c r="X627" s="160"/>
      <c r="Y627" s="160"/>
      <c r="AA627" s="160"/>
      <c r="AB627" s="160"/>
      <c r="AC627" s="160"/>
      <c r="AD627" s="190"/>
    </row>
    <row r="628" spans="14:30" x14ac:dyDescent="0.2">
      <c r="N628" s="170"/>
      <c r="P628" s="189"/>
      <c r="Q628" s="160"/>
      <c r="R628" s="160"/>
      <c r="S628" s="160"/>
      <c r="T628" s="160"/>
      <c r="U628" s="160"/>
      <c r="V628" s="160"/>
      <c r="X628" s="160"/>
      <c r="Y628" s="160"/>
      <c r="AA628" s="160"/>
      <c r="AB628" s="160"/>
      <c r="AC628" s="160"/>
      <c r="AD628" s="190"/>
    </row>
    <row r="629" spans="14:30" x14ac:dyDescent="0.2">
      <c r="N629" s="170"/>
      <c r="P629" s="189"/>
      <c r="Q629" s="160"/>
      <c r="R629" s="160"/>
      <c r="S629" s="160"/>
      <c r="T629" s="160"/>
      <c r="U629" s="160"/>
      <c r="V629" s="160"/>
      <c r="X629" s="160"/>
      <c r="Y629" s="160"/>
      <c r="AA629" s="160"/>
      <c r="AB629" s="160"/>
      <c r="AC629" s="160"/>
      <c r="AD629" s="190"/>
    </row>
    <row r="630" spans="14:30" x14ac:dyDescent="0.2">
      <c r="N630" s="170"/>
      <c r="P630" s="189"/>
      <c r="Q630" s="160"/>
      <c r="R630" s="160"/>
      <c r="S630" s="160"/>
      <c r="T630" s="160"/>
      <c r="U630" s="160"/>
      <c r="V630" s="160"/>
      <c r="X630" s="160"/>
      <c r="Y630" s="160"/>
      <c r="AA630" s="160"/>
      <c r="AB630" s="160"/>
      <c r="AC630" s="160"/>
      <c r="AD630" s="190"/>
    </row>
    <row r="631" spans="14:30" x14ac:dyDescent="0.2">
      <c r="N631" s="170"/>
      <c r="P631" s="189"/>
      <c r="Q631" s="160"/>
      <c r="R631" s="160"/>
      <c r="S631" s="160"/>
      <c r="T631" s="160"/>
      <c r="U631" s="160"/>
      <c r="V631" s="160"/>
      <c r="X631" s="160"/>
      <c r="Y631" s="160"/>
      <c r="AA631" s="160"/>
      <c r="AB631" s="160"/>
      <c r="AC631" s="160"/>
      <c r="AD631" s="190"/>
    </row>
    <row r="632" spans="14:30" x14ac:dyDescent="0.2">
      <c r="N632" s="170"/>
      <c r="P632" s="189"/>
      <c r="Q632" s="160"/>
      <c r="R632" s="160"/>
      <c r="S632" s="160"/>
      <c r="T632" s="160"/>
      <c r="U632" s="160"/>
      <c r="V632" s="160"/>
      <c r="X632" s="160"/>
      <c r="Y632" s="160"/>
      <c r="AA632" s="160"/>
      <c r="AB632" s="160"/>
      <c r="AC632" s="160"/>
      <c r="AD632" s="190"/>
    </row>
    <row r="633" spans="14:30" x14ac:dyDescent="0.2">
      <c r="N633" s="170"/>
      <c r="P633" s="189"/>
      <c r="Q633" s="160"/>
      <c r="R633" s="160"/>
      <c r="S633" s="160"/>
      <c r="T633" s="160"/>
      <c r="U633" s="160"/>
      <c r="V633" s="160"/>
      <c r="X633" s="160"/>
      <c r="Y633" s="160"/>
      <c r="AA633" s="160"/>
      <c r="AB633" s="160"/>
      <c r="AC633" s="160"/>
      <c r="AD633" s="190"/>
    </row>
    <row r="634" spans="14:30" x14ac:dyDescent="0.2">
      <c r="N634" s="170"/>
      <c r="P634" s="189"/>
      <c r="Q634" s="160"/>
      <c r="R634" s="160"/>
      <c r="S634" s="160"/>
      <c r="T634" s="160"/>
      <c r="U634" s="160"/>
      <c r="V634" s="160"/>
      <c r="X634" s="160"/>
      <c r="Y634" s="160"/>
      <c r="AA634" s="160"/>
      <c r="AB634" s="160"/>
      <c r="AC634" s="160"/>
      <c r="AD634" s="190"/>
    </row>
    <row r="635" spans="14:30" x14ac:dyDescent="0.2">
      <c r="N635" s="170"/>
      <c r="P635" s="189"/>
      <c r="Q635" s="160"/>
      <c r="R635" s="160"/>
      <c r="S635" s="160"/>
      <c r="T635" s="160"/>
      <c r="U635" s="160"/>
      <c r="V635" s="160"/>
      <c r="X635" s="160"/>
      <c r="Y635" s="160"/>
      <c r="AA635" s="160"/>
      <c r="AB635" s="160"/>
      <c r="AC635" s="160"/>
      <c r="AD635" s="190"/>
    </row>
    <row r="636" spans="14:30" x14ac:dyDescent="0.2">
      <c r="N636" s="170"/>
      <c r="P636" s="189"/>
      <c r="Q636" s="160"/>
      <c r="R636" s="160"/>
      <c r="S636" s="160"/>
      <c r="T636" s="160"/>
      <c r="U636" s="160"/>
      <c r="V636" s="160"/>
      <c r="X636" s="160"/>
      <c r="Y636" s="160"/>
      <c r="AA636" s="160"/>
      <c r="AB636" s="160"/>
      <c r="AC636" s="160"/>
      <c r="AD636" s="190"/>
    </row>
    <row r="637" spans="14:30" x14ac:dyDescent="0.2">
      <c r="N637" s="170"/>
      <c r="P637" s="189"/>
      <c r="Q637" s="160"/>
      <c r="R637" s="160"/>
      <c r="S637" s="160"/>
      <c r="T637" s="160"/>
      <c r="U637" s="160"/>
      <c r="V637" s="160"/>
      <c r="X637" s="160"/>
      <c r="Y637" s="160"/>
      <c r="AA637" s="160"/>
      <c r="AB637" s="160"/>
      <c r="AC637" s="160"/>
      <c r="AD637" s="190"/>
    </row>
    <row r="638" spans="14:30" x14ac:dyDescent="0.2">
      <c r="N638" s="170"/>
      <c r="P638" s="189"/>
      <c r="Q638" s="160"/>
      <c r="R638" s="160"/>
      <c r="S638" s="160"/>
      <c r="T638" s="160"/>
      <c r="U638" s="160"/>
      <c r="V638" s="160"/>
      <c r="X638" s="160"/>
      <c r="Y638" s="160"/>
      <c r="AA638" s="160"/>
      <c r="AB638" s="160"/>
      <c r="AC638" s="160"/>
      <c r="AD638" s="190"/>
    </row>
    <row r="639" spans="14:30" x14ac:dyDescent="0.2">
      <c r="N639" s="170"/>
      <c r="P639" s="189"/>
      <c r="Q639" s="160"/>
      <c r="R639" s="160"/>
      <c r="S639" s="160"/>
      <c r="T639" s="160"/>
      <c r="U639" s="160"/>
      <c r="V639" s="160"/>
      <c r="X639" s="160"/>
      <c r="Y639" s="160"/>
      <c r="AA639" s="160"/>
      <c r="AB639" s="160"/>
      <c r="AC639" s="160"/>
      <c r="AD639" s="190"/>
    </row>
    <row r="640" spans="14:30" x14ac:dyDescent="0.2">
      <c r="N640" s="170"/>
      <c r="P640" s="189"/>
      <c r="Q640" s="160"/>
      <c r="R640" s="160"/>
      <c r="S640" s="160"/>
      <c r="T640" s="160"/>
      <c r="U640" s="160"/>
      <c r="V640" s="160"/>
      <c r="X640" s="160"/>
      <c r="Y640" s="160"/>
      <c r="AA640" s="160"/>
      <c r="AB640" s="160"/>
      <c r="AC640" s="160"/>
      <c r="AD640" s="190"/>
    </row>
    <row r="641" spans="14:30" x14ac:dyDescent="0.2">
      <c r="N641" s="170"/>
      <c r="P641" s="189"/>
      <c r="Q641" s="160"/>
      <c r="R641" s="160"/>
      <c r="S641" s="160"/>
      <c r="T641" s="160"/>
      <c r="U641" s="160"/>
      <c r="V641" s="160"/>
      <c r="X641" s="160"/>
      <c r="Y641" s="160"/>
      <c r="AA641" s="160"/>
      <c r="AB641" s="160"/>
      <c r="AC641" s="160"/>
      <c r="AD641" s="190"/>
    </row>
    <row r="642" spans="14:30" x14ac:dyDescent="0.2">
      <c r="N642" s="170"/>
      <c r="P642" s="189"/>
      <c r="Q642" s="160"/>
      <c r="R642" s="160"/>
      <c r="S642" s="160"/>
      <c r="T642" s="160"/>
      <c r="U642" s="160"/>
      <c r="V642" s="160"/>
      <c r="X642" s="160"/>
      <c r="Y642" s="160"/>
      <c r="AA642" s="160"/>
      <c r="AB642" s="160"/>
      <c r="AC642" s="160"/>
      <c r="AD642" s="190"/>
    </row>
    <row r="643" spans="14:30" x14ac:dyDescent="0.2">
      <c r="N643" s="170"/>
      <c r="P643" s="189"/>
      <c r="Q643" s="160"/>
      <c r="R643" s="160"/>
      <c r="S643" s="160"/>
      <c r="T643" s="160"/>
      <c r="U643" s="160"/>
      <c r="V643" s="160"/>
      <c r="X643" s="160"/>
      <c r="Y643" s="160"/>
      <c r="AA643" s="160"/>
      <c r="AB643" s="160"/>
      <c r="AC643" s="160"/>
      <c r="AD643" s="190"/>
    </row>
    <row r="644" spans="14:30" x14ac:dyDescent="0.2">
      <c r="N644" s="170"/>
      <c r="P644" s="189"/>
      <c r="Q644" s="160"/>
      <c r="R644" s="160"/>
      <c r="S644" s="160"/>
      <c r="T644" s="160"/>
      <c r="U644" s="160"/>
      <c r="V644" s="160"/>
      <c r="X644" s="160"/>
      <c r="Y644" s="160"/>
      <c r="AA644" s="160"/>
      <c r="AB644" s="160"/>
      <c r="AC644" s="160"/>
      <c r="AD644" s="190"/>
    </row>
    <row r="645" spans="14:30" x14ac:dyDescent="0.2">
      <c r="N645" s="170"/>
      <c r="P645" s="189"/>
      <c r="Q645" s="160"/>
      <c r="R645" s="160"/>
      <c r="S645" s="160"/>
      <c r="T645" s="160"/>
      <c r="U645" s="160"/>
      <c r="V645" s="160"/>
      <c r="X645" s="160"/>
      <c r="Y645" s="160"/>
      <c r="AA645" s="160"/>
      <c r="AB645" s="160"/>
      <c r="AC645" s="160"/>
      <c r="AD645" s="190"/>
    </row>
    <row r="646" spans="14:30" x14ac:dyDescent="0.2">
      <c r="N646" s="170"/>
      <c r="P646" s="189"/>
      <c r="Q646" s="160"/>
      <c r="R646" s="160"/>
      <c r="S646" s="160"/>
      <c r="T646" s="160"/>
      <c r="U646" s="160"/>
      <c r="V646" s="160"/>
      <c r="X646" s="160"/>
      <c r="Y646" s="160"/>
      <c r="AA646" s="160"/>
      <c r="AB646" s="160"/>
      <c r="AC646" s="160"/>
      <c r="AD646" s="190"/>
    </row>
    <row r="647" spans="14:30" x14ac:dyDescent="0.2">
      <c r="N647" s="170"/>
      <c r="P647" s="189"/>
      <c r="Q647" s="160"/>
      <c r="R647" s="160"/>
      <c r="S647" s="160"/>
      <c r="T647" s="160"/>
      <c r="U647" s="160"/>
      <c r="V647" s="160"/>
      <c r="X647" s="160"/>
      <c r="Y647" s="160"/>
      <c r="AA647" s="160"/>
      <c r="AB647" s="160"/>
      <c r="AC647" s="160"/>
      <c r="AD647" s="190"/>
    </row>
    <row r="648" spans="14:30" x14ac:dyDescent="0.2">
      <c r="N648" s="170"/>
      <c r="P648" s="189"/>
      <c r="Q648" s="160"/>
      <c r="R648" s="160"/>
      <c r="S648" s="160"/>
      <c r="T648" s="160"/>
      <c r="U648" s="160"/>
      <c r="V648" s="160"/>
      <c r="X648" s="160"/>
      <c r="Y648" s="160"/>
      <c r="AA648" s="160"/>
      <c r="AB648" s="160"/>
      <c r="AC648" s="160"/>
      <c r="AD648" s="190"/>
    </row>
    <row r="649" spans="14:30" x14ac:dyDescent="0.2">
      <c r="N649" s="170"/>
      <c r="P649" s="189"/>
      <c r="Q649" s="160"/>
      <c r="R649" s="160"/>
      <c r="S649" s="160"/>
      <c r="T649" s="160"/>
      <c r="U649" s="160"/>
      <c r="V649" s="160"/>
      <c r="X649" s="160"/>
      <c r="Y649" s="160"/>
      <c r="AA649" s="160"/>
      <c r="AB649" s="160"/>
      <c r="AC649" s="160"/>
      <c r="AD649" s="190"/>
    </row>
    <row r="650" spans="14:30" x14ac:dyDescent="0.2">
      <c r="N650" s="170"/>
      <c r="P650" s="189"/>
      <c r="Q650" s="160"/>
      <c r="R650" s="160"/>
      <c r="S650" s="160"/>
      <c r="T650" s="160"/>
      <c r="U650" s="160"/>
      <c r="V650" s="160"/>
      <c r="X650" s="160"/>
      <c r="Y650" s="160"/>
      <c r="AA650" s="160"/>
      <c r="AB650" s="160"/>
      <c r="AC650" s="160"/>
      <c r="AD650" s="190"/>
    </row>
    <row r="651" spans="14:30" x14ac:dyDescent="0.2">
      <c r="N651" s="170"/>
      <c r="P651" s="189"/>
      <c r="Q651" s="160"/>
      <c r="R651" s="160"/>
      <c r="S651" s="160"/>
      <c r="T651" s="160"/>
      <c r="U651" s="160"/>
      <c r="V651" s="160"/>
      <c r="X651" s="160"/>
      <c r="Y651" s="160"/>
      <c r="AA651" s="160"/>
      <c r="AB651" s="160"/>
      <c r="AC651" s="160"/>
      <c r="AD651" s="190"/>
    </row>
    <row r="652" spans="14:30" x14ac:dyDescent="0.2">
      <c r="N652" s="170"/>
      <c r="P652" s="189"/>
      <c r="Q652" s="160"/>
      <c r="R652" s="160"/>
      <c r="S652" s="160"/>
      <c r="T652" s="160"/>
      <c r="U652" s="160"/>
      <c r="V652" s="160"/>
      <c r="X652" s="160"/>
      <c r="Y652" s="160"/>
      <c r="AA652" s="160"/>
      <c r="AB652" s="160"/>
      <c r="AC652" s="160"/>
      <c r="AD652" s="190"/>
    </row>
    <row r="653" spans="14:30" x14ac:dyDescent="0.2">
      <c r="N653" s="170"/>
      <c r="P653" s="189"/>
      <c r="Q653" s="160"/>
      <c r="R653" s="160"/>
      <c r="S653" s="160"/>
      <c r="T653" s="160"/>
      <c r="U653" s="160"/>
      <c r="V653" s="160"/>
      <c r="X653" s="160"/>
      <c r="Y653" s="160"/>
      <c r="AA653" s="160"/>
      <c r="AB653" s="160"/>
      <c r="AC653" s="160"/>
      <c r="AD653" s="190"/>
    </row>
    <row r="654" spans="14:30" x14ac:dyDescent="0.2">
      <c r="N654" s="170"/>
      <c r="P654" s="189"/>
      <c r="Q654" s="160"/>
      <c r="R654" s="160"/>
      <c r="S654" s="160"/>
      <c r="T654" s="160"/>
      <c r="U654" s="160"/>
      <c r="V654" s="160"/>
      <c r="X654" s="160"/>
      <c r="Y654" s="160"/>
      <c r="AA654" s="160"/>
      <c r="AB654" s="160"/>
      <c r="AC654" s="160"/>
      <c r="AD654" s="190"/>
    </row>
    <row r="655" spans="14:30" x14ac:dyDescent="0.2">
      <c r="N655" s="170"/>
      <c r="P655" s="189"/>
      <c r="Q655" s="160"/>
      <c r="R655" s="160"/>
      <c r="S655" s="160"/>
      <c r="T655" s="160"/>
      <c r="U655" s="160"/>
      <c r="V655" s="160"/>
      <c r="X655" s="160"/>
      <c r="Y655" s="160"/>
      <c r="AA655" s="160"/>
      <c r="AB655" s="160"/>
      <c r="AC655" s="160"/>
      <c r="AD655" s="190"/>
    </row>
    <row r="656" spans="14:30" x14ac:dyDescent="0.2">
      <c r="N656" s="170"/>
      <c r="P656" s="189"/>
      <c r="Q656" s="160"/>
      <c r="R656" s="160"/>
      <c r="S656" s="160"/>
      <c r="T656" s="160"/>
      <c r="U656" s="160"/>
      <c r="V656" s="160"/>
      <c r="X656" s="160"/>
      <c r="Y656" s="160"/>
      <c r="AA656" s="160"/>
      <c r="AB656" s="160"/>
      <c r="AC656" s="160"/>
      <c r="AD656" s="190"/>
    </row>
    <row r="657" spans="14:30" x14ac:dyDescent="0.2">
      <c r="N657" s="170"/>
      <c r="P657" s="189"/>
      <c r="Q657" s="160"/>
      <c r="R657" s="160"/>
      <c r="S657" s="160"/>
      <c r="T657" s="160"/>
      <c r="U657" s="160"/>
      <c r="V657" s="160"/>
      <c r="X657" s="160"/>
      <c r="Y657" s="160"/>
      <c r="AA657" s="160"/>
      <c r="AB657" s="160"/>
      <c r="AC657" s="160"/>
      <c r="AD657" s="190"/>
    </row>
    <row r="658" spans="14:30" x14ac:dyDescent="0.2">
      <c r="N658" s="170"/>
      <c r="P658" s="189"/>
      <c r="Q658" s="160"/>
      <c r="R658" s="160"/>
      <c r="S658" s="160"/>
      <c r="T658" s="160"/>
      <c r="U658" s="160"/>
      <c r="V658" s="160"/>
      <c r="X658" s="160"/>
      <c r="Y658" s="160"/>
      <c r="AA658" s="160"/>
      <c r="AB658" s="160"/>
      <c r="AC658" s="160"/>
      <c r="AD658" s="190"/>
    </row>
    <row r="659" spans="14:30" x14ac:dyDescent="0.2">
      <c r="N659" s="170"/>
      <c r="P659" s="189"/>
      <c r="Q659" s="160"/>
      <c r="R659" s="160"/>
      <c r="S659" s="160"/>
      <c r="T659" s="160"/>
      <c r="U659" s="160"/>
      <c r="V659" s="160"/>
      <c r="X659" s="160"/>
      <c r="Y659" s="160"/>
      <c r="AA659" s="160"/>
      <c r="AB659" s="160"/>
      <c r="AC659" s="160"/>
      <c r="AD659" s="190"/>
    </row>
    <row r="660" spans="14:30" x14ac:dyDescent="0.2">
      <c r="N660" s="170"/>
      <c r="P660" s="189"/>
      <c r="Q660" s="160"/>
      <c r="R660" s="160"/>
      <c r="S660" s="160"/>
      <c r="T660" s="160"/>
      <c r="U660" s="160"/>
      <c r="V660" s="160"/>
      <c r="X660" s="160"/>
      <c r="Y660" s="160"/>
      <c r="AA660" s="160"/>
      <c r="AB660" s="160"/>
      <c r="AC660" s="160"/>
      <c r="AD660" s="190"/>
    </row>
    <row r="661" spans="14:30" x14ac:dyDescent="0.2">
      <c r="N661" s="170"/>
      <c r="P661" s="189"/>
      <c r="Q661" s="160"/>
      <c r="R661" s="160"/>
      <c r="S661" s="160"/>
      <c r="T661" s="160"/>
      <c r="U661" s="160"/>
      <c r="V661" s="160"/>
      <c r="X661" s="160"/>
      <c r="Y661" s="160"/>
      <c r="AA661" s="160"/>
      <c r="AB661" s="160"/>
      <c r="AC661" s="160"/>
      <c r="AD661" s="190"/>
    </row>
    <row r="662" spans="14:30" x14ac:dyDescent="0.2">
      <c r="N662" s="170"/>
      <c r="P662" s="189"/>
      <c r="Q662" s="160"/>
      <c r="R662" s="160"/>
      <c r="S662" s="160"/>
      <c r="T662" s="160"/>
      <c r="U662" s="160"/>
      <c r="V662" s="160"/>
      <c r="X662" s="160"/>
      <c r="Y662" s="160"/>
      <c r="AA662" s="160"/>
      <c r="AB662" s="160"/>
      <c r="AC662" s="160"/>
      <c r="AD662" s="190"/>
    </row>
    <row r="663" spans="14:30" x14ac:dyDescent="0.2">
      <c r="N663" s="170"/>
      <c r="P663" s="189"/>
      <c r="Q663" s="160"/>
      <c r="R663" s="160"/>
      <c r="S663" s="160"/>
      <c r="T663" s="160"/>
      <c r="U663" s="160"/>
      <c r="V663" s="160"/>
      <c r="X663" s="160"/>
      <c r="Y663" s="160"/>
      <c r="AA663" s="160"/>
      <c r="AB663" s="160"/>
      <c r="AC663" s="160"/>
      <c r="AD663" s="190"/>
    </row>
    <row r="664" spans="14:30" x14ac:dyDescent="0.2">
      <c r="N664" s="170"/>
      <c r="P664" s="189"/>
      <c r="Q664" s="160"/>
      <c r="R664" s="160"/>
      <c r="S664" s="160"/>
      <c r="T664" s="160"/>
      <c r="U664" s="160"/>
      <c r="V664" s="160"/>
      <c r="X664" s="160"/>
      <c r="Y664" s="160"/>
      <c r="AA664" s="160"/>
      <c r="AB664" s="160"/>
      <c r="AC664" s="160"/>
      <c r="AD664" s="190"/>
    </row>
    <row r="665" spans="14:30" x14ac:dyDescent="0.2">
      <c r="N665" s="170"/>
      <c r="P665" s="189"/>
      <c r="Q665" s="160"/>
      <c r="R665" s="160"/>
      <c r="S665" s="160"/>
      <c r="T665" s="160"/>
      <c r="U665" s="160"/>
      <c r="V665" s="160"/>
      <c r="X665" s="160"/>
      <c r="Y665" s="160"/>
      <c r="AA665" s="160"/>
      <c r="AB665" s="160"/>
      <c r="AC665" s="160"/>
      <c r="AD665" s="190"/>
    </row>
    <row r="666" spans="14:30" x14ac:dyDescent="0.2">
      <c r="N666" s="170"/>
      <c r="P666" s="189"/>
      <c r="Q666" s="160"/>
      <c r="R666" s="160"/>
      <c r="S666" s="160"/>
      <c r="T666" s="160"/>
      <c r="U666" s="160"/>
      <c r="V666" s="160"/>
      <c r="X666" s="160"/>
      <c r="Y666" s="160"/>
      <c r="AA666" s="160"/>
      <c r="AB666" s="160"/>
      <c r="AC666" s="160"/>
      <c r="AD666" s="190"/>
    </row>
    <row r="667" spans="14:30" x14ac:dyDescent="0.2">
      <c r="N667" s="170"/>
      <c r="P667" s="189"/>
      <c r="Q667" s="160"/>
      <c r="R667" s="160"/>
      <c r="S667" s="160"/>
      <c r="T667" s="160"/>
      <c r="U667" s="160"/>
      <c r="V667" s="160"/>
      <c r="X667" s="160"/>
      <c r="Y667" s="160"/>
      <c r="AA667" s="160"/>
      <c r="AB667" s="160"/>
      <c r="AC667" s="160"/>
      <c r="AD667" s="190"/>
    </row>
    <row r="668" spans="14:30" x14ac:dyDescent="0.2">
      <c r="N668" s="170"/>
      <c r="P668" s="189"/>
      <c r="Q668" s="160"/>
      <c r="R668" s="160"/>
      <c r="S668" s="160"/>
      <c r="T668" s="160"/>
      <c r="U668" s="160"/>
      <c r="V668" s="160"/>
      <c r="X668" s="160"/>
      <c r="Y668" s="160"/>
      <c r="AA668" s="160"/>
      <c r="AB668" s="160"/>
      <c r="AC668" s="160"/>
      <c r="AD668" s="190"/>
    </row>
    <row r="669" spans="14:30" x14ac:dyDescent="0.2">
      <c r="N669" s="170"/>
      <c r="P669" s="189"/>
      <c r="Q669" s="160"/>
      <c r="R669" s="160"/>
      <c r="S669" s="160"/>
      <c r="T669" s="160"/>
      <c r="U669" s="160"/>
      <c r="V669" s="160"/>
      <c r="X669" s="160"/>
      <c r="Y669" s="160"/>
      <c r="AA669" s="160"/>
      <c r="AB669" s="160"/>
      <c r="AC669" s="160"/>
      <c r="AD669" s="190"/>
    </row>
    <row r="670" spans="14:30" x14ac:dyDescent="0.2">
      <c r="N670" s="170"/>
      <c r="P670" s="189"/>
      <c r="Q670" s="160"/>
      <c r="R670" s="160"/>
      <c r="S670" s="160"/>
      <c r="T670" s="160"/>
      <c r="U670" s="160"/>
      <c r="V670" s="160"/>
      <c r="X670" s="160"/>
      <c r="Y670" s="160"/>
      <c r="AA670" s="160"/>
      <c r="AB670" s="160"/>
      <c r="AC670" s="160"/>
      <c r="AD670" s="190"/>
    </row>
    <row r="671" spans="14:30" x14ac:dyDescent="0.2">
      <c r="N671" s="170"/>
      <c r="P671" s="189"/>
      <c r="Q671" s="160"/>
      <c r="R671" s="160"/>
      <c r="S671" s="160"/>
      <c r="T671" s="160"/>
      <c r="U671" s="160"/>
      <c r="V671" s="160"/>
      <c r="X671" s="160"/>
      <c r="Y671" s="160"/>
      <c r="AA671" s="160"/>
      <c r="AB671" s="160"/>
      <c r="AC671" s="160"/>
      <c r="AD671" s="190"/>
    </row>
    <row r="672" spans="14:30" x14ac:dyDescent="0.2">
      <c r="N672" s="170"/>
      <c r="P672" s="189"/>
      <c r="Q672" s="160"/>
      <c r="R672" s="160"/>
      <c r="S672" s="160"/>
      <c r="T672" s="160"/>
      <c r="U672" s="160"/>
      <c r="V672" s="160"/>
      <c r="X672" s="160"/>
      <c r="Y672" s="160"/>
      <c r="AA672" s="160"/>
      <c r="AB672" s="160"/>
      <c r="AC672" s="160"/>
      <c r="AD672" s="190"/>
    </row>
    <row r="673" spans="14:30" x14ac:dyDescent="0.2">
      <c r="N673" s="170"/>
      <c r="P673" s="189"/>
      <c r="Q673" s="160"/>
      <c r="R673" s="160"/>
      <c r="S673" s="160"/>
      <c r="T673" s="160"/>
      <c r="U673" s="160"/>
      <c r="V673" s="160"/>
      <c r="X673" s="160"/>
      <c r="Y673" s="160"/>
      <c r="AA673" s="160"/>
      <c r="AB673" s="160"/>
      <c r="AC673" s="160"/>
      <c r="AD673" s="190"/>
    </row>
    <row r="674" spans="14:30" x14ac:dyDescent="0.2">
      <c r="N674" s="170"/>
      <c r="P674" s="189"/>
      <c r="Q674" s="160"/>
      <c r="R674" s="160"/>
      <c r="S674" s="160"/>
      <c r="T674" s="160"/>
      <c r="U674" s="160"/>
      <c r="V674" s="160"/>
      <c r="X674" s="160"/>
      <c r="Y674" s="160"/>
      <c r="AA674" s="160"/>
      <c r="AB674" s="160"/>
      <c r="AC674" s="160"/>
      <c r="AD674" s="190"/>
    </row>
    <row r="675" spans="14:30" x14ac:dyDescent="0.2">
      <c r="N675" s="170"/>
      <c r="P675" s="189"/>
      <c r="Q675" s="160"/>
      <c r="R675" s="160"/>
      <c r="S675" s="160"/>
      <c r="T675" s="160"/>
      <c r="U675" s="160"/>
      <c r="V675" s="160"/>
      <c r="X675" s="160"/>
      <c r="Y675" s="160"/>
      <c r="AA675" s="160"/>
      <c r="AB675" s="160"/>
      <c r="AC675" s="160"/>
      <c r="AD675" s="190"/>
    </row>
    <row r="676" spans="14:30" x14ac:dyDescent="0.2">
      <c r="N676" s="170"/>
      <c r="P676" s="189"/>
      <c r="Q676" s="160"/>
      <c r="R676" s="160"/>
      <c r="S676" s="160"/>
      <c r="T676" s="160"/>
      <c r="U676" s="160"/>
      <c r="V676" s="160"/>
      <c r="X676" s="160"/>
      <c r="Y676" s="160"/>
      <c r="AA676" s="160"/>
      <c r="AB676" s="160"/>
      <c r="AC676" s="160"/>
      <c r="AD676" s="190"/>
    </row>
    <row r="677" spans="14:30" x14ac:dyDescent="0.2">
      <c r="N677" s="170"/>
      <c r="P677" s="189"/>
      <c r="Q677" s="160"/>
      <c r="R677" s="160"/>
      <c r="S677" s="160"/>
      <c r="T677" s="160"/>
      <c r="U677" s="160"/>
      <c r="V677" s="160"/>
      <c r="X677" s="160"/>
      <c r="Y677" s="160"/>
      <c r="AA677" s="160"/>
      <c r="AB677" s="160"/>
      <c r="AC677" s="160"/>
      <c r="AD677" s="190"/>
    </row>
    <row r="678" spans="14:30" x14ac:dyDescent="0.2">
      <c r="N678" s="170"/>
      <c r="P678" s="189"/>
      <c r="Q678" s="160"/>
      <c r="R678" s="160"/>
      <c r="S678" s="160"/>
      <c r="T678" s="160"/>
      <c r="U678" s="160"/>
      <c r="V678" s="160"/>
      <c r="X678" s="160"/>
      <c r="Y678" s="160"/>
      <c r="AA678" s="160"/>
      <c r="AB678" s="160"/>
      <c r="AC678" s="160"/>
      <c r="AD678" s="190"/>
    </row>
    <row r="679" spans="14:30" x14ac:dyDescent="0.2">
      <c r="N679" s="170"/>
      <c r="P679" s="189"/>
      <c r="Q679" s="160"/>
      <c r="R679" s="160"/>
      <c r="S679" s="160"/>
      <c r="T679" s="160"/>
      <c r="U679" s="160"/>
      <c r="V679" s="160"/>
      <c r="X679" s="160"/>
      <c r="Y679" s="160"/>
      <c r="AA679" s="160"/>
      <c r="AB679" s="160"/>
      <c r="AC679" s="160"/>
      <c r="AD679" s="190"/>
    </row>
    <row r="680" spans="14:30" x14ac:dyDescent="0.2">
      <c r="N680" s="170"/>
      <c r="P680" s="189"/>
      <c r="Q680" s="160"/>
      <c r="R680" s="160"/>
      <c r="S680" s="160"/>
      <c r="T680" s="160"/>
      <c r="U680" s="160"/>
      <c r="V680" s="160"/>
      <c r="X680" s="160"/>
      <c r="Y680" s="160"/>
      <c r="AA680" s="160"/>
      <c r="AB680" s="160"/>
      <c r="AC680" s="160"/>
      <c r="AD680" s="190"/>
    </row>
    <row r="681" spans="14:30" x14ac:dyDescent="0.2">
      <c r="N681" s="170"/>
      <c r="P681" s="189"/>
      <c r="Q681" s="160"/>
      <c r="R681" s="160"/>
      <c r="S681" s="160"/>
      <c r="T681" s="160"/>
      <c r="U681" s="160"/>
      <c r="V681" s="160"/>
      <c r="X681" s="160"/>
      <c r="Y681" s="160"/>
      <c r="AA681" s="160"/>
      <c r="AB681" s="160"/>
      <c r="AC681" s="160"/>
      <c r="AD681" s="190"/>
    </row>
    <row r="682" spans="14:30" x14ac:dyDescent="0.2">
      <c r="N682" s="170"/>
      <c r="P682" s="189"/>
      <c r="Q682" s="160"/>
      <c r="R682" s="160"/>
      <c r="S682" s="160"/>
      <c r="T682" s="160"/>
      <c r="U682" s="160"/>
      <c r="V682" s="160"/>
      <c r="X682" s="160"/>
      <c r="Y682" s="160"/>
      <c r="AA682" s="160"/>
      <c r="AB682" s="160"/>
      <c r="AC682" s="160"/>
      <c r="AD682" s="190"/>
    </row>
    <row r="683" spans="14:30" x14ac:dyDescent="0.2">
      <c r="N683" s="170"/>
      <c r="P683" s="189"/>
      <c r="Q683" s="160"/>
      <c r="R683" s="160"/>
      <c r="S683" s="160"/>
      <c r="T683" s="160"/>
      <c r="U683" s="160"/>
      <c r="V683" s="160"/>
      <c r="X683" s="160"/>
      <c r="Y683" s="160"/>
      <c r="AA683" s="160"/>
      <c r="AB683" s="160"/>
      <c r="AC683" s="160"/>
      <c r="AD683" s="190"/>
    </row>
    <row r="684" spans="14:30" x14ac:dyDescent="0.2">
      <c r="N684" s="170"/>
      <c r="P684" s="189"/>
      <c r="Q684" s="160"/>
      <c r="R684" s="160"/>
      <c r="S684" s="160"/>
      <c r="T684" s="160"/>
      <c r="U684" s="160"/>
      <c r="V684" s="160"/>
      <c r="X684" s="160"/>
      <c r="Y684" s="160"/>
      <c r="AA684" s="160"/>
      <c r="AB684" s="160"/>
      <c r="AC684" s="160"/>
      <c r="AD684" s="190"/>
    </row>
    <row r="685" spans="14:30" x14ac:dyDescent="0.2">
      <c r="N685" s="170"/>
      <c r="P685" s="189"/>
      <c r="Q685" s="160"/>
      <c r="R685" s="160"/>
      <c r="S685" s="160"/>
      <c r="T685" s="160"/>
      <c r="U685" s="160"/>
      <c r="V685" s="160"/>
      <c r="X685" s="160"/>
      <c r="Y685" s="160"/>
      <c r="AA685" s="160"/>
      <c r="AB685" s="160"/>
      <c r="AC685" s="160"/>
      <c r="AD685" s="190"/>
    </row>
    <row r="686" spans="14:30" x14ac:dyDescent="0.2">
      <c r="N686" s="170"/>
      <c r="P686" s="189"/>
      <c r="Q686" s="160"/>
      <c r="R686" s="160"/>
      <c r="S686" s="160"/>
      <c r="T686" s="160"/>
      <c r="U686" s="160"/>
      <c r="V686" s="160"/>
      <c r="X686" s="160"/>
      <c r="Y686" s="160"/>
      <c r="AA686" s="160"/>
      <c r="AB686" s="160"/>
      <c r="AC686" s="160"/>
      <c r="AD686" s="190"/>
    </row>
    <row r="687" spans="14:30" x14ac:dyDescent="0.2">
      <c r="N687" s="170"/>
      <c r="P687" s="189"/>
      <c r="Q687" s="160"/>
      <c r="R687" s="160"/>
      <c r="S687" s="160"/>
      <c r="T687" s="160"/>
      <c r="U687" s="160"/>
      <c r="V687" s="160"/>
      <c r="X687" s="160"/>
      <c r="Y687" s="160"/>
      <c r="AA687" s="160"/>
      <c r="AB687" s="160"/>
      <c r="AC687" s="160"/>
      <c r="AD687" s="190"/>
    </row>
    <row r="688" spans="14:30" x14ac:dyDescent="0.2">
      <c r="N688" s="170"/>
      <c r="P688" s="189"/>
      <c r="Q688" s="160"/>
      <c r="R688" s="160"/>
      <c r="S688" s="160"/>
      <c r="T688" s="160"/>
      <c r="U688" s="160"/>
      <c r="V688" s="160"/>
      <c r="X688" s="160"/>
      <c r="Y688" s="160"/>
      <c r="AA688" s="160"/>
      <c r="AB688" s="160"/>
      <c r="AC688" s="160"/>
      <c r="AD688" s="190"/>
    </row>
    <row r="689" spans="14:30" x14ac:dyDescent="0.2">
      <c r="N689" s="170"/>
      <c r="P689" s="189"/>
      <c r="Q689" s="160"/>
      <c r="R689" s="160"/>
      <c r="S689" s="160"/>
      <c r="T689" s="160"/>
      <c r="U689" s="160"/>
      <c r="V689" s="160"/>
      <c r="X689" s="160"/>
      <c r="Y689" s="160"/>
      <c r="AA689" s="160"/>
      <c r="AB689" s="160"/>
      <c r="AC689" s="160"/>
      <c r="AD689" s="190"/>
    </row>
    <row r="690" spans="14:30" x14ac:dyDescent="0.2">
      <c r="N690" s="170"/>
      <c r="P690" s="189"/>
      <c r="Q690" s="160"/>
      <c r="R690" s="160"/>
      <c r="S690" s="160"/>
      <c r="T690" s="160"/>
      <c r="U690" s="160"/>
      <c r="V690" s="160"/>
      <c r="X690" s="160"/>
      <c r="Y690" s="160"/>
      <c r="AA690" s="160"/>
      <c r="AB690" s="160"/>
      <c r="AC690" s="160"/>
      <c r="AD690" s="190"/>
    </row>
    <row r="691" spans="14:30" x14ac:dyDescent="0.2">
      <c r="N691" s="170"/>
      <c r="P691" s="189"/>
      <c r="Q691" s="160"/>
      <c r="R691" s="160"/>
      <c r="S691" s="160"/>
      <c r="T691" s="160"/>
      <c r="U691" s="160"/>
      <c r="V691" s="160"/>
      <c r="X691" s="160"/>
      <c r="Y691" s="160"/>
      <c r="AA691" s="160"/>
      <c r="AB691" s="160"/>
      <c r="AC691" s="160"/>
      <c r="AD691" s="190"/>
    </row>
    <row r="692" spans="14:30" x14ac:dyDescent="0.2">
      <c r="N692" s="170"/>
      <c r="P692" s="189"/>
      <c r="Q692" s="160"/>
      <c r="R692" s="160"/>
      <c r="S692" s="160"/>
      <c r="T692" s="160"/>
      <c r="U692" s="160"/>
      <c r="V692" s="160"/>
      <c r="X692" s="160"/>
      <c r="Y692" s="160"/>
      <c r="AA692" s="160"/>
      <c r="AB692" s="160"/>
      <c r="AC692" s="160"/>
      <c r="AD692" s="190"/>
    </row>
    <row r="693" spans="14:30" x14ac:dyDescent="0.2">
      <c r="N693" s="170"/>
      <c r="P693" s="189"/>
      <c r="Q693" s="160"/>
      <c r="R693" s="160"/>
      <c r="S693" s="160"/>
      <c r="T693" s="160"/>
      <c r="U693" s="160"/>
      <c r="V693" s="160"/>
      <c r="X693" s="160"/>
      <c r="Y693" s="160"/>
      <c r="AA693" s="160"/>
      <c r="AB693" s="160"/>
      <c r="AC693" s="160"/>
      <c r="AD693" s="190"/>
    </row>
    <row r="694" spans="14:30" x14ac:dyDescent="0.2">
      <c r="N694" s="170"/>
      <c r="P694" s="189"/>
      <c r="Q694" s="160"/>
      <c r="R694" s="160"/>
      <c r="S694" s="160"/>
      <c r="T694" s="160"/>
      <c r="U694" s="160"/>
      <c r="V694" s="160"/>
      <c r="X694" s="160"/>
      <c r="Y694" s="160"/>
      <c r="AA694" s="160"/>
      <c r="AB694" s="160"/>
      <c r="AC694" s="160"/>
      <c r="AD694" s="190"/>
    </row>
    <row r="695" spans="14:30" x14ac:dyDescent="0.2">
      <c r="N695" s="170"/>
      <c r="P695" s="189"/>
      <c r="Q695" s="160"/>
      <c r="R695" s="160"/>
      <c r="S695" s="160"/>
      <c r="T695" s="160"/>
      <c r="U695" s="160"/>
      <c r="V695" s="160"/>
      <c r="X695" s="160"/>
      <c r="Y695" s="160"/>
      <c r="AA695" s="160"/>
      <c r="AB695" s="160"/>
      <c r="AC695" s="160"/>
      <c r="AD695" s="190"/>
    </row>
    <row r="696" spans="14:30" x14ac:dyDescent="0.2">
      <c r="N696" s="170"/>
      <c r="P696" s="189"/>
      <c r="Q696" s="160"/>
      <c r="R696" s="160"/>
      <c r="S696" s="160"/>
      <c r="T696" s="160"/>
      <c r="U696" s="160"/>
      <c r="V696" s="160"/>
      <c r="X696" s="160"/>
      <c r="Y696" s="160"/>
      <c r="AA696" s="160"/>
      <c r="AB696" s="160"/>
      <c r="AC696" s="160"/>
      <c r="AD696" s="190"/>
    </row>
    <row r="697" spans="14:30" x14ac:dyDescent="0.2">
      <c r="N697" s="170"/>
      <c r="P697" s="189"/>
      <c r="Q697" s="160"/>
      <c r="R697" s="160"/>
      <c r="S697" s="160"/>
      <c r="T697" s="160"/>
      <c r="U697" s="160"/>
      <c r="V697" s="160"/>
      <c r="X697" s="160"/>
      <c r="Y697" s="160"/>
      <c r="AA697" s="160"/>
      <c r="AB697" s="160"/>
      <c r="AC697" s="160"/>
      <c r="AD697" s="190"/>
    </row>
    <row r="698" spans="14:30" x14ac:dyDescent="0.2">
      <c r="N698" s="170"/>
      <c r="P698" s="189"/>
      <c r="Q698" s="160"/>
      <c r="R698" s="160"/>
      <c r="S698" s="160"/>
      <c r="T698" s="160"/>
      <c r="U698" s="160"/>
      <c r="V698" s="160"/>
      <c r="X698" s="160"/>
      <c r="Y698" s="160"/>
      <c r="AA698" s="160"/>
      <c r="AB698" s="160"/>
      <c r="AC698" s="160"/>
      <c r="AD698" s="190"/>
    </row>
    <row r="699" spans="14:30" x14ac:dyDescent="0.2">
      <c r="N699" s="170"/>
      <c r="P699" s="189"/>
      <c r="Q699" s="160"/>
      <c r="R699" s="160"/>
      <c r="S699" s="160"/>
      <c r="T699" s="160"/>
      <c r="U699" s="160"/>
      <c r="V699" s="160"/>
      <c r="X699" s="160"/>
      <c r="Y699" s="160"/>
      <c r="AA699" s="160"/>
      <c r="AB699" s="160"/>
      <c r="AC699" s="160"/>
      <c r="AD699" s="190"/>
    </row>
    <row r="700" spans="14:30" x14ac:dyDescent="0.2">
      <c r="N700" s="170"/>
      <c r="P700" s="189"/>
      <c r="Q700" s="160"/>
      <c r="R700" s="160"/>
      <c r="S700" s="160"/>
      <c r="T700" s="160"/>
      <c r="U700" s="160"/>
      <c r="V700" s="160"/>
      <c r="X700" s="160"/>
      <c r="Y700" s="160"/>
      <c r="AA700" s="160"/>
      <c r="AB700" s="160"/>
      <c r="AC700" s="160"/>
      <c r="AD700" s="190"/>
    </row>
    <row r="701" spans="14:30" x14ac:dyDescent="0.2">
      <c r="N701" s="170"/>
      <c r="P701" s="189"/>
      <c r="Q701" s="160"/>
      <c r="R701" s="160"/>
      <c r="S701" s="160"/>
      <c r="T701" s="160"/>
      <c r="U701" s="160"/>
      <c r="V701" s="160"/>
      <c r="X701" s="160"/>
      <c r="Y701" s="160"/>
      <c r="AA701" s="160"/>
      <c r="AB701" s="160"/>
      <c r="AC701" s="160"/>
      <c r="AD701" s="190"/>
    </row>
    <row r="702" spans="14:30" x14ac:dyDescent="0.2">
      <c r="N702" s="170"/>
      <c r="P702" s="189"/>
      <c r="Q702" s="160"/>
      <c r="R702" s="160"/>
      <c r="S702" s="160"/>
      <c r="T702" s="160"/>
      <c r="U702" s="160"/>
      <c r="V702" s="160"/>
      <c r="X702" s="160"/>
      <c r="Y702" s="160"/>
      <c r="AA702" s="160"/>
      <c r="AB702" s="160"/>
      <c r="AC702" s="160"/>
      <c r="AD702" s="190"/>
    </row>
    <row r="703" spans="14:30" x14ac:dyDescent="0.2">
      <c r="N703" s="170"/>
      <c r="P703" s="189"/>
      <c r="Q703" s="160"/>
      <c r="R703" s="160"/>
      <c r="S703" s="160"/>
      <c r="T703" s="160"/>
      <c r="U703" s="160"/>
      <c r="V703" s="160"/>
      <c r="X703" s="160"/>
      <c r="Y703" s="160"/>
      <c r="AA703" s="160"/>
      <c r="AB703" s="160"/>
      <c r="AC703" s="160"/>
      <c r="AD703" s="190"/>
    </row>
    <row r="704" spans="14:30" x14ac:dyDescent="0.2">
      <c r="N704" s="170"/>
      <c r="P704" s="189"/>
      <c r="Q704" s="160"/>
      <c r="R704" s="160"/>
      <c r="S704" s="160"/>
      <c r="T704" s="160"/>
      <c r="U704" s="160"/>
      <c r="V704" s="160"/>
      <c r="X704" s="160"/>
      <c r="Y704" s="160"/>
      <c r="AA704" s="160"/>
      <c r="AB704" s="160"/>
      <c r="AC704" s="160"/>
      <c r="AD704" s="190"/>
    </row>
    <row r="705" spans="14:30" x14ac:dyDescent="0.2">
      <c r="N705" s="170"/>
      <c r="P705" s="189"/>
      <c r="Q705" s="160"/>
      <c r="R705" s="160"/>
      <c r="S705" s="160"/>
      <c r="T705" s="160"/>
      <c r="U705" s="160"/>
      <c r="V705" s="160"/>
      <c r="X705" s="160"/>
      <c r="Y705" s="160"/>
      <c r="AA705" s="160"/>
      <c r="AB705" s="160"/>
      <c r="AC705" s="160"/>
      <c r="AD705" s="190"/>
    </row>
    <row r="706" spans="14:30" x14ac:dyDescent="0.2">
      <c r="N706" s="170"/>
      <c r="P706" s="189"/>
      <c r="Q706" s="160"/>
      <c r="R706" s="160"/>
      <c r="S706" s="160"/>
      <c r="T706" s="160"/>
      <c r="U706" s="160"/>
      <c r="V706" s="160"/>
      <c r="X706" s="160"/>
      <c r="Y706" s="160"/>
      <c r="AA706" s="160"/>
      <c r="AB706" s="160"/>
      <c r="AC706" s="160"/>
      <c r="AD706" s="190"/>
    </row>
    <row r="707" spans="14:30" x14ac:dyDescent="0.2">
      <c r="N707" s="170"/>
      <c r="P707" s="189"/>
      <c r="Q707" s="160"/>
      <c r="R707" s="160"/>
      <c r="S707" s="160"/>
      <c r="T707" s="160"/>
      <c r="U707" s="160"/>
      <c r="V707" s="160"/>
      <c r="X707" s="160"/>
      <c r="Y707" s="160"/>
      <c r="AA707" s="160"/>
      <c r="AB707" s="160"/>
      <c r="AC707" s="160"/>
      <c r="AD707" s="190"/>
    </row>
    <row r="708" spans="14:30" x14ac:dyDescent="0.2">
      <c r="N708" s="170"/>
      <c r="P708" s="189"/>
      <c r="Q708" s="160"/>
      <c r="R708" s="160"/>
      <c r="S708" s="160"/>
      <c r="T708" s="160"/>
      <c r="U708" s="160"/>
      <c r="V708" s="160"/>
      <c r="X708" s="160"/>
      <c r="Y708" s="160"/>
      <c r="AA708" s="160"/>
      <c r="AB708" s="160"/>
      <c r="AC708" s="160"/>
      <c r="AD708" s="190"/>
    </row>
  </sheetData>
  <mergeCells count="29">
    <mergeCell ref="AP17:AR17"/>
    <mergeCell ref="AC17:AE17"/>
    <mergeCell ref="AS16:AU16"/>
    <mergeCell ref="AS17:AU17"/>
    <mergeCell ref="AG17:AI17"/>
    <mergeCell ref="AJ17:AL17"/>
    <mergeCell ref="AM17:AO17"/>
    <mergeCell ref="AF16:AR16"/>
    <mergeCell ref="AF4:AR4"/>
    <mergeCell ref="AS4:AU4"/>
    <mergeCell ref="Q5:S5"/>
    <mergeCell ref="T5:V5"/>
    <mergeCell ref="W5:Y5"/>
    <mergeCell ref="Z5:AB5"/>
    <mergeCell ref="AC5:AE5"/>
    <mergeCell ref="AG5:AI5"/>
    <mergeCell ref="AJ5:AL5"/>
    <mergeCell ref="AM5:AO5"/>
    <mergeCell ref="AP5:AR5"/>
    <mergeCell ref="AS5:AU5"/>
    <mergeCell ref="A1:M1"/>
    <mergeCell ref="E6:K6"/>
    <mergeCell ref="Q17:S17"/>
    <mergeCell ref="T17:V17"/>
    <mergeCell ref="W17:Y17"/>
    <mergeCell ref="P16:AE16"/>
    <mergeCell ref="Z17:AB17"/>
    <mergeCell ref="N1:X1"/>
    <mergeCell ref="P4:AE4"/>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53"/>
  <sheetViews>
    <sheetView zoomScale="70" zoomScaleNormal="70" workbookViewId="0">
      <selection activeCell="B51" sqref="B51"/>
    </sheetView>
  </sheetViews>
  <sheetFormatPr baseColWidth="10" defaultColWidth="8.83203125" defaultRowHeight="15" x14ac:dyDescent="0.2"/>
  <cols>
    <col min="1" max="1" width="26.6640625" customWidth="1"/>
    <col min="2" max="2" width="25.5" customWidth="1"/>
    <col min="3" max="3" width="10.1640625" customWidth="1"/>
  </cols>
  <sheetData>
    <row r="1" spans="1:9" ht="28" x14ac:dyDescent="0.3">
      <c r="A1" s="229" t="s">
        <v>80</v>
      </c>
      <c r="B1" s="229"/>
      <c r="C1" s="229"/>
      <c r="D1" s="229"/>
      <c r="E1" s="229"/>
      <c r="F1" s="229"/>
      <c r="G1" s="229"/>
      <c r="H1" s="229"/>
      <c r="I1" s="229"/>
    </row>
    <row r="2" spans="1:9" x14ac:dyDescent="0.2">
      <c r="A2" s="5"/>
      <c r="B2" s="5" t="s">
        <v>16</v>
      </c>
      <c r="C2" s="6"/>
      <c r="D2" s="4"/>
      <c r="E2" s="5"/>
      <c r="F2" s="5"/>
      <c r="G2" s="5"/>
      <c r="H2" s="5"/>
      <c r="I2" s="5"/>
    </row>
    <row r="3" spans="1:9" x14ac:dyDescent="0.2">
      <c r="A3" s="5"/>
      <c r="B3" s="5" t="s">
        <v>17</v>
      </c>
      <c r="C3" s="7"/>
      <c r="D3" s="4"/>
      <c r="E3" s="5"/>
      <c r="F3" s="5"/>
      <c r="G3" s="5"/>
      <c r="H3" s="5"/>
      <c r="I3" s="5"/>
    </row>
    <row r="4" spans="1:9" x14ac:dyDescent="0.2">
      <c r="A4" s="5"/>
      <c r="B4" s="5" t="s">
        <v>18</v>
      </c>
      <c r="C4" s="8"/>
      <c r="D4" s="4"/>
      <c r="E4" s="5"/>
      <c r="F4" s="5"/>
      <c r="G4" s="5"/>
      <c r="H4" s="5"/>
      <c r="I4" s="5"/>
    </row>
    <row r="5" spans="1:9" x14ac:dyDescent="0.2">
      <c r="A5" s="9" t="s">
        <v>19</v>
      </c>
      <c r="B5" s="9" t="s">
        <v>20</v>
      </c>
      <c r="C5" s="9" t="s">
        <v>21</v>
      </c>
      <c r="D5" s="4"/>
      <c r="E5" s="230" t="s">
        <v>22</v>
      </c>
      <c r="F5" s="230"/>
      <c r="G5" s="230"/>
      <c r="H5" s="230"/>
      <c r="I5" s="9"/>
    </row>
    <row r="6" spans="1:9" x14ac:dyDescent="0.2">
      <c r="A6" s="9"/>
      <c r="B6" s="9"/>
      <c r="C6" s="9"/>
      <c r="D6" s="4"/>
      <c r="E6" s="5"/>
      <c r="F6" s="5"/>
      <c r="G6" s="5"/>
      <c r="H6" s="5"/>
      <c r="I6" s="9"/>
    </row>
    <row r="7" spans="1:9" x14ac:dyDescent="0.2">
      <c r="A7" s="9" t="s">
        <v>58</v>
      </c>
      <c r="B7" s="9"/>
      <c r="C7" s="9"/>
      <c r="D7" s="4"/>
      <c r="E7" s="5"/>
      <c r="F7" s="5"/>
      <c r="G7" s="5"/>
      <c r="H7" s="5"/>
      <c r="I7" s="9"/>
    </row>
    <row r="8" spans="1:9" x14ac:dyDescent="0.2">
      <c r="A8" s="9"/>
      <c r="B8" s="9"/>
      <c r="C8" s="9"/>
      <c r="D8" s="4"/>
      <c r="E8" s="5"/>
      <c r="F8" s="5"/>
      <c r="G8" s="5"/>
      <c r="H8" s="5"/>
      <c r="I8" s="9"/>
    </row>
    <row r="9" spans="1:9" x14ac:dyDescent="0.2">
      <c r="A9" t="s">
        <v>47</v>
      </c>
      <c r="B9" s="12">
        <v>0.8</v>
      </c>
      <c r="D9" t="s">
        <v>50</v>
      </c>
    </row>
    <row r="10" spans="1:9" x14ac:dyDescent="0.2">
      <c r="A10" t="s">
        <v>51</v>
      </c>
      <c r="B10" s="13">
        <f>(1-B9)/(2.2*10^6)</f>
        <v>9.0909090909090888E-8</v>
      </c>
      <c r="C10" t="s">
        <v>54</v>
      </c>
      <c r="D10" t="s">
        <v>57</v>
      </c>
    </row>
    <row r="11" spans="1:9" x14ac:dyDescent="0.2">
      <c r="A11" t="s">
        <v>48</v>
      </c>
      <c r="B11" s="12">
        <v>0.85</v>
      </c>
      <c r="D11" t="s">
        <v>50</v>
      </c>
    </row>
    <row r="12" spans="1:9" x14ac:dyDescent="0.2">
      <c r="A12" t="s">
        <v>52</v>
      </c>
      <c r="B12" s="13">
        <f>(1-B11)/(2.2*10^6)</f>
        <v>6.8181818181818186E-8</v>
      </c>
      <c r="C12" t="s">
        <v>54</v>
      </c>
      <c r="D12" t="s">
        <v>56</v>
      </c>
    </row>
    <row r="13" spans="1:9" x14ac:dyDescent="0.2">
      <c r="A13" t="s">
        <v>49</v>
      </c>
      <c r="B13" s="12">
        <v>0.9</v>
      </c>
      <c r="D13" t="s">
        <v>50</v>
      </c>
    </row>
    <row r="14" spans="1:9" x14ac:dyDescent="0.2">
      <c r="A14" t="s">
        <v>53</v>
      </c>
      <c r="B14" s="13">
        <f>(1-B13)/(2.2*10^6)</f>
        <v>4.5454545454545444E-8</v>
      </c>
      <c r="C14" t="s">
        <v>54</v>
      </c>
      <c r="D14" t="s">
        <v>55</v>
      </c>
    </row>
    <row r="16" spans="1:9" x14ac:dyDescent="0.2">
      <c r="A16" t="s">
        <v>59</v>
      </c>
      <c r="B16" s="12">
        <v>0.9</v>
      </c>
      <c r="D16" t="s">
        <v>65</v>
      </c>
    </row>
    <row r="17" spans="1:4" x14ac:dyDescent="0.2">
      <c r="A17" t="s">
        <v>60</v>
      </c>
      <c r="B17" s="12">
        <v>0.93</v>
      </c>
      <c r="D17" t="s">
        <v>62</v>
      </c>
    </row>
    <row r="18" spans="1:4" x14ac:dyDescent="0.2">
      <c r="A18" t="s">
        <v>61</v>
      </c>
      <c r="B18" s="12">
        <v>0.96</v>
      </c>
      <c r="D18" t="s">
        <v>66</v>
      </c>
    </row>
    <row r="19" spans="1:4" x14ac:dyDescent="0.2">
      <c r="B19">
        <f>IF(((1-D_limit_nom)/Constants!B12)&lt;Fsw,2,1)</f>
        <v>1</v>
      </c>
      <c r="D19" t="s">
        <v>72</v>
      </c>
    </row>
    <row r="20" spans="1:4" x14ac:dyDescent="0.2">
      <c r="A20" t="s">
        <v>78</v>
      </c>
      <c r="B20" s="1">
        <f>CHOOSE(B19,D_limit_nom,(1-Constants!B12*Fsw))</f>
        <v>0.93</v>
      </c>
      <c r="D20" t="s">
        <v>79</v>
      </c>
    </row>
    <row r="22" spans="1:4" x14ac:dyDescent="0.2">
      <c r="A22" t="s">
        <v>88</v>
      </c>
      <c r="B22" s="12">
        <f>50*10^-9</f>
        <v>5.0000000000000004E-8</v>
      </c>
      <c r="C22" t="s">
        <v>54</v>
      </c>
      <c r="D22" t="s">
        <v>89</v>
      </c>
    </row>
    <row r="23" spans="1:4" x14ac:dyDescent="0.2">
      <c r="B23" s="12"/>
    </row>
    <row r="24" spans="1:4" ht="16" x14ac:dyDescent="0.2">
      <c r="A24" s="29" t="s">
        <v>171</v>
      </c>
    </row>
    <row r="25" spans="1:4" x14ac:dyDescent="0.2">
      <c r="A25" t="s">
        <v>144</v>
      </c>
      <c r="B25" s="12">
        <f>30*10^-6</f>
        <v>2.9999999999999997E-5</v>
      </c>
      <c r="C25" t="s">
        <v>11</v>
      </c>
      <c r="D25" t="s">
        <v>145</v>
      </c>
    </row>
    <row r="26" spans="1:4" x14ac:dyDescent="0.2">
      <c r="A26" t="s">
        <v>146</v>
      </c>
      <c r="B26" s="12">
        <v>1333</v>
      </c>
      <c r="C26" s="2" t="s">
        <v>36</v>
      </c>
      <c r="D26" t="s">
        <v>147</v>
      </c>
    </row>
    <row r="27" spans="1:4" x14ac:dyDescent="0.2">
      <c r="A27" t="s">
        <v>150</v>
      </c>
      <c r="B27" s="12">
        <f>0.1</f>
        <v>0.1</v>
      </c>
      <c r="C27" s="2" t="s">
        <v>10</v>
      </c>
      <c r="D27" t="s">
        <v>151</v>
      </c>
    </row>
    <row r="28" spans="1:4" x14ac:dyDescent="0.2">
      <c r="A28" t="s">
        <v>520</v>
      </c>
      <c r="B28" s="12">
        <v>2000</v>
      </c>
      <c r="C28" s="2" t="s">
        <v>36</v>
      </c>
      <c r="D28" t="s">
        <v>521</v>
      </c>
    </row>
    <row r="29" spans="1:4" x14ac:dyDescent="0.2">
      <c r="A29" t="s">
        <v>236</v>
      </c>
      <c r="B29" s="12">
        <f>0.145</f>
        <v>0.14499999999999999</v>
      </c>
      <c r="C29" t="s">
        <v>180</v>
      </c>
      <c r="D29" t="s">
        <v>238</v>
      </c>
    </row>
    <row r="30" spans="1:4" x14ac:dyDescent="0.2">
      <c r="A30" t="s">
        <v>240</v>
      </c>
      <c r="B30" s="12">
        <v>1</v>
      </c>
      <c r="C30" t="s">
        <v>180</v>
      </c>
      <c r="D30" t="s">
        <v>241</v>
      </c>
    </row>
    <row r="32" spans="1:4" x14ac:dyDescent="0.2">
      <c r="A32" s="33" t="s">
        <v>261</v>
      </c>
    </row>
    <row r="33" spans="1:4" x14ac:dyDescent="0.2">
      <c r="A33" t="s">
        <v>282</v>
      </c>
      <c r="B33">
        <v>1</v>
      </c>
      <c r="C33" t="s">
        <v>10</v>
      </c>
      <c r="D33" t="s">
        <v>283</v>
      </c>
    </row>
    <row r="34" spans="1:4" x14ac:dyDescent="0.2">
      <c r="A34" t="s">
        <v>265</v>
      </c>
      <c r="B34">
        <f>(2*10^-3)/1</f>
        <v>2E-3</v>
      </c>
      <c r="C34" t="s">
        <v>267</v>
      </c>
      <c r="D34" t="s">
        <v>266</v>
      </c>
    </row>
    <row r="36" spans="1:4" x14ac:dyDescent="0.2">
      <c r="A36" s="33" t="s">
        <v>334</v>
      </c>
    </row>
    <row r="37" spans="1:4" x14ac:dyDescent="0.2">
      <c r="A37" t="s">
        <v>335</v>
      </c>
      <c r="B37">
        <f>10*10^-6</f>
        <v>9.9999999999999991E-6</v>
      </c>
      <c r="C37" t="s">
        <v>11</v>
      </c>
      <c r="D37" t="s">
        <v>336</v>
      </c>
    </row>
    <row r="39" spans="1:4" x14ac:dyDescent="0.2">
      <c r="A39" s="33" t="s">
        <v>355</v>
      </c>
    </row>
    <row r="40" spans="1:4" x14ac:dyDescent="0.2">
      <c r="A40" t="s">
        <v>356</v>
      </c>
      <c r="B40">
        <v>1.5</v>
      </c>
      <c r="C40" t="s">
        <v>10</v>
      </c>
      <c r="D40" t="s">
        <v>359</v>
      </c>
    </row>
    <row r="41" spans="1:4" x14ac:dyDescent="0.2">
      <c r="A41" t="s">
        <v>357</v>
      </c>
      <c r="B41">
        <v>1.45</v>
      </c>
      <c r="C41" t="s">
        <v>10</v>
      </c>
      <c r="D41" t="s">
        <v>358</v>
      </c>
    </row>
    <row r="42" spans="1:4" x14ac:dyDescent="0.2">
      <c r="A42" t="s">
        <v>362</v>
      </c>
      <c r="B42">
        <f>5*10^-6</f>
        <v>4.9999999999999996E-6</v>
      </c>
      <c r="C42" t="s">
        <v>11</v>
      </c>
      <c r="D42" t="s">
        <v>363</v>
      </c>
    </row>
    <row r="44" spans="1:4" x14ac:dyDescent="0.2">
      <c r="A44" s="33" t="s">
        <v>420</v>
      </c>
    </row>
    <row r="45" spans="1:4" x14ac:dyDescent="0.2">
      <c r="A45" t="s">
        <v>421</v>
      </c>
      <c r="B45">
        <v>6.75</v>
      </c>
      <c r="C45" t="s">
        <v>10</v>
      </c>
      <c r="D45" t="s">
        <v>422</v>
      </c>
    </row>
    <row r="47" spans="1:4" x14ac:dyDescent="0.2">
      <c r="A47" s="33" t="s">
        <v>439</v>
      </c>
    </row>
    <row r="48" spans="1:4" x14ac:dyDescent="0.2">
      <c r="A48" t="s">
        <v>440</v>
      </c>
      <c r="B48">
        <f>450*(10^-6)</f>
        <v>4.4999999999999999E-4</v>
      </c>
      <c r="C48" t="s">
        <v>11</v>
      </c>
      <c r="D48" t="s">
        <v>441</v>
      </c>
    </row>
    <row r="50" spans="1:4" x14ac:dyDescent="0.2">
      <c r="A50" t="s">
        <v>481</v>
      </c>
    </row>
    <row r="51" spans="1:4" x14ac:dyDescent="0.2">
      <c r="A51" t="s">
        <v>482</v>
      </c>
      <c r="B51">
        <v>1.5</v>
      </c>
      <c r="C51" t="s">
        <v>10</v>
      </c>
      <c r="D51" t="s">
        <v>483</v>
      </c>
    </row>
    <row r="52" spans="1:4" x14ac:dyDescent="0.2">
      <c r="A52" t="s">
        <v>485</v>
      </c>
      <c r="B52">
        <v>45</v>
      </c>
      <c r="C52" t="s">
        <v>10</v>
      </c>
      <c r="D52" t="s">
        <v>484</v>
      </c>
    </row>
    <row r="53" spans="1:4" x14ac:dyDescent="0.2">
      <c r="A53" t="s">
        <v>580</v>
      </c>
      <c r="B53">
        <v>60</v>
      </c>
      <c r="C53" t="s">
        <v>10</v>
      </c>
      <c r="D53" t="s">
        <v>581</v>
      </c>
    </row>
  </sheetData>
  <mergeCells count="2">
    <mergeCell ref="A1:I1"/>
    <mergeCell ref="E5:H5"/>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E3" sqref="E3"/>
    </sheetView>
  </sheetViews>
  <sheetFormatPr baseColWidth="10" defaultColWidth="8.83203125" defaultRowHeight="15" x14ac:dyDescent="0.2"/>
  <cols>
    <col min="3" max="3" width="144.6640625" customWidth="1"/>
  </cols>
  <sheetData>
    <row r="2" spans="2:2" x14ac:dyDescent="0.2">
      <c r="B2" t="str">
        <f>"Eff_vs_IOUT"</f>
        <v>Eff_vs_IOUT</v>
      </c>
    </row>
    <row r="3" spans="2:2" ht="380" customHeight="1"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4"/>
  <sheetViews>
    <sheetView workbookViewId="0">
      <selection activeCell="A2" sqref="A2"/>
    </sheetView>
  </sheetViews>
  <sheetFormatPr baseColWidth="10" defaultColWidth="8.83203125" defaultRowHeight="15" x14ac:dyDescent="0.2"/>
  <cols>
    <col min="2" max="2" width="76.1640625" customWidth="1"/>
  </cols>
  <sheetData>
    <row r="1" spans="1:1" x14ac:dyDescent="0.2">
      <c r="A1" t="str">
        <f>IF('Design Converter'!H7&gt;=3,"SCH_1","SCH_2")</f>
        <v>SCH_1</v>
      </c>
    </row>
    <row r="2" spans="1:1" ht="267.5" customHeight="1" x14ac:dyDescent="0.2"/>
    <row r="4" spans="1:1" ht="267.5" customHeight="1" x14ac:dyDescent="0.2"/>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D11"/>
  <sheetViews>
    <sheetView workbookViewId="0">
      <selection activeCell="D20" sqref="D20"/>
    </sheetView>
  </sheetViews>
  <sheetFormatPr baseColWidth="10" defaultColWidth="8.83203125" defaultRowHeight="15" x14ac:dyDescent="0.2"/>
  <sheetData>
    <row r="2" spans="1:4" x14ac:dyDescent="0.2">
      <c r="A2" t="s">
        <v>458</v>
      </c>
    </row>
    <row r="3" spans="1:4" x14ac:dyDescent="0.2">
      <c r="B3" s="47">
        <f>VIN_min</f>
        <v>3.5</v>
      </c>
    </row>
    <row r="4" spans="1:4" x14ac:dyDescent="0.2">
      <c r="B4" s="221">
        <f>VIN_nom</f>
        <v>3.8</v>
      </c>
      <c r="D4">
        <v>2.5</v>
      </c>
    </row>
    <row r="5" spans="1:4" x14ac:dyDescent="0.2">
      <c r="B5" s="222">
        <f>VIN_max</f>
        <v>4.2</v>
      </c>
    </row>
    <row r="8" spans="1:4" x14ac:dyDescent="0.2">
      <c r="A8" t="s">
        <v>552</v>
      </c>
    </row>
    <row r="9" spans="1:4" x14ac:dyDescent="0.2">
      <c r="B9" s="47" t="s">
        <v>495</v>
      </c>
    </row>
    <row r="10" spans="1:4" x14ac:dyDescent="0.2">
      <c r="B10" s="221" t="s">
        <v>496</v>
      </c>
    </row>
    <row r="11" spans="1:4" x14ac:dyDescent="0.2">
      <c r="B11" s="222"/>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5DCCB-1154-4E1B-AC0A-91A88D9D073F}">
  <sheetPr codeName="Sheet9"/>
  <dimension ref="A1:AM47"/>
  <sheetViews>
    <sheetView showGridLines="0" showRowColHeaders="0" zoomScaleNormal="100" workbookViewId="0">
      <selection activeCell="B5" sqref="B5"/>
    </sheetView>
  </sheetViews>
  <sheetFormatPr baseColWidth="10" defaultColWidth="9.1640625" defaultRowHeight="14" x14ac:dyDescent="0.15"/>
  <cols>
    <col min="1" max="1" width="25.6640625" style="150" bestFit="1" customWidth="1"/>
    <col min="2" max="2" width="56.5" style="151" customWidth="1"/>
    <col min="3" max="11" width="9.1640625" style="144"/>
    <col min="12" max="12" width="20.5" style="144" customWidth="1"/>
    <col min="13" max="16384" width="9.1640625" style="144"/>
  </cols>
  <sheetData>
    <row r="1" spans="1:12" x14ac:dyDescent="0.15">
      <c r="A1" s="246"/>
      <c r="B1" s="246"/>
      <c r="C1" s="246"/>
      <c r="D1" s="246"/>
      <c r="E1" s="246"/>
      <c r="F1" s="246"/>
      <c r="G1" s="246"/>
      <c r="H1" s="246"/>
      <c r="I1" s="246"/>
      <c r="J1" s="246"/>
      <c r="K1" s="246"/>
      <c r="L1" s="246"/>
    </row>
    <row r="2" spans="1:12" x14ac:dyDescent="0.15">
      <c r="A2" s="246"/>
      <c r="B2" s="246"/>
      <c r="C2" s="246"/>
      <c r="D2" s="246"/>
      <c r="E2" s="246"/>
      <c r="F2" s="246"/>
      <c r="G2" s="246"/>
      <c r="H2" s="246"/>
      <c r="I2" s="246"/>
      <c r="J2" s="246"/>
      <c r="K2" s="246"/>
      <c r="L2" s="246"/>
    </row>
    <row r="3" spans="1:12" x14ac:dyDescent="0.15">
      <c r="A3" s="246"/>
      <c r="B3" s="246"/>
      <c r="C3" s="246"/>
      <c r="D3" s="246"/>
      <c r="E3" s="246"/>
      <c r="F3" s="246"/>
      <c r="G3" s="246"/>
      <c r="H3" s="246"/>
      <c r="I3" s="246"/>
      <c r="J3" s="246"/>
      <c r="K3" s="246"/>
      <c r="L3" s="246"/>
    </row>
    <row r="4" spans="1:12" ht="12.75" customHeight="1" x14ac:dyDescent="0.15">
      <c r="A4" s="247"/>
      <c r="B4" s="247"/>
      <c r="C4" s="247"/>
      <c r="D4" s="247"/>
      <c r="E4" s="247"/>
      <c r="F4" s="247"/>
      <c r="G4" s="247"/>
      <c r="H4" s="247"/>
      <c r="I4" s="247"/>
      <c r="J4" s="247"/>
      <c r="K4" s="247"/>
      <c r="L4" s="247"/>
    </row>
    <row r="5" spans="1:12" x14ac:dyDescent="0.15">
      <c r="A5" s="145" t="s">
        <v>523</v>
      </c>
      <c r="B5" s="157" t="s">
        <v>575</v>
      </c>
      <c r="C5" s="147"/>
      <c r="D5" s="147"/>
      <c r="E5" s="147"/>
      <c r="F5" s="147"/>
      <c r="G5" s="147"/>
      <c r="H5" s="147"/>
      <c r="I5" s="147"/>
      <c r="J5" s="147"/>
      <c r="K5" s="148"/>
      <c r="L5" s="149"/>
    </row>
    <row r="6" spans="1:12" x14ac:dyDescent="0.15">
      <c r="A6" s="145"/>
      <c r="B6" s="146"/>
      <c r="C6" s="147"/>
      <c r="D6" s="147"/>
      <c r="E6" s="147"/>
      <c r="F6" s="147"/>
      <c r="G6" s="147"/>
      <c r="H6" s="147"/>
      <c r="I6" s="147"/>
      <c r="J6" s="149"/>
      <c r="K6" s="149"/>
      <c r="L6" s="149"/>
    </row>
    <row r="35" spans="1:39" x14ac:dyDescent="0.15">
      <c r="A35" s="152" t="s">
        <v>525</v>
      </c>
      <c r="B35" s="153"/>
      <c r="C35" s="147"/>
      <c r="D35" s="147"/>
      <c r="E35" s="147"/>
      <c r="F35" s="147"/>
      <c r="G35" s="147"/>
      <c r="H35" s="147"/>
      <c r="I35" s="147"/>
      <c r="J35" s="147"/>
      <c r="K35" s="147"/>
    </row>
    <row r="36" spans="1:39" x14ac:dyDescent="0.15">
      <c r="A36" s="154" t="s">
        <v>526</v>
      </c>
      <c r="B36" s="248" t="s">
        <v>527</v>
      </c>
      <c r="C36" s="248"/>
      <c r="D36" s="248"/>
      <c r="E36" s="248"/>
      <c r="F36" s="248"/>
      <c r="G36" s="248"/>
      <c r="H36" s="248"/>
      <c r="I36" s="248"/>
      <c r="J36" s="248"/>
      <c r="K36" s="248"/>
    </row>
    <row r="37" spans="1:39" x14ac:dyDescent="0.15">
      <c r="A37" s="152" t="s">
        <v>524</v>
      </c>
      <c r="B37" s="249" t="s">
        <v>528</v>
      </c>
      <c r="C37" s="249"/>
      <c r="D37" s="249"/>
      <c r="E37" s="249"/>
      <c r="F37" s="249"/>
      <c r="G37" s="249"/>
      <c r="H37" s="249"/>
      <c r="I37" s="249"/>
      <c r="J37" s="249"/>
      <c r="K37" s="249"/>
    </row>
    <row r="38" spans="1:39" ht="14.25" customHeight="1" x14ac:dyDescent="0.15">
      <c r="A38" s="156" t="s">
        <v>531</v>
      </c>
      <c r="B38" s="250" t="s">
        <v>532</v>
      </c>
      <c r="C38" s="250"/>
      <c r="D38" s="250"/>
      <c r="E38" s="250"/>
      <c r="F38" s="250"/>
      <c r="G38" s="250"/>
      <c r="H38" s="250"/>
      <c r="I38" s="250"/>
      <c r="J38" s="250"/>
      <c r="K38" s="250"/>
    </row>
    <row r="39" spans="1:39" ht="14.25" customHeight="1" x14ac:dyDescent="0.15">
      <c r="A39" s="156" t="s">
        <v>575</v>
      </c>
      <c r="B39" s="226" t="s">
        <v>576</v>
      </c>
      <c r="C39" s="226"/>
      <c r="D39" s="226"/>
      <c r="E39" s="226"/>
      <c r="F39" s="226"/>
      <c r="G39" s="226"/>
      <c r="H39" s="226"/>
      <c r="I39" s="226"/>
      <c r="J39" s="226"/>
      <c r="K39" s="226"/>
    </row>
    <row r="40" spans="1:39" ht="14.25" customHeight="1" x14ac:dyDescent="0.15">
      <c r="A40" s="156"/>
      <c r="B40" s="226"/>
      <c r="C40" s="226"/>
      <c r="D40" s="226"/>
      <c r="E40" s="226"/>
      <c r="F40" s="226"/>
      <c r="G40" s="226"/>
      <c r="H40" s="226"/>
      <c r="I40" s="226"/>
      <c r="J40" s="226"/>
      <c r="K40" s="226"/>
    </row>
    <row r="41" spans="1:39" ht="14.25" customHeight="1" x14ac:dyDescent="0.15">
      <c r="A41" s="156"/>
      <c r="B41" s="226"/>
      <c r="C41" s="226"/>
      <c r="D41" s="226"/>
      <c r="E41" s="226"/>
      <c r="F41" s="226"/>
      <c r="G41" s="226"/>
      <c r="H41" s="226"/>
      <c r="I41" s="226"/>
      <c r="J41" s="226"/>
      <c r="K41" s="226"/>
    </row>
    <row r="42" spans="1:39" x14ac:dyDescent="0.15">
      <c r="A42" s="156"/>
      <c r="B42" s="226"/>
      <c r="C42" s="226"/>
      <c r="D42" s="226"/>
      <c r="E42" s="226"/>
      <c r="F42" s="226"/>
      <c r="G42" s="226"/>
      <c r="H42" s="226"/>
      <c r="I42" s="226"/>
      <c r="J42" s="226"/>
      <c r="K42" s="226"/>
    </row>
    <row r="43" spans="1:39" x14ac:dyDescent="0.15">
      <c r="A43" s="156"/>
      <c r="B43" s="226"/>
      <c r="C43" s="226"/>
      <c r="D43" s="226"/>
      <c r="E43" s="226"/>
      <c r="F43" s="226"/>
      <c r="G43" s="226"/>
      <c r="H43" s="226"/>
      <c r="I43" s="226"/>
      <c r="J43" s="226"/>
      <c r="K43" s="226"/>
    </row>
    <row r="44" spans="1:39" x14ac:dyDescent="0.15">
      <c r="A44" s="156"/>
      <c r="B44" s="226"/>
      <c r="C44" s="226"/>
      <c r="D44" s="226"/>
      <c r="E44" s="226"/>
      <c r="F44" s="226"/>
      <c r="G44" s="226"/>
      <c r="H44" s="226"/>
      <c r="I44" s="226"/>
      <c r="J44" s="226"/>
      <c r="K44" s="226"/>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row>
    <row r="45" spans="1:39" x14ac:dyDescent="0.15">
      <c r="A45" s="156"/>
      <c r="B45" s="226"/>
      <c r="C45" s="226"/>
      <c r="D45" s="226"/>
      <c r="E45" s="226"/>
      <c r="F45" s="226"/>
      <c r="G45" s="226"/>
      <c r="H45" s="226"/>
      <c r="I45" s="226"/>
      <c r="J45" s="226"/>
      <c r="K45" s="226"/>
    </row>
    <row r="46" spans="1:39" x14ac:dyDescent="0.15">
      <c r="A46" s="156"/>
      <c r="B46" s="226"/>
      <c r="C46" s="226"/>
      <c r="D46" s="226"/>
      <c r="E46" s="226"/>
      <c r="F46" s="226"/>
      <c r="G46" s="226"/>
      <c r="H46" s="226"/>
      <c r="I46" s="226"/>
      <c r="J46" s="226"/>
      <c r="K46" s="226"/>
    </row>
    <row r="47" spans="1:39" x14ac:dyDescent="0.15">
      <c r="A47" s="156"/>
      <c r="B47" s="226"/>
    </row>
  </sheetData>
  <sheetProtection algorithmName="SHA-512" hashValue="w01gbvbP5UAcO48uUSPEcM42DLQN7csQvCqJuiQNlT2ekF2fq5jE6wMXzUF2sGQQxMvVP9g7SkV1wWRVLYe5KQ==" saltValue="LTIZtgTeeFd21Qi1VHycQA==" spinCount="100000" sheet="1" objects="1" scenarios="1" selectLockedCells="1" selectUnlockedCells="1"/>
  <mergeCells count="5">
    <mergeCell ref="A1:L3"/>
    <mergeCell ref="A4:L4"/>
    <mergeCell ref="B36:K36"/>
    <mergeCell ref="B37:K37"/>
    <mergeCell ref="B38:K3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131</vt:i4>
      </vt:variant>
    </vt:vector>
  </HeadingPairs>
  <TitlesOfParts>
    <vt:vector size="141" baseType="lpstr">
      <vt:lpstr>Design Converter</vt:lpstr>
      <vt:lpstr>Variable_Management</vt:lpstr>
      <vt:lpstr>Eff_vs_IOUT</vt:lpstr>
      <vt:lpstr>Loop_Modeling</vt:lpstr>
      <vt:lpstr>Constants</vt:lpstr>
      <vt:lpstr>Plot_Management_Eff</vt:lpstr>
      <vt:lpstr>Plot_Management_Sch</vt:lpstr>
      <vt:lpstr>Lists</vt:lpstr>
      <vt:lpstr>Licenses</vt:lpstr>
      <vt:lpstr>Sheet1</vt:lpstr>
      <vt:lpstr>Acs</vt:lpstr>
      <vt:lpstr>Adc</vt:lpstr>
      <vt:lpstr>Adc_ea</vt:lpstr>
      <vt:lpstr>ADC_VINmin</vt:lpstr>
      <vt:lpstr>CCOMP</vt:lpstr>
      <vt:lpstr>CComp_calc</vt:lpstr>
      <vt:lpstr>CHF</vt:lpstr>
      <vt:lpstr>Comp_calc</vt:lpstr>
      <vt:lpstr>Cout</vt:lpstr>
      <vt:lpstr>Cout_min</vt:lpstr>
      <vt:lpstr>D_limit_max</vt:lpstr>
      <vt:lpstr>D_limit_min</vt:lpstr>
      <vt:lpstr>D_limit_nom</vt:lpstr>
      <vt:lpstr>Dc_CCM_VIN_max</vt:lpstr>
      <vt:lpstr>Dc_CCM_VIN_min</vt:lpstr>
      <vt:lpstr>Dc_CCM_VIN_nom</vt:lpstr>
      <vt:lpstr>Dc_DCM_VIN_nom</vt:lpstr>
      <vt:lpstr>Dc_max_IC</vt:lpstr>
      <vt:lpstr>Dc_max_ideal</vt:lpstr>
      <vt:lpstr>Dc_Mode</vt:lpstr>
      <vt:lpstr>Dc_Mode_Loop</vt:lpstr>
      <vt:lpstr>Dc_rip_max</vt:lpstr>
      <vt:lpstr>Dc_VIN_max</vt:lpstr>
      <vt:lpstr>Dc_VIN_min</vt:lpstr>
      <vt:lpstr>Dc_VIN_nom</vt:lpstr>
      <vt:lpstr>EFF_est</vt:lpstr>
      <vt:lpstr>Eff_vs_IOUT</vt:lpstr>
      <vt:lpstr>fcross</vt:lpstr>
      <vt:lpstr>fcross_est</vt:lpstr>
      <vt:lpstr>fp_ea_est</vt:lpstr>
      <vt:lpstr>Fsw</vt:lpstr>
      <vt:lpstr>fz_ea_est</vt:lpstr>
      <vt:lpstr>fz_rhp</vt:lpstr>
      <vt:lpstr>Gcomp</vt:lpstr>
      <vt:lpstr>Gea_mid_calc</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Ipk_margin</vt:lpstr>
      <vt:lpstr>Ipk_selected</vt:lpstr>
      <vt:lpstr>IQ</vt:lpstr>
      <vt:lpstr>IRMS_COUT</vt:lpstr>
      <vt:lpstr>Isl</vt:lpstr>
      <vt:lpstr>Iss</vt:lpstr>
      <vt:lpstr>Kslope</vt:lpstr>
      <vt:lpstr>L_DCM</vt:lpstr>
      <vt:lpstr>Lm</vt:lpstr>
      <vt:lpstr>Lopt</vt:lpstr>
      <vt:lpstr>Lopt_2</vt:lpstr>
      <vt:lpstr>POUT</vt:lpstr>
      <vt:lpstr>'Design Converter'!Print_Area</vt:lpstr>
      <vt:lpstr>Q</vt:lpstr>
      <vt:lpstr>Q_VINmin</vt:lpstr>
      <vt:lpstr>Qg_tot</vt:lpstr>
      <vt:lpstr>Qgd</vt:lpstr>
      <vt:lpstr>Qgs</vt:lpstr>
      <vt:lpstr>Qrr</vt:lpstr>
      <vt:lpstr>R_cs</vt:lpstr>
      <vt:lpstr>R_sl</vt:lpstr>
      <vt:lpstr>RCOMP</vt:lpstr>
      <vt:lpstr>Rcomp_calc</vt:lpstr>
      <vt:lpstr>Rcs_max</vt:lpstr>
      <vt:lpstr>Rcs_w_sl</vt:lpstr>
      <vt:lpstr>Rcs_wo_sl</vt:lpstr>
      <vt:lpstr>Rdcr</vt:lpstr>
      <vt:lpstr>RDS_on</vt:lpstr>
      <vt:lpstr>Resr</vt:lpstr>
      <vt:lpstr>RFBB</vt:lpstr>
      <vt:lpstr>RFBB_calc</vt:lpstr>
      <vt:lpstr>RFBT</vt:lpstr>
      <vt:lpstr>Rgate</vt:lpstr>
      <vt:lpstr>ROUT</vt:lpstr>
      <vt:lpstr>Rsl_int</vt:lpstr>
      <vt:lpstr>Rsl_max</vt:lpstr>
      <vt:lpstr>RT</vt:lpstr>
      <vt:lpstr>Ruvlo_bottom_calc</vt:lpstr>
      <vt:lpstr>Ruvlo_top</vt:lpstr>
      <vt:lpstr>Ruvlo_top_calc</vt:lpstr>
      <vt:lpstr>SCH_1</vt:lpstr>
      <vt:lpstr>SCH_2</vt:lpstr>
      <vt:lpstr>Se_VINmin</vt:lpstr>
      <vt:lpstr>Sn_VINmin</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VIN_op_max_56</vt:lpstr>
      <vt:lpstr>VIN_op_min</vt:lpstr>
      <vt:lpstr>VIN_var</vt:lpstr>
      <vt:lpstr>VOUT</vt:lpstr>
      <vt:lpstr>Vout_rip_sel</vt:lpstr>
      <vt:lpstr>Vref</vt:lpstr>
      <vt:lpstr>Vth</vt:lpstr>
      <vt:lpstr>Vuvlo_off</vt:lpstr>
      <vt:lpstr>Vuvlo_on</vt:lpstr>
      <vt:lpstr>wp_hf</vt:lpstr>
      <vt:lpstr>wp_lf</vt:lpstr>
      <vt:lpstr>wp_lf_VINmin</vt:lpstr>
      <vt:lpstr>wp0_ea</vt:lpstr>
      <vt:lpstr>wp1_ea</vt:lpstr>
      <vt:lpstr>wsl</vt:lpstr>
      <vt:lpstr>wsl_VINmin</vt:lpstr>
      <vt:lpstr>wz_ea</vt:lpstr>
      <vt:lpstr>wz_esr</vt:lpstr>
      <vt:lpstr>wz_esr_VINmin</vt:lpstr>
      <vt:lpstr>wz_rhp</vt:lpstr>
      <vt:lpstr>wz_RHP_VINmin</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Miles A</cp:lastModifiedBy>
  <cp:lastPrinted>2018-08-09T07:13:51Z</cp:lastPrinted>
  <dcterms:created xsi:type="dcterms:W3CDTF">2018-06-26T09:13:29Z</dcterms:created>
  <dcterms:modified xsi:type="dcterms:W3CDTF">2023-03-10T22:05:59Z</dcterms:modified>
</cp:coreProperties>
</file>