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b15\Downloads\"/>
    </mc:Choice>
  </mc:AlternateContent>
  <xr:revisionPtr revIDLastSave="0" documentId="13_ncr:1_{9B6AC348-AEDC-4517-8493-EA9DA6444432}" xr6:coauthVersionLast="47" xr6:coauthVersionMax="47" xr10:uidLastSave="{00000000-0000-0000-0000-000000000000}"/>
  <bookViews>
    <workbookView xWindow="0" yWindow="0" windowWidth="19200" windowHeight="11385" xr2:uid="{7DB581F8-92F2-4058-920D-5A216C9D3AE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49" i="1" s="1"/>
  <c r="H18" i="1"/>
  <c r="I18" i="1" s="1"/>
  <c r="H17" i="1"/>
  <c r="H14" i="1"/>
  <c r="I14" i="1" s="1"/>
  <c r="H4" i="1"/>
  <c r="I4" i="1" s="1"/>
  <c r="I42" i="1"/>
  <c r="G42" i="1"/>
  <c r="I41" i="1"/>
  <c r="G41" i="1"/>
  <c r="I40" i="1"/>
  <c r="G40" i="1"/>
  <c r="I39" i="1"/>
  <c r="G39" i="1"/>
  <c r="I38" i="1"/>
  <c r="G38" i="1"/>
  <c r="B38" i="1"/>
  <c r="I37" i="1"/>
  <c r="G37" i="1"/>
  <c r="I36" i="1"/>
  <c r="G36" i="1"/>
  <c r="I35" i="1"/>
  <c r="G35" i="1"/>
  <c r="I34" i="1"/>
  <c r="G34" i="1"/>
  <c r="I33" i="1"/>
  <c r="G33" i="1"/>
  <c r="B33" i="1"/>
  <c r="I32" i="1"/>
  <c r="G32" i="1"/>
  <c r="I31" i="1"/>
  <c r="G31" i="1"/>
  <c r="I30" i="1"/>
  <c r="G30" i="1"/>
  <c r="I29" i="1"/>
  <c r="G29" i="1"/>
  <c r="I28" i="1"/>
  <c r="I43" i="1" s="1"/>
  <c r="G28" i="1"/>
  <c r="B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I5" i="1"/>
  <c r="I6" i="1"/>
  <c r="I7" i="1"/>
  <c r="I8" i="1"/>
  <c r="I9" i="1"/>
  <c r="I10" i="1"/>
  <c r="I11" i="1"/>
  <c r="I12" i="1"/>
  <c r="I13" i="1"/>
  <c r="I15" i="1"/>
  <c r="I16" i="1"/>
  <c r="I17" i="1"/>
  <c r="G4" i="1"/>
  <c r="B14" i="1"/>
  <c r="B9" i="1"/>
  <c r="B4" i="1"/>
  <c r="C21" i="1" s="1"/>
  <c r="C22" i="1" s="1"/>
  <c r="C53" i="1" l="1"/>
  <c r="C51" i="1"/>
  <c r="I19" i="1"/>
  <c r="C24" i="1" s="1"/>
  <c r="C52" i="1" s="1"/>
  <c r="C54" i="1" l="1"/>
  <c r="L4" i="1"/>
  <c r="C59" i="1" l="1"/>
  <c r="C60" i="1" s="1"/>
  <c r="C61" i="1" s="1"/>
  <c r="C55" i="1"/>
  <c r="C23" i="1"/>
  <c r="C50" i="1"/>
</calcChain>
</file>

<file path=xl/sharedStrings.xml><?xml version="1.0" encoding="utf-8"?>
<sst xmlns="http://schemas.openxmlformats.org/spreadsheetml/2006/main" count="47" uniqueCount="33">
  <si>
    <t>Open Loop Step Response</t>
  </si>
  <si>
    <t>Constants</t>
  </si>
  <si>
    <t>Kp input</t>
  </si>
  <si>
    <t>Kp Value</t>
  </si>
  <si>
    <t>Vref</t>
  </si>
  <si>
    <t>Vact</t>
  </si>
  <si>
    <t>Vmin</t>
  </si>
  <si>
    <t>Vmax</t>
  </si>
  <si>
    <t>Vtau</t>
  </si>
  <si>
    <t>Settling Time (ms)</t>
  </si>
  <si>
    <t>Tau (s)</t>
  </si>
  <si>
    <t>k_c *t</t>
  </si>
  <si>
    <t>K_pwm</t>
  </si>
  <si>
    <t>Calcs</t>
  </si>
  <si>
    <t>Mean Tau</t>
  </si>
  <si>
    <t>Vact/Vref</t>
  </si>
  <si>
    <t>K_p</t>
  </si>
  <si>
    <t>K</t>
  </si>
  <si>
    <t>K_m</t>
  </si>
  <si>
    <t>Tau_m</t>
  </si>
  <si>
    <t>Closed Loop Step Response</t>
  </si>
  <si>
    <t>Kp</t>
  </si>
  <si>
    <t>Ki</t>
  </si>
  <si>
    <t>Km</t>
  </si>
  <si>
    <t>Tau_m avg</t>
  </si>
  <si>
    <r>
      <rPr>
        <u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avg</t>
    </r>
  </si>
  <si>
    <t>wn</t>
  </si>
  <si>
    <t>zeta</t>
  </si>
  <si>
    <t>Target Parameter Calcs</t>
  </si>
  <si>
    <t>zeta*</t>
  </si>
  <si>
    <t>wn*</t>
  </si>
  <si>
    <t>Ki*</t>
  </si>
  <si>
    <t>Ki*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</si>
</sst>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Vref vs. Vact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29330708661417"/>
                  <c:y val="4.4160834062408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Sheet1!$C$4:$C$8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31</c:v>
                </c:pt>
                <c:pt idx="1">
                  <c:v>48</c:v>
                </c:pt>
                <c:pt idx="2">
                  <c:v>64</c:v>
                </c:pt>
                <c:pt idx="3">
                  <c:v>81</c:v>
                </c:pt>
                <c:pt idx="4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4B72-AC82-61F7033A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215"/>
        <c:axId val="192868479"/>
      </c:scatterChart>
      <c:valAx>
        <c:axId val="168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8479"/>
        <c:crosses val="autoZero"/>
        <c:crossBetween val="midCat"/>
      </c:valAx>
      <c:valAx>
        <c:axId val="192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Vref vs Vact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41</c:v>
                </c:pt>
                <c:pt idx="3">
                  <c:v>56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9-4F98-AC27-FA16D433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6287"/>
        <c:axId val="192883871"/>
      </c:scatterChart>
      <c:valAx>
        <c:axId val="1905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3871"/>
        <c:crosses val="autoZero"/>
        <c:crossBetween val="midCat"/>
      </c:valAx>
      <c:valAx>
        <c:axId val="192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6</xdr:row>
      <xdr:rowOff>80962</xdr:rowOff>
    </xdr:from>
    <xdr:to>
      <xdr:col>16</xdr:col>
      <xdr:colOff>476250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9C5FA-E414-4A4A-838F-5B605F76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26</xdr:row>
      <xdr:rowOff>52387</xdr:rowOff>
    </xdr:from>
    <xdr:to>
      <xdr:col>16</xdr:col>
      <xdr:colOff>495300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D169A-1C1C-40B8-A5D6-0CFE75A76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0E16-DB36-4336-BEC6-35634D3D3C32}">
  <dimension ref="A2:L61"/>
  <sheetViews>
    <sheetView tabSelected="1" topLeftCell="A31" workbookViewId="0">
      <selection activeCell="H24" sqref="H24"/>
    </sheetView>
  </sheetViews>
  <sheetFormatPr defaultRowHeight="15"/>
  <cols>
    <col min="2" max="2" width="10.42578125" customWidth="1"/>
    <col min="3" max="4" width="10.85546875" customWidth="1"/>
    <col min="5" max="5" width="11.28515625" customWidth="1"/>
    <col min="6" max="6" width="9.7109375" customWidth="1"/>
    <col min="8" max="8" width="17" customWidth="1"/>
    <col min="10" max="10" width="16.85546875" customWidth="1"/>
  </cols>
  <sheetData>
    <row r="2" spans="1:12">
      <c r="A2" t="s">
        <v>0</v>
      </c>
      <c r="K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K3" t="s">
        <v>11</v>
      </c>
      <c r="L3">
        <v>0.63700000000000001</v>
      </c>
    </row>
    <row r="4" spans="1:12">
      <c r="A4" s="4">
        <v>717</v>
      </c>
      <c r="B4" s="4">
        <f>A4/1024</f>
        <v>0.7001953125</v>
      </c>
      <c r="C4" s="1">
        <v>200</v>
      </c>
      <c r="D4" s="1">
        <v>31</v>
      </c>
      <c r="E4" s="2">
        <v>5</v>
      </c>
      <c r="F4" s="1">
        <v>6.12</v>
      </c>
      <c r="G4" s="1">
        <f>E4+(F4-E4)*0.63</f>
        <v>5.7056000000000004</v>
      </c>
      <c r="H4" s="1">
        <f>220/5</f>
        <v>44</v>
      </c>
      <c r="I4" s="1">
        <f>(H4*10^-3)/4</f>
        <v>1.0999999999999999E-2</v>
      </c>
      <c r="K4" t="s">
        <v>12</v>
      </c>
      <c r="L4">
        <f>24/625</f>
        <v>3.8399999999999997E-2</v>
      </c>
    </row>
    <row r="5" spans="1:12">
      <c r="A5" s="4"/>
      <c r="B5" s="4"/>
      <c r="C5" s="1">
        <v>300</v>
      </c>
      <c r="D5" s="1">
        <v>48</v>
      </c>
      <c r="E5" s="2">
        <v>5</v>
      </c>
      <c r="F5" s="1">
        <v>6.6</v>
      </c>
      <c r="G5" s="1">
        <f t="shared" ref="G5:G18" si="0">E5+(F5-E5)*0.63</f>
        <v>6.008</v>
      </c>
      <c r="H5" s="1">
        <v>50</v>
      </c>
      <c r="I5" s="1">
        <f t="shared" ref="I5:I18" si="1">(H5*10^-3)/4</f>
        <v>1.2500000000000001E-2</v>
      </c>
    </row>
    <row r="6" spans="1:12">
      <c r="A6" s="4"/>
      <c r="B6" s="4"/>
      <c r="C6" s="1">
        <v>400</v>
      </c>
      <c r="D6" s="1">
        <v>64</v>
      </c>
      <c r="E6" s="2">
        <v>5</v>
      </c>
      <c r="F6" s="1">
        <v>7.16</v>
      </c>
      <c r="G6" s="1">
        <f t="shared" si="0"/>
        <v>6.3608000000000002</v>
      </c>
      <c r="H6" s="1">
        <v>44</v>
      </c>
      <c r="I6" s="1">
        <f t="shared" si="1"/>
        <v>1.0999999999999999E-2</v>
      </c>
    </row>
    <row r="7" spans="1:12">
      <c r="A7" s="4"/>
      <c r="B7" s="4"/>
      <c r="C7" s="1">
        <v>500</v>
      </c>
      <c r="D7" s="1">
        <v>81</v>
      </c>
      <c r="E7" s="2">
        <v>5</v>
      </c>
      <c r="F7" s="1">
        <v>7.68</v>
      </c>
      <c r="G7" s="1">
        <f t="shared" si="0"/>
        <v>6.6883999999999997</v>
      </c>
      <c r="H7" s="1">
        <v>50</v>
      </c>
      <c r="I7" s="1">
        <f t="shared" si="1"/>
        <v>1.2500000000000001E-2</v>
      </c>
    </row>
    <row r="8" spans="1:12">
      <c r="A8" s="4"/>
      <c r="B8" s="4"/>
      <c r="C8" s="1">
        <v>600</v>
      </c>
      <c r="D8" s="1">
        <v>96</v>
      </c>
      <c r="E8" s="2">
        <v>5</v>
      </c>
      <c r="F8" s="1">
        <v>8.1999999999999993</v>
      </c>
      <c r="G8" s="1">
        <f t="shared" si="0"/>
        <v>7.016</v>
      </c>
      <c r="H8" s="1">
        <v>50</v>
      </c>
      <c r="I8" s="1">
        <f t="shared" si="1"/>
        <v>1.2500000000000001E-2</v>
      </c>
    </row>
    <row r="9" spans="1:12">
      <c r="A9" s="4">
        <v>1500</v>
      </c>
      <c r="B9" s="4">
        <f>A9/1024</f>
        <v>1.46484375</v>
      </c>
      <c r="C9" s="1">
        <v>200</v>
      </c>
      <c r="D9" s="1">
        <v>68</v>
      </c>
      <c r="E9" s="2">
        <v>5</v>
      </c>
      <c r="F9" s="1">
        <v>7.28</v>
      </c>
      <c r="G9" s="1">
        <f t="shared" si="0"/>
        <v>6.4363999999999999</v>
      </c>
      <c r="H9" s="1">
        <v>40</v>
      </c>
      <c r="I9" s="1">
        <f t="shared" si="1"/>
        <v>0.01</v>
      </c>
    </row>
    <row r="10" spans="1:12">
      <c r="A10" s="4"/>
      <c r="B10" s="4"/>
      <c r="C10" s="1">
        <v>300</v>
      </c>
      <c r="D10" s="1">
        <v>101</v>
      </c>
      <c r="E10" s="2">
        <v>5</v>
      </c>
      <c r="F10" s="1">
        <v>8.36</v>
      </c>
      <c r="G10" s="1">
        <f t="shared" si="0"/>
        <v>7.1167999999999996</v>
      </c>
      <c r="H10" s="1">
        <v>44</v>
      </c>
      <c r="I10" s="1">
        <f t="shared" si="1"/>
        <v>1.0999999999999999E-2</v>
      </c>
    </row>
    <row r="11" spans="1:12">
      <c r="A11" s="4"/>
      <c r="B11" s="4"/>
      <c r="C11" s="1">
        <v>400</v>
      </c>
      <c r="D11" s="1">
        <v>136</v>
      </c>
      <c r="E11" s="2">
        <v>5</v>
      </c>
      <c r="F11" s="1">
        <v>9.48</v>
      </c>
      <c r="G11" s="1">
        <f t="shared" si="0"/>
        <v>7.8224</v>
      </c>
      <c r="H11" s="1">
        <v>50</v>
      </c>
      <c r="I11" s="1">
        <f t="shared" si="1"/>
        <v>1.2500000000000001E-2</v>
      </c>
    </row>
    <row r="12" spans="1:12">
      <c r="A12" s="4"/>
      <c r="B12" s="4"/>
      <c r="C12" s="1">
        <v>500</v>
      </c>
      <c r="D12" s="1">
        <v>145</v>
      </c>
      <c r="E12" s="2">
        <v>5</v>
      </c>
      <c r="F12" s="1">
        <v>9.76</v>
      </c>
      <c r="G12" s="1">
        <f t="shared" si="0"/>
        <v>7.9987999999999992</v>
      </c>
      <c r="H12" s="1">
        <v>50</v>
      </c>
      <c r="I12" s="1">
        <f t="shared" si="1"/>
        <v>1.2500000000000001E-2</v>
      </c>
    </row>
    <row r="13" spans="1:12">
      <c r="A13" s="4"/>
      <c r="B13" s="4"/>
      <c r="C13" s="1">
        <v>600</v>
      </c>
      <c r="D13" s="1">
        <v>145</v>
      </c>
      <c r="E13" s="2">
        <v>5</v>
      </c>
      <c r="F13" s="1">
        <v>9.76</v>
      </c>
      <c r="G13" s="1">
        <f t="shared" si="0"/>
        <v>7.9987999999999992</v>
      </c>
      <c r="H13" s="1">
        <v>50</v>
      </c>
      <c r="I13" s="1">
        <f t="shared" si="1"/>
        <v>1.2500000000000001E-2</v>
      </c>
    </row>
    <row r="14" spans="1:12">
      <c r="A14" s="4">
        <v>1000</v>
      </c>
      <c r="B14" s="4">
        <f>A14/1024</f>
        <v>0.9765625</v>
      </c>
      <c r="C14" s="1">
        <v>200</v>
      </c>
      <c r="D14" s="1">
        <v>44</v>
      </c>
      <c r="E14" s="2">
        <v>5</v>
      </c>
      <c r="F14" s="1">
        <v>6.52</v>
      </c>
      <c r="G14" s="1">
        <f t="shared" si="0"/>
        <v>5.9575999999999993</v>
      </c>
      <c r="H14" s="1">
        <f>170/5</f>
        <v>34</v>
      </c>
      <c r="I14" s="1">
        <f t="shared" si="1"/>
        <v>8.5000000000000006E-3</v>
      </c>
    </row>
    <row r="15" spans="1:12">
      <c r="A15" s="4"/>
      <c r="B15" s="4"/>
      <c r="C15" s="1">
        <v>300</v>
      </c>
      <c r="D15" s="1">
        <v>67</v>
      </c>
      <c r="E15" s="2">
        <v>5</v>
      </c>
      <c r="F15" s="1">
        <v>7.28</v>
      </c>
      <c r="G15" s="1">
        <f t="shared" si="0"/>
        <v>6.4363999999999999</v>
      </c>
      <c r="H15" s="1">
        <v>44</v>
      </c>
      <c r="I15" s="1">
        <f t="shared" si="1"/>
        <v>1.0999999999999999E-2</v>
      </c>
    </row>
    <row r="16" spans="1:12">
      <c r="A16" s="4"/>
      <c r="B16" s="4"/>
      <c r="C16" s="1">
        <v>400</v>
      </c>
      <c r="D16" s="1">
        <v>90</v>
      </c>
      <c r="E16" s="2">
        <v>5</v>
      </c>
      <c r="F16" s="1">
        <v>8</v>
      </c>
      <c r="G16" s="1">
        <f t="shared" si="0"/>
        <v>6.8900000000000006</v>
      </c>
      <c r="H16" s="1">
        <v>50</v>
      </c>
      <c r="I16" s="1">
        <f t="shared" si="1"/>
        <v>1.2500000000000001E-2</v>
      </c>
    </row>
    <row r="17" spans="1:9">
      <c r="A17" s="4"/>
      <c r="B17" s="4"/>
      <c r="C17" s="1">
        <v>500</v>
      </c>
      <c r="D17" s="1">
        <v>112</v>
      </c>
      <c r="E17" s="2">
        <v>5</v>
      </c>
      <c r="F17" s="1">
        <v>8.76</v>
      </c>
      <c r="G17" s="1">
        <f t="shared" si="0"/>
        <v>7.3688000000000002</v>
      </c>
      <c r="H17" s="1">
        <f>230/5</f>
        <v>46</v>
      </c>
      <c r="I17" s="1">
        <f t="shared" si="1"/>
        <v>1.15E-2</v>
      </c>
    </row>
    <row r="18" spans="1:9">
      <c r="A18" s="4"/>
      <c r="B18" s="4"/>
      <c r="C18" s="1">
        <v>600</v>
      </c>
      <c r="D18" s="1">
        <v>136</v>
      </c>
      <c r="E18" s="2">
        <v>5</v>
      </c>
      <c r="F18" s="1">
        <v>9.48</v>
      </c>
      <c r="G18" s="1">
        <f t="shared" si="0"/>
        <v>7.8224</v>
      </c>
      <c r="H18" s="1">
        <f>230/5</f>
        <v>46</v>
      </c>
      <c r="I18" s="1">
        <f t="shared" si="1"/>
        <v>1.15E-2</v>
      </c>
    </row>
    <row r="19" spans="1:9">
      <c r="B19" t="s">
        <v>13</v>
      </c>
      <c r="H19" s="1" t="s">
        <v>14</v>
      </c>
      <c r="I19" s="1">
        <f>AVERAGE(I4:I18)</f>
        <v>1.1533333333333335E-2</v>
      </c>
    </row>
    <row r="20" spans="1:9">
      <c r="B20" s="1" t="s">
        <v>15</v>
      </c>
      <c r="C20" s="1">
        <v>0.16300000000000001</v>
      </c>
    </row>
    <row r="21" spans="1:9">
      <c r="B21" s="1" t="s">
        <v>16</v>
      </c>
      <c r="C21" s="1">
        <f>B4</f>
        <v>0.7001953125</v>
      </c>
    </row>
    <row r="22" spans="1:9">
      <c r="B22" s="3" t="s">
        <v>17</v>
      </c>
      <c r="C22" s="1">
        <f>C20/C21</f>
        <v>0.23279218967921897</v>
      </c>
    </row>
    <row r="23" spans="1:9">
      <c r="B23" s="1" t="s">
        <v>18</v>
      </c>
      <c r="C23" s="1">
        <f>C22/(L3*L4)</f>
        <v>9.5169491463573959</v>
      </c>
    </row>
    <row r="24" spans="1:9">
      <c r="B24" s="1" t="s">
        <v>19</v>
      </c>
      <c r="C24" s="1">
        <f>I19</f>
        <v>1.1533333333333335E-2</v>
      </c>
    </row>
    <row r="26" spans="1:9">
      <c r="A26" t="s">
        <v>20</v>
      </c>
    </row>
    <row r="27" spans="1:9">
      <c r="A27" s="1" t="s">
        <v>2</v>
      </c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8</v>
      </c>
      <c r="H27" s="1" t="s">
        <v>9</v>
      </c>
      <c r="I27" s="1" t="s">
        <v>10</v>
      </c>
    </row>
    <row r="28" spans="1:9">
      <c r="A28" s="4">
        <v>717</v>
      </c>
      <c r="B28" s="4">
        <f>A28/1024</f>
        <v>0.7001953125</v>
      </c>
      <c r="C28" s="1">
        <v>100</v>
      </c>
      <c r="D28" s="1">
        <v>12</v>
      </c>
      <c r="E28" s="2">
        <v>5</v>
      </c>
      <c r="F28" s="1">
        <v>5.52</v>
      </c>
      <c r="G28" s="1">
        <f>E28+(F28-E28)*0.63</f>
        <v>5.3275999999999994</v>
      </c>
      <c r="H28" s="1">
        <v>20</v>
      </c>
      <c r="I28" s="1">
        <f>(H28*10^-3)/4</f>
        <v>5.0000000000000001E-3</v>
      </c>
    </row>
    <row r="29" spans="1:9">
      <c r="A29" s="4"/>
      <c r="B29" s="4"/>
      <c r="C29" s="1">
        <v>200</v>
      </c>
      <c r="D29" s="1">
        <v>27</v>
      </c>
      <c r="E29" s="2">
        <v>5</v>
      </c>
      <c r="F29" s="1">
        <v>5.92</v>
      </c>
      <c r="G29" s="1">
        <f t="shared" ref="G29:G42" si="2">E29+(F29-E29)*0.63</f>
        <v>5.5796000000000001</v>
      </c>
      <c r="H29" s="1">
        <v>23</v>
      </c>
      <c r="I29" s="1">
        <f t="shared" ref="I29:I42" si="3">(H29*10^-3)/4</f>
        <v>5.7499999999999999E-3</v>
      </c>
    </row>
    <row r="30" spans="1:9">
      <c r="A30" s="4"/>
      <c r="B30" s="4"/>
      <c r="C30" s="1">
        <v>300</v>
      </c>
      <c r="D30" s="1">
        <v>41</v>
      </c>
      <c r="E30" s="2">
        <v>5</v>
      </c>
      <c r="F30" s="1">
        <v>6.44</v>
      </c>
      <c r="G30" s="1">
        <f t="shared" si="2"/>
        <v>5.9072000000000005</v>
      </c>
      <c r="H30" s="1">
        <v>30</v>
      </c>
      <c r="I30" s="1">
        <f t="shared" si="3"/>
        <v>7.4999999999999997E-3</v>
      </c>
    </row>
    <row r="31" spans="1:9">
      <c r="A31" s="4"/>
      <c r="B31" s="4"/>
      <c r="C31" s="1">
        <v>400</v>
      </c>
      <c r="D31" s="1">
        <v>56</v>
      </c>
      <c r="E31" s="2">
        <v>5</v>
      </c>
      <c r="F31" s="1">
        <v>6.84</v>
      </c>
      <c r="G31" s="1">
        <f t="shared" si="2"/>
        <v>6.1592000000000002</v>
      </c>
      <c r="H31" s="1">
        <v>30</v>
      </c>
      <c r="I31" s="1">
        <f t="shared" si="3"/>
        <v>7.4999999999999997E-3</v>
      </c>
    </row>
    <row r="32" spans="1:9">
      <c r="A32" s="4"/>
      <c r="B32" s="4"/>
      <c r="C32" s="1">
        <v>500</v>
      </c>
      <c r="D32" s="1">
        <v>70</v>
      </c>
      <c r="E32" s="2">
        <v>5</v>
      </c>
      <c r="F32" s="1">
        <v>7.32</v>
      </c>
      <c r="G32" s="1">
        <f t="shared" si="2"/>
        <v>6.4616000000000007</v>
      </c>
      <c r="H32" s="1">
        <v>35</v>
      </c>
      <c r="I32" s="1">
        <f t="shared" si="3"/>
        <v>8.7500000000000008E-3</v>
      </c>
    </row>
    <row r="33" spans="1:9">
      <c r="A33" s="4">
        <v>1500</v>
      </c>
      <c r="B33" s="4">
        <f>A33/1024</f>
        <v>1.46484375</v>
      </c>
      <c r="C33" s="1">
        <v>100</v>
      </c>
      <c r="D33" s="1">
        <v>24</v>
      </c>
      <c r="E33" s="2">
        <v>5</v>
      </c>
      <c r="F33" s="1">
        <v>5.92</v>
      </c>
      <c r="G33" s="1">
        <f t="shared" si="2"/>
        <v>5.5796000000000001</v>
      </c>
      <c r="H33" s="1">
        <v>20</v>
      </c>
      <c r="I33" s="1">
        <f t="shared" si="3"/>
        <v>5.0000000000000001E-3</v>
      </c>
    </row>
    <row r="34" spans="1:9">
      <c r="A34" s="4"/>
      <c r="B34" s="4"/>
      <c r="C34" s="1">
        <v>200</v>
      </c>
      <c r="D34" s="1">
        <v>50</v>
      </c>
      <c r="E34" s="2">
        <v>5</v>
      </c>
      <c r="F34" s="1">
        <v>6.72</v>
      </c>
      <c r="G34" s="1">
        <f t="shared" si="2"/>
        <v>6.0835999999999997</v>
      </c>
      <c r="H34" s="1">
        <v>22</v>
      </c>
      <c r="I34" s="1">
        <f t="shared" si="3"/>
        <v>5.4999999999999997E-3</v>
      </c>
    </row>
    <row r="35" spans="1:9">
      <c r="A35" s="4"/>
      <c r="B35" s="4"/>
      <c r="C35" s="1">
        <v>300</v>
      </c>
      <c r="D35" s="1">
        <v>75</v>
      </c>
      <c r="E35" s="2">
        <v>5</v>
      </c>
      <c r="F35" s="1">
        <v>7.52</v>
      </c>
      <c r="G35" s="1">
        <f t="shared" si="2"/>
        <v>6.5876000000000001</v>
      </c>
      <c r="H35" s="1">
        <v>25</v>
      </c>
      <c r="I35" s="1">
        <f t="shared" si="3"/>
        <v>6.2500000000000003E-3</v>
      </c>
    </row>
    <row r="36" spans="1:9">
      <c r="A36" s="4"/>
      <c r="B36" s="4"/>
      <c r="C36" s="1">
        <v>400</v>
      </c>
      <c r="D36" s="1">
        <v>101</v>
      </c>
      <c r="E36" s="2">
        <v>5</v>
      </c>
      <c r="F36" s="1">
        <v>8.36</v>
      </c>
      <c r="G36" s="1">
        <f t="shared" si="2"/>
        <v>7.1167999999999996</v>
      </c>
      <c r="H36" s="1">
        <v>30</v>
      </c>
      <c r="I36" s="1">
        <f t="shared" si="3"/>
        <v>7.4999999999999997E-3</v>
      </c>
    </row>
    <row r="37" spans="1:9">
      <c r="A37" s="4"/>
      <c r="B37" s="4"/>
      <c r="C37" s="1">
        <v>500</v>
      </c>
      <c r="D37" s="1">
        <v>127</v>
      </c>
      <c r="E37" s="2">
        <v>5</v>
      </c>
      <c r="F37" s="1">
        <v>9.16</v>
      </c>
      <c r="G37" s="1">
        <f t="shared" si="2"/>
        <v>7.6208</v>
      </c>
      <c r="H37" s="1">
        <v>30</v>
      </c>
      <c r="I37" s="1">
        <f t="shared" si="3"/>
        <v>7.4999999999999997E-3</v>
      </c>
    </row>
    <row r="38" spans="1:9">
      <c r="A38" s="4">
        <v>1000</v>
      </c>
      <c r="B38" s="4">
        <f>A38/1024</f>
        <v>0.9765625</v>
      </c>
      <c r="C38" s="1">
        <v>100</v>
      </c>
      <c r="D38" s="1">
        <v>17</v>
      </c>
      <c r="E38" s="2">
        <v>5</v>
      </c>
      <c r="F38" s="1">
        <v>5.64</v>
      </c>
      <c r="G38" s="1">
        <f t="shared" si="2"/>
        <v>5.4032</v>
      </c>
      <c r="H38" s="1">
        <v>20</v>
      </c>
      <c r="I38" s="1">
        <f t="shared" si="3"/>
        <v>5.0000000000000001E-3</v>
      </c>
    </row>
    <row r="39" spans="1:9">
      <c r="A39" s="4"/>
      <c r="B39" s="4"/>
      <c r="C39" s="1">
        <v>200</v>
      </c>
      <c r="D39" s="1">
        <v>36</v>
      </c>
      <c r="E39" s="2">
        <v>5</v>
      </c>
      <c r="F39" s="1">
        <v>6.24</v>
      </c>
      <c r="G39" s="1">
        <f t="shared" si="2"/>
        <v>5.7812000000000001</v>
      </c>
      <c r="H39" s="1">
        <v>22</v>
      </c>
      <c r="I39" s="1">
        <f t="shared" si="3"/>
        <v>5.4999999999999997E-3</v>
      </c>
    </row>
    <row r="40" spans="1:9">
      <c r="A40" s="4"/>
      <c r="B40" s="4"/>
      <c r="C40" s="1">
        <v>300</v>
      </c>
      <c r="D40" s="1">
        <v>55</v>
      </c>
      <c r="E40" s="2">
        <v>5</v>
      </c>
      <c r="F40" s="1">
        <v>6.84</v>
      </c>
      <c r="G40" s="1">
        <f t="shared" si="2"/>
        <v>6.1592000000000002</v>
      </c>
      <c r="H40" s="1">
        <v>27</v>
      </c>
      <c r="I40" s="1">
        <f t="shared" si="3"/>
        <v>6.7499999999999999E-3</v>
      </c>
    </row>
    <row r="41" spans="1:9">
      <c r="A41" s="4"/>
      <c r="B41" s="4"/>
      <c r="C41" s="1">
        <v>400</v>
      </c>
      <c r="D41" s="1">
        <v>74</v>
      </c>
      <c r="E41" s="2">
        <v>5</v>
      </c>
      <c r="F41" s="1">
        <v>7.44</v>
      </c>
      <c r="G41" s="1">
        <f t="shared" si="2"/>
        <v>6.5372000000000003</v>
      </c>
      <c r="H41" s="1">
        <v>30</v>
      </c>
      <c r="I41" s="1">
        <f t="shared" si="3"/>
        <v>7.4999999999999997E-3</v>
      </c>
    </row>
    <row r="42" spans="1:9">
      <c r="A42" s="4"/>
      <c r="B42" s="4"/>
      <c r="C42" s="1">
        <v>500</v>
      </c>
      <c r="D42" s="1">
        <v>92</v>
      </c>
      <c r="E42" s="2">
        <v>5</v>
      </c>
      <c r="F42" s="1">
        <v>8.0399999999999991</v>
      </c>
      <c r="G42" s="1">
        <f t="shared" si="2"/>
        <v>6.9151999999999996</v>
      </c>
      <c r="H42" s="1">
        <v>30</v>
      </c>
      <c r="I42" s="1">
        <f t="shared" si="3"/>
        <v>7.4999999999999997E-3</v>
      </c>
    </row>
    <row r="43" spans="1:9">
      <c r="H43" s="1" t="s">
        <v>14</v>
      </c>
      <c r="I43" s="1">
        <f>AVERAGE(I28:I42)</f>
        <v>6.5666666666666686E-3</v>
      </c>
    </row>
    <row r="45" spans="1:9">
      <c r="B45" t="s">
        <v>13</v>
      </c>
    </row>
    <row r="46" spans="1:9">
      <c r="B46" s="1" t="s">
        <v>15</v>
      </c>
      <c r="C46" s="1">
        <f>0.145</f>
        <v>0.14499999999999999</v>
      </c>
    </row>
    <row r="47" spans="1:9">
      <c r="B47" s="1" t="s">
        <v>21</v>
      </c>
      <c r="C47" s="1">
        <v>0.70019500000000001</v>
      </c>
    </row>
    <row r="48" spans="1:9">
      <c r="B48" s="1" t="s">
        <v>22</v>
      </c>
      <c r="C48" s="1">
        <v>0.22500000000000001</v>
      </c>
    </row>
    <row r="49" spans="2:3">
      <c r="B49" s="3" t="s">
        <v>17</v>
      </c>
      <c r="C49" s="1">
        <f>-C46/(C47*(C46-1))</f>
        <v>0.24220487617714179</v>
      </c>
    </row>
    <row r="50" spans="2:3">
      <c r="B50" s="1" t="s">
        <v>23</v>
      </c>
      <c r="C50" s="1">
        <f>C49/(L4*L3)</f>
        <v>9.9017561231497666</v>
      </c>
    </row>
    <row r="51" spans="2:3">
      <c r="B51" s="1" t="s">
        <v>19</v>
      </c>
      <c r="C51" s="1">
        <f>I43*(1+C49*C47)</f>
        <v>7.6803118908382083E-3</v>
      </c>
    </row>
    <row r="52" spans="2:3">
      <c r="B52" s="1" t="s">
        <v>24</v>
      </c>
      <c r="C52" s="1">
        <f>AVERAGE(C24,C51)</f>
        <v>9.6068226120857719E-3</v>
      </c>
    </row>
    <row r="53" spans="2:3">
      <c r="B53" s="1" t="s">
        <v>25</v>
      </c>
      <c r="C53" s="1">
        <f>AVERAGE(C49,C22)</f>
        <v>0.23749853292818038</v>
      </c>
    </row>
    <row r="54" spans="2:3">
      <c r="B54" s="1" t="s">
        <v>26</v>
      </c>
      <c r="C54" s="1">
        <f>SQRT((C53*C48)/(0.002*C52))</f>
        <v>52.73717245477583</v>
      </c>
    </row>
    <row r="55" spans="2:3">
      <c r="B55" s="1" t="s">
        <v>27</v>
      </c>
      <c r="C55" s="1">
        <f>(1/(2*C54))*(C53*C48+1)/C52</f>
        <v>1.0396377239761438</v>
      </c>
    </row>
    <row r="57" spans="2:3">
      <c r="B57" t="s">
        <v>28</v>
      </c>
    </row>
    <row r="58" spans="2:3">
      <c r="B58" s="1" t="s">
        <v>29</v>
      </c>
      <c r="C58" s="1">
        <v>0.95</v>
      </c>
    </row>
    <row r="59" spans="2:3">
      <c r="B59" s="1" t="s">
        <v>30</v>
      </c>
      <c r="C59" s="1">
        <f>1.67*C54</f>
        <v>88.071077999475634</v>
      </c>
    </row>
    <row r="60" spans="2:3">
      <c r="B60" s="1" t="s">
        <v>31</v>
      </c>
      <c r="C60" s="1">
        <f>(C59^2*(0.002*C52))/C53</f>
        <v>0.62750249999999996</v>
      </c>
    </row>
    <row r="61" spans="2:3">
      <c r="B61" s="1" t="s">
        <v>32</v>
      </c>
      <c r="C61" s="1">
        <f>C60*1024</f>
        <v>642.56255999999996</v>
      </c>
    </row>
  </sheetData>
  <mergeCells count="12">
    <mergeCell ref="A4:A8"/>
    <mergeCell ref="B4:B8"/>
    <mergeCell ref="A9:A13"/>
    <mergeCell ref="B9:B13"/>
    <mergeCell ref="A14:A18"/>
    <mergeCell ref="B14:B18"/>
    <mergeCell ref="A28:A32"/>
    <mergeCell ref="B28:B32"/>
    <mergeCell ref="A33:A37"/>
    <mergeCell ref="B33:B37"/>
    <mergeCell ref="A38:A42"/>
    <mergeCell ref="B38:B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melab15</dc:creator>
  <cp:keywords/>
  <dc:description/>
  <cp:lastModifiedBy>Miles Alderman</cp:lastModifiedBy>
  <cp:revision/>
  <dcterms:created xsi:type="dcterms:W3CDTF">2022-06-09T18:22:02Z</dcterms:created>
  <dcterms:modified xsi:type="dcterms:W3CDTF">2022-06-10T20:43:31Z</dcterms:modified>
  <cp:category/>
  <cp:contentStatus/>
</cp:coreProperties>
</file>