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5 OpenAT Joysticks/Designs/Active Projects/Sliding Analog Thumbstick/Aspen_Sliding_Joystick_v1.0/Aspen_Sliding_Joystick/Documentation/Working_Documents/"/>
    </mc:Choice>
  </mc:AlternateContent>
  <xr:revisionPtr revIDLastSave="296" documentId="8_{FFCF63BE-D2B6-4D57-AB99-D42729B3DC72}" xr6:coauthVersionLast="47" xr6:coauthVersionMax="47" xr10:uidLastSave="{5AB58359-9FC4-47BE-89C8-B9DAB89C8BD3}"/>
  <bookViews>
    <workbookView xWindow="-120" yWindow="-120" windowWidth="29040" windowHeight="15840" xr2:uid="{00000000-000D-0000-FFFF-FFFF00000000}"/>
  </bookViews>
  <sheets>
    <sheet name="BOM" sheetId="1" r:id="rId1"/>
  </sheets>
  <definedNames>
    <definedName name="_xlnm.Print_Area" localSheetId="0">BOM!$A$1:$L$42</definedName>
    <definedName name="_xlnm.Print_Titles" localSheetId="0">BOM!$1:$2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H42" i="1"/>
  <c r="I42" i="1" s="1"/>
  <c r="J19" i="1" l="1"/>
  <c r="I19" i="1"/>
  <c r="H16" i="1" l="1"/>
  <c r="H17" i="1"/>
  <c r="H18" i="1"/>
  <c r="H19" i="1"/>
  <c r="H20" i="1"/>
  <c r="H21" i="1"/>
  <c r="H22" i="1"/>
  <c r="H23" i="1"/>
  <c r="H24" i="1"/>
  <c r="H15" i="1"/>
  <c r="H40" i="1" l="1"/>
  <c r="I40" i="1" s="1"/>
  <c r="G40" i="1"/>
  <c r="J40" i="1" s="1"/>
  <c r="I16" i="1" l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15" i="1"/>
  <c r="J15" i="1" s="1"/>
  <c r="H9" i="1" l="1"/>
  <c r="I9" i="1" s="1"/>
  <c r="G9" i="1"/>
  <c r="J9" i="1" s="1"/>
  <c r="H8" i="1"/>
  <c r="I8" i="1" s="1"/>
  <c r="G8" i="1"/>
  <c r="J8" i="1" s="1"/>
  <c r="H41" i="1"/>
  <c r="I41" i="1" s="1"/>
  <c r="G41" i="1"/>
  <c r="J41" i="1" s="1"/>
  <c r="H11" i="1" l="1"/>
  <c r="I11" i="1" s="1"/>
  <c r="G11" i="1"/>
  <c r="J11" i="1" s="1"/>
  <c r="H10" i="1" l="1"/>
  <c r="I10" i="1" s="1"/>
  <c r="G10" i="1"/>
  <c r="J10" i="1" s="1"/>
  <c r="H39" i="1" l="1"/>
  <c r="I39" i="1" s="1"/>
  <c r="G39" i="1"/>
  <c r="J39" i="1" s="1"/>
  <c r="G7" i="1"/>
  <c r="G37" i="1"/>
  <c r="J37" i="1" s="1"/>
  <c r="G38" i="1"/>
  <c r="J38" i="1" s="1"/>
  <c r="H38" i="1"/>
  <c r="I38" i="1" s="1"/>
  <c r="H37" i="1"/>
  <c r="I37" i="1" s="1"/>
  <c r="K2" i="1" l="1"/>
  <c r="G6" i="1"/>
  <c r="J6" i="1" s="1"/>
  <c r="J7" i="1"/>
  <c r="G5" i="1"/>
  <c r="J5" i="1" s="1"/>
  <c r="H6" i="1"/>
  <c r="I6" i="1" s="1"/>
  <c r="H7" i="1"/>
  <c r="I7" i="1" s="1"/>
  <c r="H5" i="1"/>
  <c r="J2" i="1" l="1"/>
  <c r="L2" i="1"/>
  <c r="I5" i="1" l="1"/>
  <c r="I2" i="1" s="1"/>
</calcChain>
</file>

<file path=xl/sharedStrings.xml><?xml version="1.0" encoding="utf-8"?>
<sst xmlns="http://schemas.openxmlformats.org/spreadsheetml/2006/main" count="107" uniqueCount="75">
  <si>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</si>
  <si>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</si>
  <si>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</si>
  <si>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</si>
  <si>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</si>
  <si>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</si>
  <si>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</si>
  <si>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</si>
  <si>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</si>
  <si>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</si>
  <si>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</si>
  <si>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</si>
  <si>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</si>
  <si>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</si>
  <si>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</si>
  <si>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</si>
  <si>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</si>
  <si>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</si>
  <si>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Electrical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</si>
  <si>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</si>
  <si>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</si>
  <si>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</si>
  <si>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</si>
  <si>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</si>
  <si>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</si>
  <si>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PLA</t>
  </si>
  <si>
    <t>Tools for Assembly</t>
  </si>
  <si>
    <t>Alternatives (if there are other sources for some parts link them below)</t>
  </si>
  <si>
    <t>Part and description</t>
  </si>
  <si>
    <t>Mini 2-Axis Analog Thumbstick</t>
  </si>
  <si>
    <t>Analog Mini Thumbstick Breakout Board</t>
  </si>
  <si>
    <t>Flush cutters</t>
  </si>
  <si>
    <t>Wire strippers</t>
  </si>
  <si>
    <t>Soldering iron</t>
  </si>
  <si>
    <t>Philips head screw driver</t>
  </si>
  <si>
    <t>3D printer</t>
  </si>
  <si>
    <t>https://www.digikey.ca/en/products/detail/adafruit-industries-llc/2765/6193582</t>
  </si>
  <si>
    <t>https://www.digikey.ca/en/products/detail/adafruit-industries-llc/3246/6193594</t>
  </si>
  <si>
    <t>Analog Mini Thumbstick Breakout Board - Adafruit</t>
  </si>
  <si>
    <t xml:space="preserve">https://www.adafruit.com/product/3246 </t>
  </si>
  <si>
    <t xml:space="preserve">https://www.adafruit.com/product/2765 </t>
  </si>
  <si>
    <t xml:space="preserve">https://a.co/d/0B9sK8N </t>
  </si>
  <si>
    <t>(Optional) Topper - small dome</t>
  </si>
  <si>
    <t>(Optional) Topper - medium dome</t>
  </si>
  <si>
    <t>(Optional) Topper - large dome</t>
  </si>
  <si>
    <t>(Optional) Topper - ring</t>
  </si>
  <si>
    <t>(Optional) Topper - concave</t>
  </si>
  <si>
    <t>Estimated Unit Price</t>
  </si>
  <si>
    <t>Total Price</t>
  </si>
  <si>
    <t>(Optional for mount) Tee nut</t>
  </si>
  <si>
    <t>3.5 mm stereo cable (4 conductor, TRRS, M-M)</t>
  </si>
  <si>
    <t>3.5 mm 4C TRRS M-M Cable</t>
  </si>
  <si>
    <t>(Optional for mount) M3x10mm screws and nuts x2</t>
  </si>
  <si>
    <t xml:space="preserve">https://www.digikey.ca/en/products/detail/apm-hexseal/RM3X12MM-2701/2063201 </t>
  </si>
  <si>
    <t xml:space="preserve">https://www.primecables.ca/p-370661-cab-aud-260-all-35mm-18-inch-4c-trrs-male-to-male-28awg-ft4-cable-black?from_pla=google&amp;sku=383487&amp;gclid=Cj0KCQjwlPWgBhDHARIsAH2xdNfMGpZUepmaOf2Hr_B_V0mfR8CIVkyGKW8KV6w9lkSs7Rj3b4Tc1OwaAjC6EALw_wcB#sku383491 </t>
  </si>
  <si>
    <t xml:space="preserve">https://www.homedepot.ca/product/paulin-1-4-inch-20-tee-nuts-4-prong-5-16-inch-barrel-length/1000129429 </t>
  </si>
  <si>
    <t>Digikey shipping (if spending less than $100)</t>
  </si>
  <si>
    <t>Shipping</t>
  </si>
  <si>
    <t xml:space="preserve">(Optional for mount adapter) 1/4-20 screw or hex bolt, at least 1/2" long </t>
  </si>
  <si>
    <t xml:space="preserve">https://www.homedepot.ca/product/paulin-1-4-20-x-1-2-inch-hex-head-cap-screw-18-8-stainless-steel-unc/1000142251 </t>
  </si>
  <si>
    <t xml:space="preserve">https://www.digikey.ca/en/products/detail/tensility-international-corp/10-02155/7606602 </t>
  </si>
  <si>
    <t>(Optional for mount) M3x12mm screw x2</t>
  </si>
  <si>
    <t>M3 hex nut x2</t>
  </si>
  <si>
    <t xml:space="preserve">https://www.digikey.ca/en/products/detail/keystone-electronics/4708/4499301 </t>
  </si>
  <si>
    <t>Aspen Sliding Joystick</t>
  </si>
  <si>
    <t>(Optional) Joystick_RAM_B_Mount_Adapter</t>
  </si>
  <si>
    <t>(Optional) Joystick_Camera_Mount_Adapter</t>
  </si>
  <si>
    <t>Last Updated: 2024-June-18</t>
  </si>
  <si>
    <t xml:space="preserve">Aspen_Enclosure_Bottom </t>
  </si>
  <si>
    <t xml:space="preserve">Aspen_Enclosure_Top </t>
  </si>
  <si>
    <t>Inner cover disk</t>
  </si>
  <si>
    <t xml:space="preserve">https://www.digikey.ca/en/products/detail/tensility-international-corp/10-00332/2350238 </t>
  </si>
  <si>
    <t>TRRS Audio Cable</t>
  </si>
  <si>
    <t>DigiKey</t>
  </si>
  <si>
    <t>https://www.digikey.ca/en/products/detail/tensility-international-corp/10-00341/2350244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</si>
</sst>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5" xfId="0" applyFill="1" applyBorder="1"/>
    <xf numFmtId="0" fontId="0" fillId="8" borderId="1" xfId="0" applyFill="1" applyBorder="1"/>
    <xf numFmtId="1" fontId="0" fillId="0" borderId="0" xfId="1" applyNumberFormat="1" applyFont="1"/>
    <xf numFmtId="44" fontId="0" fillId="0" borderId="0" xfId="0" applyNumberFormat="1"/>
    <xf numFmtId="44" fontId="0" fillId="6" borderId="6" xfId="1" applyFont="1" applyFill="1" applyBorder="1"/>
    <xf numFmtId="44" fontId="0" fillId="9" borderId="0" xfId="0" applyNumberFormat="1" applyFill="1"/>
    <xf numFmtId="44" fontId="0" fillId="8" borderId="7" xfId="1" applyFont="1" applyFill="1" applyBorder="1"/>
    <xf numFmtId="0" fontId="0" fillId="8" borderId="5" xfId="0" applyFill="1" applyBorder="1"/>
    <xf numFmtId="44" fontId="0" fillId="6" borderId="0" xfId="1" applyFont="1" applyFill="1" applyBorder="1"/>
    <xf numFmtId="44" fontId="0" fillId="0" borderId="0" xfId="1" applyFont="1" applyAlignment="1">
      <alignment horizontal="center"/>
    </xf>
    <xf numFmtId="44" fontId="0" fillId="0" borderId="0" xfId="1" applyFont="1" applyFill="1" applyBorder="1"/>
    <xf numFmtId="1" fontId="0" fillId="0" borderId="0" xfId="1" applyNumberFormat="1" applyFont="1" applyFill="1" applyBorder="1"/>
    <xf numFmtId="0" fontId="3" fillId="9" borderId="0" xfId="0" applyFont="1" applyFill="1"/>
    <xf numFmtId="0" fontId="5" fillId="0" borderId="0" xfId="0" applyFont="1"/>
    <xf numFmtId="165" fontId="0" fillId="0" borderId="0" xfId="0" applyNumberFormat="1"/>
    <xf numFmtId="0" fontId="5" fillId="0" borderId="0" xfId="0" applyFont="1" applyAlignment="1">
      <alignment horizontal="left"/>
    </xf>
    <xf numFmtId="0" fontId="0" fillId="5" borderId="4" xfId="0" applyFill="1" applyBorder="1"/>
    <xf numFmtId="0" fontId="0" fillId="5" borderId="7" xfId="0" applyFill="1" applyBorder="1"/>
    <xf numFmtId="0" fontId="7" fillId="5" borderId="4" xfId="0" applyFont="1" applyFill="1" applyBorder="1"/>
    <xf numFmtId="0" fontId="7" fillId="5" borderId="7" xfId="0" applyFont="1" applyFill="1" applyBorder="1"/>
    <xf numFmtId="0" fontId="3" fillId="5" borderId="4" xfId="0" applyFont="1" applyFill="1" applyBorder="1"/>
    <xf numFmtId="0" fontId="3" fillId="5" borderId="7" xfId="0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2B3ECAA-0516-4761-BE9A-53F70E3829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0B9sK8N" TargetMode="External"/><Relationship Id="rId13" Type="http://schemas.openxmlformats.org/officeDocument/2006/relationships/hyperlink" Target="https://www.digikey.ca/en/products/detail/tensility-international-corp/10-00341/2350244" TargetMode="External"/><Relationship Id="rId3" Type="http://schemas.openxmlformats.org/officeDocument/2006/relationships/hyperlink" Target="https://www.adafruit.com/product/3246" TargetMode="External"/><Relationship Id="rId7" Type="http://schemas.openxmlformats.org/officeDocument/2006/relationships/hyperlink" Target="https://www.homedepot.ca/product/paulin-1-4-20-x-1-2-inch-hex-head-cap-screw-18-8-stainless-steel-unc/1000142251" TargetMode="External"/><Relationship Id="rId12" Type="http://schemas.openxmlformats.org/officeDocument/2006/relationships/hyperlink" Target="https://www.digikey.ca/en/products/detail/tensility-international-corp/10-00332/2350238" TargetMode="External"/><Relationship Id="rId2" Type="http://schemas.openxmlformats.org/officeDocument/2006/relationships/hyperlink" Target="https://www.digikey.ca/en/products/detail/adafruit-industries-llc/3246/6193594" TargetMode="External"/><Relationship Id="rId1" Type="http://schemas.openxmlformats.org/officeDocument/2006/relationships/hyperlink" Target="https://www.digikey.ca/en/products/detail/adafruit-industries-llc/2765/6193582" TargetMode="External"/><Relationship Id="rId6" Type="http://schemas.openxmlformats.org/officeDocument/2006/relationships/hyperlink" Target="https://www.homedepot.ca/product/paulin-1-4-inch-20-tee-nuts-4-prong-5-16-inch-barrel-length/1000129429" TargetMode="External"/><Relationship Id="rId11" Type="http://schemas.openxmlformats.org/officeDocument/2006/relationships/hyperlink" Target="https://www.digikey.ca/en/products/detail/tensility-international-corp/10-02155/7606602" TargetMode="External"/><Relationship Id="rId5" Type="http://schemas.openxmlformats.org/officeDocument/2006/relationships/hyperlink" Target="https://www.primecables.ca/p-370661-cab-aud-260-all-35mm-18-inch-4c-trrs-male-to-male-28awg-ft4-cable-black?from_pla=google&amp;sku=383487&amp;gclid=Cj0KCQjwlPWgBhDHARIsAH2xdNfMGpZUepmaOf2Hr_B_V0mfR8CIVkyGKW8KV6w9lkSs7Rj3b4Tc1OwaAjC6EALw_wcB" TargetMode="External"/><Relationship Id="rId10" Type="http://schemas.openxmlformats.org/officeDocument/2006/relationships/hyperlink" Target="https://www.digikey.ca/en/products/detail/keystone-electronics/4708/4499301" TargetMode="External"/><Relationship Id="rId4" Type="http://schemas.openxmlformats.org/officeDocument/2006/relationships/hyperlink" Target="https://www.adafruit.com/product/2765" TargetMode="External"/><Relationship Id="rId9" Type="http://schemas.openxmlformats.org/officeDocument/2006/relationships/hyperlink" Target="https://www.digikey.ca/en/products/detail/apm-hexseal/RM3X12MM-2701/206320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>
      <selection activeCell="C45" sqref="C45"/>
    </sheetView>
  </sheetViews>
  <sheetFormatPr defaultRowHeight="15" x14ac:dyDescent="0.25"/>
  <cols>
    <col min="2" max="2" width="58.140625" customWidth="1"/>
    <col min="3" max="3" width="39.85546875" customWidth="1"/>
    <col min="4" max="4" width="4.42578125" bestFit="1" customWidth="1"/>
    <col min="5" max="5" width="13.855468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9" customWidth="1"/>
    <col min="10" max="10" width="12.7109375" customWidth="1"/>
    <col min="11" max="12" width="19.140625" customWidth="1"/>
    <col min="13" max="13" width="17.28515625" customWidth="1"/>
    <col min="14" max="14" width="89.85546875" bestFit="1" customWidth="1"/>
  </cols>
  <sheetData>
    <row r="1" spans="1:14" ht="35.25" x14ac:dyDescent="0.5">
      <c r="A1" s="30" t="s">
        <v>64</v>
      </c>
      <c r="B1" s="30"/>
      <c r="C1" s="28"/>
      <c r="I1" s="27" t="s">
        <v>0</v>
      </c>
      <c r="J1" s="1" t="s">
        <v>1</v>
      </c>
      <c r="K1" s="2" t="s">
        <v>2</v>
      </c>
      <c r="L1" s="3" t="s">
        <v>3</v>
      </c>
    </row>
    <row r="2" spans="1:14" ht="19.5" thickBot="1" x14ac:dyDescent="0.35">
      <c r="A2" s="11" t="s">
        <v>4</v>
      </c>
      <c r="C2" s="10" t="s">
        <v>67</v>
      </c>
      <c r="I2" s="20">
        <f>SUM(I5:I13,J15:J25)</f>
        <v>20.0275</v>
      </c>
      <c r="J2" s="4">
        <f>SUM(J5:J13,J15:J25)</f>
        <v>20.0275</v>
      </c>
      <c r="K2" s="14">
        <f>SUM(H15:H25)/60</f>
        <v>1.55</v>
      </c>
      <c r="L2" s="5">
        <f>SUM(E15:E20)</f>
        <v>29.500000000000004</v>
      </c>
    </row>
    <row r="3" spans="1:14" ht="16.5" thickBot="1" x14ac:dyDescent="0.3">
      <c r="A3" s="33" t="s">
        <v>5</v>
      </c>
      <c r="B3" s="34"/>
    </row>
    <row r="4" spans="1:14" ht="15.75" thickBot="1" x14ac:dyDescent="0.3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/>
      <c r="M4" s="6"/>
    </row>
    <row r="5" spans="1:14" x14ac:dyDescent="0.25">
      <c r="B5" t="s">
        <v>29</v>
      </c>
      <c r="C5" t="s">
        <v>18</v>
      </c>
      <c r="D5">
        <v>1</v>
      </c>
      <c r="E5">
        <v>1</v>
      </c>
      <c r="F5" s="8">
        <v>3.87</v>
      </c>
      <c r="G5" s="17">
        <f t="shared" ref="G5:G11" si="0">IF(E5&gt;0,ROUNDUP(D5/E5,0),0)</f>
        <v>1</v>
      </c>
      <c r="H5" s="19">
        <f>IF(E5&gt;0,F5/E5,0)</f>
        <v>3.87</v>
      </c>
      <c r="I5" s="19">
        <f t="shared" ref="I5:I11" si="1">H5*D5</f>
        <v>3.87</v>
      </c>
      <c r="J5" s="18">
        <f>G5*F5</f>
        <v>3.87</v>
      </c>
      <c r="K5" s="7" t="s">
        <v>36</v>
      </c>
    </row>
    <row r="6" spans="1:14" x14ac:dyDescent="0.25">
      <c r="B6" t="s">
        <v>30</v>
      </c>
      <c r="C6" t="s">
        <v>18</v>
      </c>
      <c r="D6">
        <v>1</v>
      </c>
      <c r="E6">
        <v>1</v>
      </c>
      <c r="F6" s="24">
        <v>2.1800000000000002</v>
      </c>
      <c r="G6" s="17">
        <f t="shared" si="0"/>
        <v>1</v>
      </c>
      <c r="H6" s="12">
        <f t="shared" ref="H6:H11" si="2">IF(E6&gt;0,F6/E6,0)</f>
        <v>2.1800000000000002</v>
      </c>
      <c r="I6" s="12">
        <f t="shared" si="1"/>
        <v>2.1800000000000002</v>
      </c>
      <c r="J6" s="18">
        <f t="shared" ref="J6:J11" si="3">G6*F6</f>
        <v>2.1800000000000002</v>
      </c>
      <c r="K6" s="7" t="s">
        <v>37</v>
      </c>
    </row>
    <row r="7" spans="1:14" x14ac:dyDescent="0.25">
      <c r="B7" t="s">
        <v>50</v>
      </c>
      <c r="C7" t="s">
        <v>18</v>
      </c>
      <c r="D7">
        <v>1</v>
      </c>
      <c r="E7">
        <v>1</v>
      </c>
      <c r="F7" s="24">
        <v>5.09</v>
      </c>
      <c r="G7" s="17">
        <f t="shared" si="0"/>
        <v>1</v>
      </c>
      <c r="H7" s="12">
        <f t="shared" si="2"/>
        <v>5.09</v>
      </c>
      <c r="I7" s="12">
        <f t="shared" si="1"/>
        <v>5.09</v>
      </c>
      <c r="J7" s="18">
        <f t="shared" si="3"/>
        <v>5.09</v>
      </c>
      <c r="K7" s="7" t="s">
        <v>71</v>
      </c>
    </row>
    <row r="8" spans="1:14" x14ac:dyDescent="0.25">
      <c r="B8" t="s">
        <v>62</v>
      </c>
      <c r="C8" t="s">
        <v>17</v>
      </c>
      <c r="D8">
        <v>2</v>
      </c>
      <c r="E8">
        <v>1</v>
      </c>
      <c r="F8" s="25">
        <v>0.28000000000000003</v>
      </c>
      <c r="G8" s="26">
        <f t="shared" si="0"/>
        <v>2</v>
      </c>
      <c r="H8" s="12">
        <f t="shared" si="2"/>
        <v>0.28000000000000003</v>
      </c>
      <c r="I8" s="12">
        <f t="shared" si="1"/>
        <v>0.56000000000000005</v>
      </c>
      <c r="J8" s="18">
        <f t="shared" si="3"/>
        <v>0.56000000000000005</v>
      </c>
      <c r="K8" s="7" t="s">
        <v>63</v>
      </c>
    </row>
    <row r="9" spans="1:14" x14ac:dyDescent="0.25">
      <c r="B9" t="s">
        <v>61</v>
      </c>
      <c r="C9" t="s">
        <v>17</v>
      </c>
      <c r="D9">
        <v>0</v>
      </c>
      <c r="E9">
        <v>1</v>
      </c>
      <c r="F9" s="25">
        <v>1.1100000000000001</v>
      </c>
      <c r="G9" s="26">
        <f t="shared" si="0"/>
        <v>0</v>
      </c>
      <c r="H9" s="12">
        <f t="shared" si="2"/>
        <v>1.1100000000000001</v>
      </c>
      <c r="I9" s="12">
        <f t="shared" si="1"/>
        <v>0</v>
      </c>
      <c r="J9" s="18">
        <f t="shared" si="3"/>
        <v>0</v>
      </c>
      <c r="K9" s="7" t="s">
        <v>53</v>
      </c>
    </row>
    <row r="10" spans="1:14" x14ac:dyDescent="0.25">
      <c r="B10" t="s">
        <v>49</v>
      </c>
      <c r="C10" t="s">
        <v>17</v>
      </c>
      <c r="D10">
        <v>0</v>
      </c>
      <c r="E10">
        <v>1</v>
      </c>
      <c r="F10" s="24">
        <v>0.48</v>
      </c>
      <c r="G10" s="17">
        <f t="shared" si="0"/>
        <v>0</v>
      </c>
      <c r="H10" s="12">
        <f t="shared" si="2"/>
        <v>0.48</v>
      </c>
      <c r="I10" s="12">
        <f t="shared" si="1"/>
        <v>0</v>
      </c>
      <c r="J10" s="18">
        <f t="shared" si="3"/>
        <v>0</v>
      </c>
      <c r="K10" s="7" t="s">
        <v>55</v>
      </c>
    </row>
    <row r="11" spans="1:14" x14ac:dyDescent="0.25">
      <c r="B11" t="s">
        <v>56</v>
      </c>
      <c r="C11" t="s">
        <v>57</v>
      </c>
      <c r="D11">
        <v>1</v>
      </c>
      <c r="E11">
        <v>1</v>
      </c>
      <c r="F11" s="24">
        <v>8</v>
      </c>
      <c r="G11" s="17">
        <f t="shared" si="0"/>
        <v>1</v>
      </c>
      <c r="H11" s="12">
        <f t="shared" si="2"/>
        <v>8</v>
      </c>
      <c r="I11" s="12">
        <f t="shared" si="1"/>
        <v>8</v>
      </c>
      <c r="J11" s="18">
        <f t="shared" si="3"/>
        <v>8</v>
      </c>
      <c r="K11" s="7"/>
    </row>
    <row r="12" spans="1:14" ht="15.75" thickBot="1" x14ac:dyDescent="0.3">
      <c r="G12" s="17"/>
      <c r="H12" s="23"/>
      <c r="I12" s="23"/>
      <c r="J12" s="18"/>
    </row>
    <row r="13" spans="1:14" ht="15.75" thickBot="1" x14ac:dyDescent="0.3">
      <c r="A13" s="35" t="s">
        <v>19</v>
      </c>
      <c r="B13" s="36"/>
      <c r="C13" s="21">
        <v>25</v>
      </c>
      <c r="F13" s="8"/>
      <c r="G13" s="8"/>
      <c r="H13" s="13"/>
      <c r="I13" s="13"/>
      <c r="N13" s="7"/>
    </row>
    <row r="14" spans="1:14" ht="15.75" thickBot="1" x14ac:dyDescent="0.3">
      <c r="A14" t="s">
        <v>6</v>
      </c>
      <c r="B14" s="6" t="s">
        <v>20</v>
      </c>
      <c r="C14" s="15" t="s">
        <v>21</v>
      </c>
      <c r="D14" s="6" t="s">
        <v>9</v>
      </c>
      <c r="E14" s="6" t="s">
        <v>22</v>
      </c>
      <c r="F14" s="6" t="s">
        <v>23</v>
      </c>
      <c r="G14" s="6"/>
      <c r="H14" s="6" t="s">
        <v>24</v>
      </c>
      <c r="I14" s="6" t="s">
        <v>47</v>
      </c>
      <c r="J14" s="6" t="s">
        <v>48</v>
      </c>
      <c r="K14" s="6" t="s">
        <v>16</v>
      </c>
    </row>
    <row r="15" spans="1:14" x14ac:dyDescent="0.25">
      <c r="B15" t="s">
        <v>68</v>
      </c>
      <c r="C15" t="s">
        <v>25</v>
      </c>
      <c r="D15">
        <v>1</v>
      </c>
      <c r="E15" s="29">
        <v>8</v>
      </c>
      <c r="F15">
        <v>61</v>
      </c>
      <c r="H15">
        <f>F15*D15</f>
        <v>61</v>
      </c>
      <c r="I15" s="12">
        <f>(E15/1000)*$C$13</f>
        <v>0.2</v>
      </c>
      <c r="J15" s="18">
        <f>I15*D15</f>
        <v>0.2</v>
      </c>
    </row>
    <row r="16" spans="1:14" x14ac:dyDescent="0.25">
      <c r="B16" t="s">
        <v>69</v>
      </c>
      <c r="C16" t="s">
        <v>25</v>
      </c>
      <c r="D16">
        <v>1</v>
      </c>
      <c r="E16">
        <v>4.5999999999999996</v>
      </c>
      <c r="F16">
        <v>28</v>
      </c>
      <c r="H16">
        <f t="shared" ref="H16:H24" si="4">F16*D16</f>
        <v>28</v>
      </c>
      <c r="I16" s="12">
        <f t="shared" ref="I16:I25" si="5">(E16/1000)*$C$13</f>
        <v>0.11499999999999999</v>
      </c>
      <c r="J16" s="18">
        <f t="shared" ref="J16:J25" si="6">I16*D16</f>
        <v>0.11499999999999999</v>
      </c>
    </row>
    <row r="17" spans="1:14" x14ac:dyDescent="0.25">
      <c r="B17" t="s">
        <v>70</v>
      </c>
      <c r="C17" t="s">
        <v>25</v>
      </c>
      <c r="D17">
        <v>1</v>
      </c>
      <c r="E17">
        <v>0.5</v>
      </c>
      <c r="F17">
        <v>4</v>
      </c>
      <c r="H17">
        <f t="shared" si="4"/>
        <v>4</v>
      </c>
      <c r="I17" s="12">
        <f t="shared" si="5"/>
        <v>1.2500000000000001E-2</v>
      </c>
      <c r="J17" s="18">
        <f t="shared" si="6"/>
        <v>1.2500000000000001E-2</v>
      </c>
    </row>
    <row r="18" spans="1:14" x14ac:dyDescent="0.25">
      <c r="B18" t="s">
        <v>66</v>
      </c>
      <c r="C18" t="s">
        <v>25</v>
      </c>
      <c r="D18">
        <v>0</v>
      </c>
      <c r="E18">
        <v>6.5</v>
      </c>
      <c r="F18">
        <v>43</v>
      </c>
      <c r="H18">
        <f t="shared" si="4"/>
        <v>0</v>
      </c>
      <c r="I18" s="12">
        <f t="shared" si="5"/>
        <v>0.16250000000000001</v>
      </c>
      <c r="J18" s="18">
        <f t="shared" si="6"/>
        <v>0</v>
      </c>
    </row>
    <row r="19" spans="1:14" x14ac:dyDescent="0.25">
      <c r="B19" t="s">
        <v>65</v>
      </c>
      <c r="C19" t="s">
        <v>25</v>
      </c>
      <c r="D19">
        <v>0</v>
      </c>
      <c r="E19">
        <v>9.3000000000000007</v>
      </c>
      <c r="F19">
        <v>61</v>
      </c>
      <c r="H19">
        <f t="shared" si="4"/>
        <v>0</v>
      </c>
      <c r="I19" s="12">
        <f t="shared" si="5"/>
        <v>0.23250000000000001</v>
      </c>
      <c r="J19" s="18">
        <f t="shared" si="6"/>
        <v>0</v>
      </c>
    </row>
    <row r="20" spans="1:14" x14ac:dyDescent="0.25">
      <c r="B20" t="s">
        <v>42</v>
      </c>
      <c r="C20" t="s">
        <v>25</v>
      </c>
      <c r="D20">
        <v>0</v>
      </c>
      <c r="E20">
        <v>0.6</v>
      </c>
      <c r="F20">
        <v>8</v>
      </c>
      <c r="H20">
        <f t="shared" si="4"/>
        <v>0</v>
      </c>
      <c r="I20" s="12">
        <f t="shared" si="5"/>
        <v>1.4999999999999999E-2</v>
      </c>
      <c r="J20" s="18">
        <f t="shared" si="6"/>
        <v>0</v>
      </c>
    </row>
    <row r="21" spans="1:14" x14ac:dyDescent="0.25">
      <c r="B21" t="s">
        <v>43</v>
      </c>
      <c r="C21" t="s">
        <v>25</v>
      </c>
      <c r="D21">
        <v>0</v>
      </c>
      <c r="E21">
        <v>1.7</v>
      </c>
      <c r="F21">
        <v>17</v>
      </c>
      <c r="H21">
        <f t="shared" si="4"/>
        <v>0</v>
      </c>
      <c r="I21" s="12">
        <f t="shared" si="5"/>
        <v>4.2499999999999996E-2</v>
      </c>
      <c r="J21" s="18">
        <f t="shared" si="6"/>
        <v>0</v>
      </c>
    </row>
    <row r="22" spans="1:14" x14ac:dyDescent="0.25">
      <c r="B22" t="s">
        <v>44</v>
      </c>
      <c r="C22" t="s">
        <v>25</v>
      </c>
      <c r="D22">
        <v>0</v>
      </c>
      <c r="E22">
        <v>4.9000000000000004</v>
      </c>
      <c r="F22">
        <v>37</v>
      </c>
      <c r="H22">
        <f t="shared" si="4"/>
        <v>0</v>
      </c>
      <c r="I22" s="12">
        <f t="shared" si="5"/>
        <v>0.12250000000000001</v>
      </c>
      <c r="J22" s="18">
        <f t="shared" si="6"/>
        <v>0</v>
      </c>
    </row>
    <row r="23" spans="1:14" x14ac:dyDescent="0.25">
      <c r="B23" t="s">
        <v>45</v>
      </c>
      <c r="C23" t="s">
        <v>25</v>
      </c>
      <c r="D23">
        <v>0</v>
      </c>
      <c r="E23">
        <v>1.5</v>
      </c>
      <c r="F23">
        <v>16</v>
      </c>
      <c r="H23">
        <f t="shared" si="4"/>
        <v>0</v>
      </c>
      <c r="I23" s="12">
        <f t="shared" si="5"/>
        <v>3.7499999999999999E-2</v>
      </c>
      <c r="J23" s="18">
        <f t="shared" si="6"/>
        <v>0</v>
      </c>
    </row>
    <row r="24" spans="1:14" x14ac:dyDescent="0.25">
      <c r="B24" t="s">
        <v>46</v>
      </c>
      <c r="C24" t="s">
        <v>25</v>
      </c>
      <c r="D24">
        <v>0</v>
      </c>
      <c r="E24">
        <v>1</v>
      </c>
      <c r="F24">
        <v>10</v>
      </c>
      <c r="H24">
        <f t="shared" si="4"/>
        <v>0</v>
      </c>
      <c r="I24" s="12">
        <f t="shared" si="5"/>
        <v>2.5000000000000001E-2</v>
      </c>
      <c r="J24" s="18">
        <f t="shared" si="6"/>
        <v>0</v>
      </c>
    </row>
    <row r="25" spans="1:14" x14ac:dyDescent="0.25">
      <c r="B25" s="10"/>
      <c r="I25" s="12">
        <f t="shared" si="5"/>
        <v>0</v>
      </c>
      <c r="J25" s="18">
        <f t="shared" si="6"/>
        <v>0</v>
      </c>
    </row>
    <row r="26" spans="1:14" ht="15.75" thickBot="1" x14ac:dyDescent="0.3">
      <c r="B26" s="10"/>
    </row>
    <row r="27" spans="1:14" ht="15.75" thickBot="1" x14ac:dyDescent="0.3">
      <c r="A27" s="35" t="s">
        <v>26</v>
      </c>
      <c r="B27" s="3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x14ac:dyDescent="0.25">
      <c r="B28" t="s">
        <v>31</v>
      </c>
    </row>
    <row r="29" spans="1:14" x14ac:dyDescent="0.25">
      <c r="B29" t="s">
        <v>32</v>
      </c>
    </row>
    <row r="30" spans="1:14" x14ac:dyDescent="0.25">
      <c r="B30" t="s">
        <v>33</v>
      </c>
    </row>
    <row r="31" spans="1:14" x14ac:dyDescent="0.25">
      <c r="B31" t="s">
        <v>34</v>
      </c>
    </row>
    <row r="32" spans="1:14" x14ac:dyDescent="0.25">
      <c r="B32" t="s">
        <v>35</v>
      </c>
    </row>
    <row r="33" spans="1:14" x14ac:dyDescent="0.25">
      <c r="B33" t="s">
        <v>58</v>
      </c>
      <c r="K33" s="7" t="s">
        <v>59</v>
      </c>
    </row>
    <row r="34" spans="1:14" ht="15.75" thickBot="1" x14ac:dyDescent="0.3"/>
    <row r="35" spans="1:14" ht="15.75" thickBot="1" x14ac:dyDescent="0.3">
      <c r="A35" s="31" t="s">
        <v>27</v>
      </c>
      <c r="B35" s="3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ht="15.75" thickBot="1" x14ac:dyDescent="0.3">
      <c r="A36" s="16" t="s">
        <v>6</v>
      </c>
      <c r="B36" s="22" t="s">
        <v>28</v>
      </c>
      <c r="C36" s="6" t="s">
        <v>8</v>
      </c>
      <c r="D36" s="6" t="s">
        <v>9</v>
      </c>
      <c r="E36" s="6" t="s">
        <v>10</v>
      </c>
      <c r="F36" s="6" t="s">
        <v>11</v>
      </c>
      <c r="G36" s="6" t="s">
        <v>12</v>
      </c>
      <c r="H36" s="6" t="s">
        <v>13</v>
      </c>
      <c r="I36" s="6" t="s">
        <v>14</v>
      </c>
      <c r="J36" s="6" t="s">
        <v>15</v>
      </c>
      <c r="K36" s="16" t="s">
        <v>16</v>
      </c>
    </row>
    <row r="37" spans="1:14" x14ac:dyDescent="0.25">
      <c r="B37" t="s">
        <v>38</v>
      </c>
      <c r="C37" t="s">
        <v>18</v>
      </c>
      <c r="D37">
        <v>1</v>
      </c>
      <c r="E37">
        <v>1</v>
      </c>
      <c r="F37" s="8">
        <v>1.5</v>
      </c>
      <c r="G37" s="17">
        <f t="shared" ref="G37:G38" si="7">IF(E37&gt;0,ROUNDUP(D37/E37,0),0)</f>
        <v>1</v>
      </c>
      <c r="H37" s="19">
        <f t="shared" ref="H37:H41" si="8">IF(E37&gt;0,F37/E37,0)</f>
        <v>1.5</v>
      </c>
      <c r="I37" s="19">
        <f t="shared" ref="I37:I41" si="9">H37*D37</f>
        <v>1.5</v>
      </c>
      <c r="J37" s="18">
        <f t="shared" ref="J37:J41" si="10">G37*F37</f>
        <v>1.5</v>
      </c>
      <c r="K37" s="7" t="s">
        <v>39</v>
      </c>
    </row>
    <row r="38" spans="1:14" x14ac:dyDescent="0.25">
      <c r="B38" t="s">
        <v>29</v>
      </c>
      <c r="C38" t="s">
        <v>18</v>
      </c>
      <c r="D38">
        <v>1</v>
      </c>
      <c r="E38">
        <v>1</v>
      </c>
      <c r="F38" s="8">
        <v>2.5</v>
      </c>
      <c r="G38" s="17">
        <f t="shared" si="7"/>
        <v>1</v>
      </c>
      <c r="H38" s="19">
        <f t="shared" si="8"/>
        <v>2.5</v>
      </c>
      <c r="I38" s="19">
        <f t="shared" si="9"/>
        <v>2.5</v>
      </c>
      <c r="J38" s="18">
        <f t="shared" si="10"/>
        <v>2.5</v>
      </c>
      <c r="K38" s="7" t="s">
        <v>40</v>
      </c>
    </row>
    <row r="39" spans="1:14" x14ac:dyDescent="0.25">
      <c r="B39" t="s">
        <v>51</v>
      </c>
      <c r="C39" t="s">
        <v>18</v>
      </c>
      <c r="D39">
        <v>0.5</v>
      </c>
      <c r="E39">
        <v>1</v>
      </c>
      <c r="F39" s="25">
        <v>2.89</v>
      </c>
      <c r="G39" s="26">
        <f t="shared" ref="G39:G41" si="11">IF(E39&gt;0,ROUNDUP(D39/E39,0),0)</f>
        <v>1</v>
      </c>
      <c r="H39" s="12">
        <f t="shared" si="8"/>
        <v>2.89</v>
      </c>
      <c r="I39" s="12">
        <f t="shared" si="9"/>
        <v>1.4450000000000001</v>
      </c>
      <c r="J39" s="18">
        <f t="shared" si="10"/>
        <v>2.89</v>
      </c>
      <c r="K39" s="7" t="s">
        <v>54</v>
      </c>
    </row>
    <row r="40" spans="1:14" x14ac:dyDescent="0.25">
      <c r="B40" t="s">
        <v>51</v>
      </c>
      <c r="D40">
        <v>0.5</v>
      </c>
      <c r="E40">
        <v>1</v>
      </c>
      <c r="F40" s="25">
        <v>6.71</v>
      </c>
      <c r="G40" s="26">
        <f t="shared" si="11"/>
        <v>1</v>
      </c>
      <c r="H40" s="12">
        <f t="shared" si="8"/>
        <v>6.71</v>
      </c>
      <c r="I40" s="12">
        <f t="shared" si="9"/>
        <v>3.355</v>
      </c>
      <c r="J40" s="18">
        <f t="shared" si="10"/>
        <v>6.71</v>
      </c>
      <c r="K40" s="7" t="s">
        <v>60</v>
      </c>
    </row>
    <row r="41" spans="1:14" x14ac:dyDescent="0.25">
      <c r="B41" t="s">
        <v>52</v>
      </c>
      <c r="C41" t="s">
        <v>17</v>
      </c>
      <c r="D41">
        <v>4</v>
      </c>
      <c r="E41">
        <v>340</v>
      </c>
      <c r="F41" s="24">
        <v>22.14</v>
      </c>
      <c r="G41" s="17">
        <f t="shared" si="11"/>
        <v>1</v>
      </c>
      <c r="H41" s="12">
        <f t="shared" si="8"/>
        <v>6.511764705882353E-2</v>
      </c>
      <c r="I41" s="12">
        <f t="shared" si="9"/>
        <v>0.26047058823529412</v>
      </c>
      <c r="J41" s="18">
        <f t="shared" si="10"/>
        <v>22.14</v>
      </c>
      <c r="K41" s="7" t="s">
        <v>41</v>
      </c>
    </row>
    <row r="42" spans="1:14" x14ac:dyDescent="0.25">
      <c r="B42" t="s">
        <v>72</v>
      </c>
      <c r="C42" t="s">
        <v>73</v>
      </c>
      <c r="D42">
        <v>1</v>
      </c>
      <c r="E42">
        <v>1</v>
      </c>
      <c r="F42" s="8">
        <v>7.19</v>
      </c>
      <c r="G42" s="17">
        <v>1</v>
      </c>
      <c r="H42" s="19">
        <f>IF(E42&gt;0,F42/E42,0)</f>
        <v>7.19</v>
      </c>
      <c r="I42" s="19">
        <f>H42*D42</f>
        <v>7.19</v>
      </c>
      <c r="J42" s="18">
        <f>G42*F42</f>
        <v>7.19</v>
      </c>
      <c r="K42" s="7" t="s">
        <v>74</v>
      </c>
    </row>
  </sheetData>
  <mergeCells count="5">
    <mergeCell ref="A1:B1"/>
    <mergeCell ref="A35:B35"/>
    <mergeCell ref="A3:B3"/>
    <mergeCell ref="A13:B13"/>
    <mergeCell ref="A27:B27"/>
  </mergeCells>
  <hyperlinks>
    <hyperlink ref="K5" r:id="rId1" xr:uid="{2BDEC5B6-9C5C-4DF3-B048-251F8DB1F9AA}"/>
    <hyperlink ref="K6" r:id="rId2" xr:uid="{D2382A15-9AC3-4E43-BA16-A9ED529FF8B4}"/>
    <hyperlink ref="K37" r:id="rId3" xr:uid="{96DE242E-188A-4B6A-88C9-4BD647E2C8E7}"/>
    <hyperlink ref="K38" r:id="rId4" xr:uid="{329487A5-33CB-43A8-87AE-830E4120192A}"/>
    <hyperlink ref="K39" r:id="rId5" location="sku383491 " xr:uid="{78075580-FCB1-472A-B19F-C78FD2B8257C}"/>
    <hyperlink ref="K10" r:id="rId6" xr:uid="{46A12388-0439-42C4-9F35-824318D34603}"/>
    <hyperlink ref="K33" r:id="rId7" xr:uid="{B0336E92-9552-45FA-A8B4-4F1203D569EF}"/>
    <hyperlink ref="K41" r:id="rId8" xr:uid="{6635064D-C9CA-415A-9952-F9C05894ABE2}"/>
    <hyperlink ref="K9" r:id="rId9" xr:uid="{6C723921-38D4-4AA8-85E0-326D2023B051}"/>
    <hyperlink ref="K8" r:id="rId10" xr:uid="{D4B5BE68-BB9C-4824-A2EC-5657A09A97E0}"/>
    <hyperlink ref="K40" r:id="rId11" xr:uid="{2CBFA260-558B-40C8-BDCC-BF92FDDFEEFD}"/>
    <hyperlink ref="K7" r:id="rId12" xr:uid="{60C4109D-04E2-45A9-A045-507D86216D53}"/>
    <hyperlink ref="K42" r:id="rId13" xr:uid="{898F5857-1857-45A7-954C-B69870F0884B}"/>
  </hyperlinks>
  <printOptions gridLines="1"/>
  <pageMargins left="0.23622047244094491" right="0.23622047244094491" top="0.74803149606299213" bottom="0.74803149606299213" header="0.31496062992125984" footer="0.31496062992125984"/>
  <pageSetup paperSize="5" scale="70" orientation="landscape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7F61F1-65EA-4381-A5A1-B24E039B7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72c39c84-b0a3-45a2-a38c-ff46bb47f11f"/>
    <ds:schemaRef ds:uri="http://www.w3.org/XML/1998/namespace"/>
    <ds:schemaRef ds:uri="http://schemas.microsoft.com/office/infopath/2007/PartnerControls"/>
    <ds:schemaRef ds:uri="cf9f6c1f-8ad0-4eb8-bb2b-fb0b622a341e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cp:lastPrinted>2023-05-16T14:33:10Z</cp:lastPrinted>
  <dcterms:created xsi:type="dcterms:W3CDTF">2021-04-20T01:54:08Z</dcterms:created>
  <dcterms:modified xsi:type="dcterms:W3CDTF">2024-06-20T17:04:41Z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