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C - Joystick - Wearable Pointer/Ivy-Joystick/Documentation/Working_Documents/"/>
    </mc:Choice>
  </mc:AlternateContent>
  <xr:revisionPtr revIDLastSave="548" documentId="11_DC0E2523FAFE28515E8D5C5A1D4A6B02C3B15AFA" xr6:coauthVersionLast="47" xr6:coauthVersionMax="47" xr10:uidLastSave="{B19DF898-D575-4C1C-BB61-B6551299BFA3}"/>
  <bookViews>
    <workbookView xWindow="-120" yWindow="-120" windowWidth="29040" windowHeight="15840" xr2:uid="{00000000-000D-0000-FFFF-FFFF00000000}"/>
  </bookViews>
  <sheets>
    <sheet name="BOM - Ivy Nunchuck Adapto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" l="1"/>
  <c r="L33" i="2"/>
  <c r="I33" i="2"/>
  <c r="J26" i="2"/>
  <c r="K26" i="2" s="1"/>
  <c r="I26" i="2"/>
  <c r="L26" i="2" s="1"/>
  <c r="I38" i="2"/>
  <c r="L38" i="2" s="1"/>
  <c r="K38" i="2"/>
  <c r="J24" i="2"/>
  <c r="K24" i="2" s="1"/>
  <c r="J23" i="2"/>
  <c r="L23" i="2" s="1"/>
  <c r="J25" i="2"/>
  <c r="K25" i="2" s="1"/>
  <c r="I25" i="2"/>
  <c r="J22" i="2"/>
  <c r="K22" i="2" s="1"/>
  <c r="J21" i="2"/>
  <c r="I16" i="2"/>
  <c r="I15" i="2"/>
  <c r="J16" i="2"/>
  <c r="J15" i="2"/>
  <c r="K15" i="2" s="1"/>
  <c r="L15" i="2" s="1"/>
  <c r="I22" i="2"/>
  <c r="I23" i="2"/>
  <c r="I24" i="2"/>
  <c r="I27" i="2"/>
  <c r="L27" i="2" s="1"/>
  <c r="I28" i="2"/>
  <c r="L28" i="2" s="1"/>
  <c r="I29" i="2"/>
  <c r="I30" i="2"/>
  <c r="L30" i="2" s="1"/>
  <c r="I31" i="2"/>
  <c r="L31" i="2" s="1"/>
  <c r="I32" i="2"/>
  <c r="L32" i="2" s="1"/>
  <c r="I34" i="2"/>
  <c r="I35" i="2"/>
  <c r="I36" i="2"/>
  <c r="L36" i="2" s="1"/>
  <c r="I37" i="2"/>
  <c r="L37" i="2" s="1"/>
  <c r="I21" i="2"/>
  <c r="L21" i="2" s="1"/>
  <c r="L29" i="2"/>
  <c r="L34" i="2"/>
  <c r="L35" i="2"/>
  <c r="K27" i="2"/>
  <c r="K28" i="2"/>
  <c r="K29" i="2"/>
  <c r="K30" i="2"/>
  <c r="K31" i="2"/>
  <c r="K32" i="2"/>
  <c r="K34" i="2"/>
  <c r="K35" i="2"/>
  <c r="K36" i="2"/>
  <c r="K37" i="2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5" i="2"/>
  <c r="L5" i="2" s="1"/>
  <c r="K21" i="2"/>
  <c r="K6" i="2"/>
  <c r="K7" i="2"/>
  <c r="K8" i="2"/>
  <c r="K9" i="2"/>
  <c r="K10" i="2"/>
  <c r="K11" i="2"/>
  <c r="K5" i="2"/>
  <c r="M2" i="2"/>
  <c r="L25" i="2" l="1"/>
  <c r="L24" i="2"/>
  <c r="K23" i="2"/>
  <c r="K16" i="2"/>
  <c r="L16" i="2" s="1"/>
  <c r="I2" i="2"/>
  <c r="L22" i="2"/>
  <c r="K2" i="2" l="1"/>
  <c r="L2" i="2" l="1"/>
</calcChain>
</file>

<file path=xl/sharedStrings.xml><?xml version="1.0" encoding="utf-8"?>
<sst xmlns="http://schemas.openxmlformats.org/spreadsheetml/2006/main" count="150" uniqueCount="84">
  <si>
    <t>Total Cost</t>
  </si>
  <si>
    <t>Total Print time (hr)</t>
  </si>
  <si>
    <t>Link</t>
  </si>
  <si>
    <t>Part</t>
  </si>
  <si>
    <t>Description</t>
  </si>
  <si>
    <t>Alternatives (if there are other sources for some parts link them below)</t>
  </si>
  <si>
    <t>Wii Nunchuk Controller</t>
  </si>
  <si>
    <t>Adafruit Wii Nunchuk Breakout</t>
  </si>
  <si>
    <t>https://www.digikey.ca/en/products/detail/adafruit-industries-llc/4836/13577615</t>
  </si>
  <si>
    <t>Supplier</t>
  </si>
  <si>
    <t>Digikey</t>
  </si>
  <si>
    <t>Manufacturer</t>
  </si>
  <si>
    <t>Adafruit</t>
  </si>
  <si>
    <t>https://www.digikey.ca/en/products/detail/sparkfun-electronics/PRT-14426/7652739</t>
  </si>
  <si>
    <t>Qwiic Cable - 50 mm</t>
  </si>
  <si>
    <t>https://www.digikey.ca/en/products/detail/adafruit-industries-llc/4600/13543375</t>
  </si>
  <si>
    <t>Adafruit QT PY - SAMD21</t>
  </si>
  <si>
    <t>Sparkfun Electronics</t>
  </si>
  <si>
    <t>https://www.adafruit.com/product/342</t>
  </si>
  <si>
    <t>https://www.adafruit.com/product/4836</t>
  </si>
  <si>
    <t>https://www.adafruit.com/product/4399</t>
  </si>
  <si>
    <t>https://www.adafruit.com/product/4600</t>
  </si>
  <si>
    <t>https://www.digikey.ca/en/products/detail/cvilux-usa/DH-20M50053/13177348</t>
  </si>
  <si>
    <t>https://www.amazon.ca/dp/B00FJ2LMGK</t>
  </si>
  <si>
    <t>Ostent</t>
  </si>
  <si>
    <t>Amazon</t>
  </si>
  <si>
    <t>Shipping</t>
  </si>
  <si>
    <t>Cvilux USA</t>
  </si>
  <si>
    <t>Print Time (hr:Min)</t>
  </si>
  <si>
    <t>Dialight</t>
  </si>
  <si>
    <t>Light Pipe 0.250"</t>
  </si>
  <si>
    <t>Enclosure Top</t>
  </si>
  <si>
    <t>Enclosure Bottom</t>
  </si>
  <si>
    <t>Version: V1.0</t>
  </si>
  <si>
    <t>Mouser</t>
  </si>
  <si>
    <t>Commercial Parts</t>
  </si>
  <si>
    <t>https://www.mouser.ca/ProductDetail/Adafruit/342?qs=GURawfaeGuDV1HPrkucg9w%3D%3D</t>
  </si>
  <si>
    <t>https://www.mouser.ca/ProductDetail/Adafruit/4836?qs=eP2BKZSCXI4ZoRtk7kHCZA%3D%3D</t>
  </si>
  <si>
    <t>https://www.mouser.ca/ProductDetail/SparkFun/PRT-14426?qs=wd5RIQLrsJiogglVGK6o1w%3D%3D</t>
  </si>
  <si>
    <t>https://www.mouser.ca/ProductDetail/Adafruit/4600?qs=hd1VzrDQEGi752M4exorSA%3D%3D</t>
  </si>
  <si>
    <t>ID</t>
  </si>
  <si>
    <t>https://www.digikey.ca/en/products/detail/adafruit-industries-llc/342/10669902</t>
  </si>
  <si>
    <t>Last updated:</t>
  </si>
  <si>
    <t xml:space="preserve"> 2023-Sep-29</t>
  </si>
  <si>
    <t>Supplier PN</t>
  </si>
  <si>
    <t>QTY</t>
  </si>
  <si>
    <t>QTY/PKG</t>
  </si>
  <si>
    <t>$/PKG</t>
  </si>
  <si>
    <t>Total Price</t>
  </si>
  <si>
    <t>PKGs</t>
  </si>
  <si>
    <t>Unit Cost</t>
  </si>
  <si>
    <t>485-4474</t>
  </si>
  <si>
    <t>https://www.mouser.ca/ProductDetail/Adafruit/4474?qs=CUBnOrq4ZJz9F%2FNF%252BRRALQ%3D%3D</t>
  </si>
  <si>
    <t>$/gram</t>
  </si>
  <si>
    <t>TotalMass</t>
  </si>
  <si>
    <t>Mass (g) Per</t>
  </si>
  <si>
    <t>3D Printed Parts</t>
  </si>
  <si>
    <t>ESTIMATED PRICING USING 1KG ROLL COST:</t>
  </si>
  <si>
    <t>485-342</t>
  </si>
  <si>
    <t>485-4836</t>
  </si>
  <si>
    <t>485-4399</t>
  </si>
  <si>
    <t>485-4600</t>
  </si>
  <si>
    <t>Adafruit Shipping</t>
  </si>
  <si>
    <t>Mouser Shipping</t>
  </si>
  <si>
    <t>1528-342-ND</t>
  </si>
  <si>
    <t>350-3746-ND</t>
  </si>
  <si>
    <t>1528-4600-ND</t>
  </si>
  <si>
    <t>1568-1710-ND</t>
  </si>
  <si>
    <t>1528-4836-ND</t>
  </si>
  <si>
    <t>https://www.adafruit.com/product/4474</t>
  </si>
  <si>
    <t>2987-DH-20M50053-ND</t>
  </si>
  <si>
    <t>1528-4474-ND</t>
  </si>
  <si>
    <t>https://www.digikey.ca/en/products/detail/adafruit-industries-llc/4474/11587355</t>
  </si>
  <si>
    <t>https://www.digikey.ca/en/products/detail/dialight/51513030250F/4965201</t>
  </si>
  <si>
    <t>Filament (g)</t>
  </si>
  <si>
    <t>645-515-1303-0250F</t>
  </si>
  <si>
    <t>https://www.mouser.ca/ProductDetail/Dialight/515-1303-0250F?qs=rkevp0fsrts4dv75K85%2FWA%3D%3D</t>
  </si>
  <si>
    <t>USB C Cable, 2m</t>
  </si>
  <si>
    <t>USB C Cable, 3ft</t>
  </si>
  <si>
    <t>485-5044</t>
  </si>
  <si>
    <t>https://www.mouser.ca/ProductDetail/Adafruit/5044?qs=pBJMDPsKWf0NCabokbqBvw%3D%3D</t>
  </si>
  <si>
    <t>Ivy Nunchuck Joystick Adapter</t>
  </si>
  <si>
    <t>Ivy_Enclosure_Top.stl</t>
  </si>
  <si>
    <t>Ivy_Enclosure_Bottom.stl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</si>
</sst>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4" fillId="8" borderId="0" applyNumberFormat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164" fontId="4" fillId="2" borderId="0" xfId="2" applyNumberFormat="1"/>
    <xf numFmtId="0" fontId="0" fillId="4" borderId="1" xfId="0" applyFill="1" applyBorder="1"/>
    <xf numFmtId="0" fontId="6" fillId="0" borderId="0" xfId="4"/>
    <xf numFmtId="44" fontId="0" fillId="0" borderId="0" xfId="1" applyFont="1"/>
    <xf numFmtId="0" fontId="0" fillId="4" borderId="2" xfId="0" applyFill="1" applyBorder="1"/>
    <xf numFmtId="0" fontId="3" fillId="0" borderId="0" xfId="0" applyFont="1"/>
    <xf numFmtId="0" fontId="8" fillId="0" borderId="0" xfId="0" applyFont="1"/>
    <xf numFmtId="0" fontId="7" fillId="4" borderId="1" xfId="0" applyFont="1" applyFill="1" applyBorder="1"/>
    <xf numFmtId="44" fontId="0" fillId="5" borderId="3" xfId="1" applyFont="1" applyFill="1" applyBorder="1"/>
    <xf numFmtId="44" fontId="3" fillId="5" borderId="3" xfId="0" applyNumberFormat="1" applyFont="1" applyFill="1" applyBorder="1"/>
    <xf numFmtId="0" fontId="0" fillId="6" borderId="0" xfId="0" applyFill="1"/>
    <xf numFmtId="44" fontId="0" fillId="6" borderId="0" xfId="1" applyFont="1" applyFill="1" applyBorder="1"/>
    <xf numFmtId="0" fontId="0" fillId="4" borderId="4" xfId="0" applyFill="1" applyBorder="1"/>
    <xf numFmtId="44" fontId="0" fillId="0" borderId="0" xfId="1" applyFont="1" applyFill="1" applyBorder="1"/>
    <xf numFmtId="20" fontId="0" fillId="0" borderId="0" xfId="0" applyNumberFormat="1"/>
    <xf numFmtId="44" fontId="0" fillId="0" borderId="0" xfId="0" applyNumberFormat="1"/>
    <xf numFmtId="20" fontId="9" fillId="3" borderId="0" xfId="3" applyNumberFormat="1" applyFont="1"/>
    <xf numFmtId="44" fontId="0" fillId="7" borderId="3" xfId="1" applyFont="1" applyFill="1" applyBorder="1"/>
    <xf numFmtId="44" fontId="0" fillId="7" borderId="0" xfId="1" applyFont="1" applyFill="1" applyBorder="1"/>
    <xf numFmtId="0" fontId="10" fillId="0" borderId="0" xfId="0" applyFont="1"/>
    <xf numFmtId="1" fontId="0" fillId="5" borderId="3" xfId="1" applyNumberFormat="1" applyFont="1" applyFill="1" applyBorder="1"/>
    <xf numFmtId="0" fontId="4" fillId="8" borderId="0" xfId="5"/>
    <xf numFmtId="1" fontId="4" fillId="8" borderId="0" xfId="5" applyNumberFormat="1"/>
    <xf numFmtId="44" fontId="1" fillId="9" borderId="1" xfId="1" applyFill="1" applyBorder="1"/>
    <xf numFmtId="0" fontId="0" fillId="10" borderId="0" xfId="0" applyFill="1"/>
    <xf numFmtId="44" fontId="0" fillId="10" borderId="0" xfId="0" applyNumberFormat="1" applyFill="1"/>
  </cellXfs>
  <cellStyles count="6">
    <cellStyle name="60% - Accent4" xfId="3" builtinId="44"/>
    <cellStyle name="Accent2" xfId="2" builtinId="33"/>
    <cellStyle name="Accent6" xfId="5" builtinId="49"/>
    <cellStyle name="Currency" xfId="1" builtinId="4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dp/B00FJ2LMGK" TargetMode="External"/><Relationship Id="rId13" Type="http://schemas.openxmlformats.org/officeDocument/2006/relationships/hyperlink" Target="https://www.adafruit.com/product/4600" TargetMode="External"/><Relationship Id="rId18" Type="http://schemas.openxmlformats.org/officeDocument/2006/relationships/hyperlink" Target="https://www.digikey.ca/en/products/detail/adafruit-industries-llc/4474/11587355" TargetMode="External"/><Relationship Id="rId3" Type="http://schemas.openxmlformats.org/officeDocument/2006/relationships/hyperlink" Target="https://www.digikey.ca/en/supplier-centers/cvilux" TargetMode="External"/><Relationship Id="rId7" Type="http://schemas.openxmlformats.org/officeDocument/2006/relationships/hyperlink" Target="https://www.mouser.ca/ProductDetail/Adafruit/342?qs=GURawfaeGuDV1HPrkucg9w%3D%3D" TargetMode="External"/><Relationship Id="rId12" Type="http://schemas.openxmlformats.org/officeDocument/2006/relationships/hyperlink" Target="https://www.digikey.ca/en/products/detail/dialight/51513030250F/4965201" TargetMode="External"/><Relationship Id="rId17" Type="http://schemas.openxmlformats.org/officeDocument/2006/relationships/hyperlink" Target="https://www.mouser.ca/ProductDetail/Adafruit/4600?qs=hd1VzrDQEGi752M4exorSA%3D%3D" TargetMode="External"/><Relationship Id="rId2" Type="http://schemas.openxmlformats.org/officeDocument/2006/relationships/hyperlink" Target="https://www.digikey.ca/en/products/detail/sparkfun-electronics/PRT-14426/7652739" TargetMode="External"/><Relationship Id="rId16" Type="http://schemas.openxmlformats.org/officeDocument/2006/relationships/hyperlink" Target="https://www.mouser.ca/ProductDetail/SparkFun/PRT-14426?qs=wd5RIQLrsJiogglVGK6o1w%3D%3D" TargetMode="External"/><Relationship Id="rId1" Type="http://schemas.openxmlformats.org/officeDocument/2006/relationships/hyperlink" Target="https://www.digikey.ca/en/products/detail/adafruit-industries-llc/4600/13543375" TargetMode="External"/><Relationship Id="rId6" Type="http://schemas.openxmlformats.org/officeDocument/2006/relationships/hyperlink" Target="https://www.mouser.ca/ProductDetail/Adafruit/4474?qs=CUBnOrq4ZJz9F%2FNF%252BRRALQ%3D%3D" TargetMode="External"/><Relationship Id="rId11" Type="http://schemas.openxmlformats.org/officeDocument/2006/relationships/hyperlink" Target="https://www.digikey.ca/en/products/detail/adafruit-industries-llc/4836/13577615" TargetMode="External"/><Relationship Id="rId5" Type="http://schemas.openxmlformats.org/officeDocument/2006/relationships/hyperlink" Target="https://www.digikey.ca/en/products/detail/cvilux-usa/DH-20M50053/13177348" TargetMode="External"/><Relationship Id="rId15" Type="http://schemas.openxmlformats.org/officeDocument/2006/relationships/hyperlink" Target="https://www.mouser.ca/ProductDetail/Adafruit/4836?qs=eP2BKZSCXI4ZoRtk7kHCZA%3D%3D" TargetMode="External"/><Relationship Id="rId10" Type="http://schemas.openxmlformats.org/officeDocument/2006/relationships/hyperlink" Target="https://www.digikey.ca/en/products/detail/adafruit-industries-llc/342/10669902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dafruit.com/product/4836" TargetMode="External"/><Relationship Id="rId9" Type="http://schemas.openxmlformats.org/officeDocument/2006/relationships/hyperlink" Target="https://www.adafruit.com/product/342" TargetMode="External"/><Relationship Id="rId14" Type="http://schemas.openxmlformats.org/officeDocument/2006/relationships/hyperlink" Target="https://www.adafruit.com/product/43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03CC-4CEE-4160-9ACB-2EAADEE0D8FF}">
  <dimension ref="A1:Q38"/>
  <sheetViews>
    <sheetView tabSelected="1" workbookViewId="0">
      <selection activeCell="B17" sqref="B17"/>
    </sheetView>
  </sheetViews>
  <sheetFormatPr defaultRowHeight="15" x14ac:dyDescent="0.25"/>
  <cols>
    <col min="1" max="1" width="4" bestFit="1" customWidth="1"/>
    <col min="2" max="2" width="29.85546875" customWidth="1"/>
    <col min="3" max="3" width="18" customWidth="1"/>
    <col min="4" max="4" width="19.140625" bestFit="1" customWidth="1"/>
    <col min="5" max="5" width="8.42578125" bestFit="1" customWidth="1"/>
    <col min="6" max="6" width="21.5703125" bestFit="1" customWidth="1"/>
    <col min="7" max="7" width="4.42578125" bestFit="1" customWidth="1"/>
    <col min="8" max="9" width="11.7109375" bestFit="1" customWidth="1"/>
    <col min="10" max="10" width="8" bestFit="1" customWidth="1"/>
    <col min="11" max="11" width="9" bestFit="1" customWidth="1"/>
    <col min="12" max="12" width="10.28515625" bestFit="1" customWidth="1"/>
    <col min="13" max="13" width="17.7109375" bestFit="1" customWidth="1"/>
    <col min="14" max="14" width="78.7109375" bestFit="1" customWidth="1"/>
    <col min="15" max="15" width="17.7109375" bestFit="1" customWidth="1"/>
    <col min="16" max="16" width="12.28515625" bestFit="1" customWidth="1"/>
    <col min="17" max="17" width="89.85546875" bestFit="1" customWidth="1"/>
  </cols>
  <sheetData>
    <row r="1" spans="1:17" ht="35.25" x14ac:dyDescent="0.5">
      <c r="B1" s="1" t="s">
        <v>81</v>
      </c>
      <c r="I1" s="25" t="s">
        <v>74</v>
      </c>
      <c r="K1" s="28" t="s">
        <v>50</v>
      </c>
      <c r="L1" s="2" t="s">
        <v>0</v>
      </c>
      <c r="M1" s="3" t="s">
        <v>1</v>
      </c>
    </row>
    <row r="2" spans="1:17" ht="19.5" thickBot="1" x14ac:dyDescent="0.35">
      <c r="B2" s="10" t="s">
        <v>33</v>
      </c>
      <c r="C2" s="9" t="s">
        <v>42</v>
      </c>
      <c r="D2" s="9" t="s">
        <v>43</v>
      </c>
      <c r="E2" s="9"/>
      <c r="F2" s="9"/>
      <c r="I2" s="26">
        <f>SUM(I15:I16)</f>
        <v>23</v>
      </c>
      <c r="K2" s="29">
        <f>SUM(K5:K11,L15:L16)</f>
        <v>41.49</v>
      </c>
      <c r="L2" s="4">
        <f>SUM(L5:L13)+L18</f>
        <v>40.799999999999997</v>
      </c>
      <c r="M2" s="20">
        <f>SUM(M15:M17)</f>
        <v>7.4999999999999997E-2</v>
      </c>
    </row>
    <row r="3" spans="1:17" ht="16.5" thickBot="1" x14ac:dyDescent="0.3">
      <c r="B3" s="11" t="s">
        <v>35</v>
      </c>
      <c r="J3">
        <v>1.35</v>
      </c>
    </row>
    <row r="4" spans="1:17" ht="15.75" thickBot="1" x14ac:dyDescent="0.3">
      <c r="A4" t="s">
        <v>40</v>
      </c>
      <c r="B4" s="5" t="s">
        <v>3</v>
      </c>
      <c r="C4" s="5" t="s">
        <v>4</v>
      </c>
      <c r="D4" s="5" t="s">
        <v>11</v>
      </c>
      <c r="E4" s="5" t="s">
        <v>9</v>
      </c>
      <c r="F4" s="5" t="s">
        <v>44</v>
      </c>
      <c r="G4" s="5" t="s">
        <v>45</v>
      </c>
      <c r="H4" s="5" t="s">
        <v>46</v>
      </c>
      <c r="I4" s="5" t="s">
        <v>49</v>
      </c>
      <c r="J4" s="5" t="s">
        <v>47</v>
      </c>
      <c r="K4" s="5" t="s">
        <v>50</v>
      </c>
      <c r="L4" s="5" t="s">
        <v>48</v>
      </c>
      <c r="M4" s="5"/>
      <c r="N4" s="5" t="s">
        <v>2</v>
      </c>
      <c r="O4" s="5"/>
      <c r="P4" s="5"/>
    </row>
    <row r="5" spans="1:17" x14ac:dyDescent="0.25">
      <c r="A5">
        <v>8</v>
      </c>
      <c r="B5" t="s">
        <v>6</v>
      </c>
      <c r="D5" t="s">
        <v>24</v>
      </c>
      <c r="E5" t="s">
        <v>25</v>
      </c>
      <c r="G5">
        <v>1</v>
      </c>
      <c r="H5">
        <v>1</v>
      </c>
      <c r="I5" s="24">
        <f>IF(G5&gt;0,CEILING(G5/H5,1),0)</f>
        <v>1</v>
      </c>
      <c r="J5" s="7">
        <v>11.49</v>
      </c>
      <c r="K5" s="12">
        <f>IF(G5&gt;0,J5/H5)</f>
        <v>11.49</v>
      </c>
      <c r="L5" s="12">
        <f>I5*J5</f>
        <v>11.49</v>
      </c>
      <c r="N5" s="6" t="s">
        <v>23</v>
      </c>
    </row>
    <row r="6" spans="1:17" x14ac:dyDescent="0.25">
      <c r="A6">
        <v>2</v>
      </c>
      <c r="B6" t="s">
        <v>7</v>
      </c>
      <c r="D6" t="s">
        <v>12</v>
      </c>
      <c r="E6" t="s">
        <v>10</v>
      </c>
      <c r="F6" t="s">
        <v>68</v>
      </c>
      <c r="G6">
        <v>1</v>
      </c>
      <c r="H6">
        <v>1</v>
      </c>
      <c r="I6" s="24">
        <f t="shared" ref="I6:I11" si="0">IF(G6&gt;0,CEILING(G6/H6,1),0)</f>
        <v>1</v>
      </c>
      <c r="J6" s="7">
        <v>4.24</v>
      </c>
      <c r="K6" s="12">
        <f t="shared" ref="K6:K11" si="1">IF(G6&gt;0,J6/H6)</f>
        <v>4.24</v>
      </c>
      <c r="L6" s="12">
        <f t="shared" ref="L6:L11" si="2">I6*J6</f>
        <v>4.24</v>
      </c>
      <c r="N6" s="6" t="s">
        <v>8</v>
      </c>
    </row>
    <row r="7" spans="1:17" x14ac:dyDescent="0.25">
      <c r="A7">
        <v>3</v>
      </c>
      <c r="B7" t="s">
        <v>14</v>
      </c>
      <c r="D7" t="s">
        <v>17</v>
      </c>
      <c r="E7" t="s">
        <v>10</v>
      </c>
      <c r="F7" t="s">
        <v>67</v>
      </c>
      <c r="G7">
        <v>1</v>
      </c>
      <c r="H7">
        <v>1</v>
      </c>
      <c r="I7" s="24">
        <f t="shared" si="0"/>
        <v>1</v>
      </c>
      <c r="J7" s="7">
        <v>1.37</v>
      </c>
      <c r="K7" s="12">
        <f t="shared" si="1"/>
        <v>1.37</v>
      </c>
      <c r="L7" s="12">
        <f t="shared" si="2"/>
        <v>1.37</v>
      </c>
      <c r="N7" s="6" t="s">
        <v>13</v>
      </c>
    </row>
    <row r="8" spans="1:17" x14ac:dyDescent="0.25">
      <c r="A8">
        <v>1</v>
      </c>
      <c r="B8" t="s">
        <v>16</v>
      </c>
      <c r="D8" t="s">
        <v>12</v>
      </c>
      <c r="E8" t="s">
        <v>10</v>
      </c>
      <c r="F8" t="s">
        <v>66</v>
      </c>
      <c r="G8">
        <v>1</v>
      </c>
      <c r="H8">
        <v>1</v>
      </c>
      <c r="I8" s="24">
        <f t="shared" si="0"/>
        <v>1</v>
      </c>
      <c r="J8">
        <v>10.79</v>
      </c>
      <c r="K8" s="12">
        <f t="shared" si="1"/>
        <v>10.79</v>
      </c>
      <c r="L8" s="12">
        <f t="shared" si="2"/>
        <v>10.79</v>
      </c>
      <c r="N8" s="6" t="s">
        <v>15</v>
      </c>
    </row>
    <row r="9" spans="1:17" x14ac:dyDescent="0.25">
      <c r="A9">
        <v>4</v>
      </c>
      <c r="B9" t="s">
        <v>77</v>
      </c>
      <c r="D9" s="6" t="s">
        <v>27</v>
      </c>
      <c r="E9" t="s">
        <v>10</v>
      </c>
      <c r="F9" t="s">
        <v>70</v>
      </c>
      <c r="G9">
        <v>1</v>
      </c>
      <c r="H9">
        <v>1</v>
      </c>
      <c r="I9" s="24">
        <f t="shared" si="0"/>
        <v>1</v>
      </c>
      <c r="J9" s="17">
        <v>3.25</v>
      </c>
      <c r="K9" s="12">
        <f t="shared" si="1"/>
        <v>3.25</v>
      </c>
      <c r="L9" s="12">
        <f t="shared" si="2"/>
        <v>3.25</v>
      </c>
      <c r="N9" s="6" t="s">
        <v>22</v>
      </c>
    </row>
    <row r="10" spans="1:17" x14ac:dyDescent="0.25">
      <c r="A10">
        <v>5</v>
      </c>
      <c r="B10" t="s">
        <v>30</v>
      </c>
      <c r="D10" t="s">
        <v>29</v>
      </c>
      <c r="E10" t="s">
        <v>10</v>
      </c>
      <c r="F10" t="s">
        <v>65</v>
      </c>
      <c r="G10">
        <v>1</v>
      </c>
      <c r="H10">
        <v>1</v>
      </c>
      <c r="I10" s="24">
        <f t="shared" si="0"/>
        <v>1</v>
      </c>
      <c r="J10" s="17">
        <v>1.66</v>
      </c>
      <c r="K10" s="12">
        <f t="shared" si="1"/>
        <v>1.66</v>
      </c>
      <c r="L10" s="12">
        <f t="shared" si="2"/>
        <v>1.66</v>
      </c>
      <c r="N10" s="6" t="s">
        <v>73</v>
      </c>
    </row>
    <row r="11" spans="1:17" x14ac:dyDescent="0.25">
      <c r="B11" t="s">
        <v>26</v>
      </c>
      <c r="E11" t="s">
        <v>10</v>
      </c>
      <c r="G11">
        <v>1</v>
      </c>
      <c r="H11">
        <v>1</v>
      </c>
      <c r="I11" s="24">
        <f t="shared" si="0"/>
        <v>1</v>
      </c>
      <c r="J11" s="17">
        <v>8</v>
      </c>
      <c r="K11" s="12">
        <f t="shared" si="1"/>
        <v>8</v>
      </c>
      <c r="L11" s="12">
        <f t="shared" si="2"/>
        <v>8</v>
      </c>
    </row>
    <row r="12" spans="1:17" ht="15.75" thickBot="1" x14ac:dyDescent="0.3">
      <c r="K12" s="14"/>
      <c r="L12" s="14"/>
    </row>
    <row r="13" spans="1:17" ht="16.5" thickBot="1" x14ac:dyDescent="0.3">
      <c r="B13" s="11" t="s">
        <v>56</v>
      </c>
      <c r="C13" t="s">
        <v>57</v>
      </c>
      <c r="D13" s="21"/>
      <c r="E13" s="21"/>
      <c r="F13" s="22"/>
      <c r="J13" s="27">
        <v>30</v>
      </c>
      <c r="K13" s="15"/>
      <c r="L13" s="15"/>
      <c r="M13" s="19"/>
      <c r="Q13" s="6"/>
    </row>
    <row r="14" spans="1:17" ht="24.75" customHeight="1" thickBot="1" x14ac:dyDescent="0.3">
      <c r="B14" s="5" t="s">
        <v>3</v>
      </c>
      <c r="C14" s="5" t="s">
        <v>4</v>
      </c>
      <c r="D14" s="5"/>
      <c r="E14" s="5"/>
      <c r="F14" s="5"/>
      <c r="G14" s="5" t="s">
        <v>45</v>
      </c>
      <c r="H14" s="5" t="s">
        <v>55</v>
      </c>
      <c r="I14" s="5" t="s">
        <v>54</v>
      </c>
      <c r="J14" s="5" t="s">
        <v>53</v>
      </c>
      <c r="K14" s="5"/>
      <c r="L14" s="5" t="s">
        <v>48</v>
      </c>
      <c r="M14" s="5" t="s">
        <v>28</v>
      </c>
      <c r="N14" s="5" t="s">
        <v>2</v>
      </c>
    </row>
    <row r="15" spans="1:17" x14ac:dyDescent="0.25">
      <c r="A15">
        <v>6</v>
      </c>
      <c r="B15" t="s">
        <v>31</v>
      </c>
      <c r="C15" t="s">
        <v>82</v>
      </c>
      <c r="G15">
        <v>1</v>
      </c>
      <c r="H15">
        <v>8</v>
      </c>
      <c r="I15" s="24">
        <f>H15*G15</f>
        <v>8</v>
      </c>
      <c r="J15" s="12">
        <f>$J$13/1000</f>
        <v>0.03</v>
      </c>
      <c r="K15" s="12">
        <f>I15*J15</f>
        <v>0.24</v>
      </c>
      <c r="L15" s="12">
        <f>K15</f>
        <v>0.24</v>
      </c>
      <c r="M15" s="18">
        <v>2.4999999999999998E-2</v>
      </c>
    </row>
    <row r="16" spans="1:17" x14ac:dyDescent="0.25">
      <c r="A16">
        <v>7</v>
      </c>
      <c r="B16" t="s">
        <v>32</v>
      </c>
      <c r="C16" t="s">
        <v>83</v>
      </c>
      <c r="G16">
        <v>1</v>
      </c>
      <c r="H16">
        <v>15</v>
      </c>
      <c r="I16" s="24">
        <f>H16*G16</f>
        <v>15</v>
      </c>
      <c r="J16" s="12">
        <f>$J$13/1000</f>
        <v>0.03</v>
      </c>
      <c r="K16" s="12">
        <f>I16*J16</f>
        <v>0.44999999999999996</v>
      </c>
      <c r="L16" s="12">
        <f>K16</f>
        <v>0.44999999999999996</v>
      </c>
      <c r="M16" s="18">
        <v>4.9999999999999996E-2</v>
      </c>
    </row>
    <row r="17" spans="1:17" x14ac:dyDescent="0.25">
      <c r="L17" s="12"/>
    </row>
    <row r="18" spans="1:17" ht="15.75" thickBot="1" x14ac:dyDescent="0.3">
      <c r="B18" s="9"/>
      <c r="L18" s="13"/>
    </row>
    <row r="19" spans="1:17" ht="15.75" thickBot="1" x14ac:dyDescent="0.3">
      <c r="B19" s="16" t="s">
        <v>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ht="15.75" thickBot="1" x14ac:dyDescent="0.3">
      <c r="B20" s="5" t="s">
        <v>3</v>
      </c>
      <c r="C20" s="5" t="s">
        <v>4</v>
      </c>
      <c r="D20" s="5" t="s">
        <v>11</v>
      </c>
      <c r="E20" s="5" t="s">
        <v>9</v>
      </c>
      <c r="F20" s="5" t="s">
        <v>44</v>
      </c>
      <c r="G20" s="5" t="s">
        <v>45</v>
      </c>
      <c r="H20" s="5" t="s">
        <v>46</v>
      </c>
      <c r="I20" s="5" t="s">
        <v>49</v>
      </c>
      <c r="J20" s="5" t="s">
        <v>47</v>
      </c>
      <c r="K20" s="5" t="s">
        <v>50</v>
      </c>
      <c r="L20" s="5" t="s">
        <v>48</v>
      </c>
      <c r="M20" s="5"/>
      <c r="N20" s="5" t="s">
        <v>2</v>
      </c>
    </row>
    <row r="21" spans="1:17" x14ac:dyDescent="0.25">
      <c r="A21">
        <v>8</v>
      </c>
      <c r="B21" t="s">
        <v>6</v>
      </c>
      <c r="D21" t="s">
        <v>12</v>
      </c>
      <c r="E21" t="s">
        <v>12</v>
      </c>
      <c r="F21">
        <v>342</v>
      </c>
      <c r="G21">
        <v>1</v>
      </c>
      <c r="H21">
        <v>1</v>
      </c>
      <c r="I21" s="24">
        <f t="shared" ref="I21:I37" si="3">IF(G21&gt;0,CEILING(G21/H21,1),0)</f>
        <v>1</v>
      </c>
      <c r="J21" s="7">
        <f>12.5*$J$3</f>
        <v>16.875</v>
      </c>
      <c r="K21" s="12">
        <f>IF(G21&gt;0,J21/H21,0)</f>
        <v>16.875</v>
      </c>
      <c r="L21" s="12">
        <f t="shared" ref="L21:L37" si="4">I21*J21</f>
        <v>16.875</v>
      </c>
      <c r="N21" s="6" t="s">
        <v>18</v>
      </c>
    </row>
    <row r="22" spans="1:17" x14ac:dyDescent="0.25">
      <c r="A22">
        <v>2</v>
      </c>
      <c r="B22" t="s">
        <v>7</v>
      </c>
      <c r="D22" t="s">
        <v>12</v>
      </c>
      <c r="E22" t="s">
        <v>12</v>
      </c>
      <c r="F22">
        <v>4836</v>
      </c>
      <c r="G22">
        <v>1</v>
      </c>
      <c r="H22">
        <v>1</v>
      </c>
      <c r="I22" s="24">
        <f t="shared" si="3"/>
        <v>1</v>
      </c>
      <c r="J22" s="7">
        <f>2.95*$J$3</f>
        <v>3.9825000000000004</v>
      </c>
      <c r="K22" s="12">
        <f t="shared" ref="K22:K37" si="5">IF(G22&gt;0,J22/H22,0)</f>
        <v>3.9825000000000004</v>
      </c>
      <c r="L22" s="12">
        <f t="shared" si="4"/>
        <v>3.9825000000000004</v>
      </c>
      <c r="N22" s="6" t="s">
        <v>19</v>
      </c>
    </row>
    <row r="23" spans="1:17" x14ac:dyDescent="0.25">
      <c r="A23">
        <v>3</v>
      </c>
      <c r="B23" t="s">
        <v>14</v>
      </c>
      <c r="D23" t="s">
        <v>12</v>
      </c>
      <c r="E23" t="s">
        <v>12</v>
      </c>
      <c r="F23">
        <v>4399</v>
      </c>
      <c r="G23">
        <v>1</v>
      </c>
      <c r="H23">
        <v>1</v>
      </c>
      <c r="I23" s="24">
        <f t="shared" si="3"/>
        <v>1</v>
      </c>
      <c r="J23" s="7">
        <f>0.95*J3</f>
        <v>1.2825</v>
      </c>
      <c r="K23" s="12">
        <f t="shared" si="5"/>
        <v>1.2825</v>
      </c>
      <c r="L23" s="12">
        <f t="shared" si="4"/>
        <v>1.2825</v>
      </c>
      <c r="N23" s="6" t="s">
        <v>20</v>
      </c>
    </row>
    <row r="24" spans="1:17" x14ac:dyDescent="0.25">
      <c r="A24">
        <v>1</v>
      </c>
      <c r="B24" t="s">
        <v>16</v>
      </c>
      <c r="D24" t="s">
        <v>12</v>
      </c>
      <c r="E24" t="s">
        <v>12</v>
      </c>
      <c r="F24">
        <v>4600</v>
      </c>
      <c r="G24">
        <v>1</v>
      </c>
      <c r="H24">
        <v>1</v>
      </c>
      <c r="I24" s="24">
        <f t="shared" si="3"/>
        <v>1</v>
      </c>
      <c r="J24" s="7">
        <f>7.5*$J$3</f>
        <v>10.125</v>
      </c>
      <c r="K24" s="12">
        <f t="shared" si="5"/>
        <v>10.125</v>
      </c>
      <c r="L24" s="12">
        <f t="shared" si="4"/>
        <v>10.125</v>
      </c>
      <c r="N24" s="6" t="s">
        <v>21</v>
      </c>
    </row>
    <row r="25" spans="1:17" x14ac:dyDescent="0.25">
      <c r="A25">
        <v>4</v>
      </c>
      <c r="B25" t="s">
        <v>78</v>
      </c>
      <c r="D25" t="s">
        <v>12</v>
      </c>
      <c r="E25" t="s">
        <v>12</v>
      </c>
      <c r="F25">
        <v>4474</v>
      </c>
      <c r="G25">
        <v>1</v>
      </c>
      <c r="H25">
        <v>1</v>
      </c>
      <c r="I25" s="24">
        <f t="shared" ref="I25" si="6">IF(G25&gt;0,CEILING(G25/H25,1),0)</f>
        <v>1</v>
      </c>
      <c r="J25" s="7">
        <f>4.65*$J$3</f>
        <v>6.2775000000000007</v>
      </c>
      <c r="K25" s="12">
        <f t="shared" ref="K25" si="7">IF(G25&gt;0,J25/H25,0)</f>
        <v>6.2775000000000007</v>
      </c>
      <c r="L25" s="12">
        <f t="shared" ref="L25" si="8">I25*J25</f>
        <v>6.2775000000000007</v>
      </c>
      <c r="N25" s="6" t="s">
        <v>69</v>
      </c>
    </row>
    <row r="26" spans="1:17" x14ac:dyDescent="0.25">
      <c r="B26" t="s">
        <v>62</v>
      </c>
      <c r="E26" t="s">
        <v>12</v>
      </c>
      <c r="F26" s="23"/>
      <c r="G26">
        <v>1</v>
      </c>
      <c r="H26">
        <v>1</v>
      </c>
      <c r="I26" s="24">
        <f t="shared" ref="I26" si="9">IF(G26&gt;0,CEILING(G26/H26,1),0)</f>
        <v>1</v>
      </c>
      <c r="J26" s="7">
        <f>20*$J$3</f>
        <v>27</v>
      </c>
      <c r="K26" s="12">
        <f t="shared" ref="K26" si="10">IF(G26&gt;0,J26/H26,0)</f>
        <v>27</v>
      </c>
      <c r="L26" s="12">
        <f t="shared" ref="L26" si="11">I26*J26</f>
        <v>27</v>
      </c>
      <c r="N26" s="6"/>
    </row>
    <row r="27" spans="1:17" x14ac:dyDescent="0.25">
      <c r="I27" s="24">
        <f t="shared" si="3"/>
        <v>0</v>
      </c>
      <c r="J27" s="7"/>
      <c r="K27" s="12">
        <f t="shared" si="5"/>
        <v>0</v>
      </c>
      <c r="L27" s="12">
        <f t="shared" si="4"/>
        <v>0</v>
      </c>
    </row>
    <row r="28" spans="1:17" x14ac:dyDescent="0.25">
      <c r="A28">
        <v>8</v>
      </c>
      <c r="B28" t="s">
        <v>6</v>
      </c>
      <c r="D28" t="s">
        <v>24</v>
      </c>
      <c r="E28" t="s">
        <v>34</v>
      </c>
      <c r="F28" t="s">
        <v>58</v>
      </c>
      <c r="G28">
        <v>1</v>
      </c>
      <c r="H28">
        <v>1</v>
      </c>
      <c r="I28" s="24">
        <f t="shared" si="3"/>
        <v>1</v>
      </c>
      <c r="J28" s="7">
        <v>18.13</v>
      </c>
      <c r="K28" s="12">
        <f t="shared" si="5"/>
        <v>18.13</v>
      </c>
      <c r="L28" s="12">
        <f t="shared" si="4"/>
        <v>18.13</v>
      </c>
      <c r="N28" s="6" t="s">
        <v>36</v>
      </c>
    </row>
    <row r="29" spans="1:17" x14ac:dyDescent="0.25">
      <c r="A29">
        <v>2</v>
      </c>
      <c r="B29" t="s">
        <v>7</v>
      </c>
      <c r="D29" t="s">
        <v>12</v>
      </c>
      <c r="E29" t="s">
        <v>34</v>
      </c>
      <c r="F29" t="s">
        <v>59</v>
      </c>
      <c r="G29">
        <v>1</v>
      </c>
      <c r="H29">
        <v>1</v>
      </c>
      <c r="I29" s="24">
        <f t="shared" si="3"/>
        <v>1</v>
      </c>
      <c r="J29" s="7">
        <v>4.28</v>
      </c>
      <c r="K29" s="12">
        <f t="shared" si="5"/>
        <v>4.28</v>
      </c>
      <c r="L29" s="12">
        <f t="shared" si="4"/>
        <v>4.28</v>
      </c>
      <c r="N29" s="6" t="s">
        <v>37</v>
      </c>
    </row>
    <row r="30" spans="1:17" x14ac:dyDescent="0.25">
      <c r="A30">
        <v>3</v>
      </c>
      <c r="B30" t="s">
        <v>14</v>
      </c>
      <c r="D30" t="s">
        <v>17</v>
      </c>
      <c r="E30" t="s">
        <v>34</v>
      </c>
      <c r="F30" t="s">
        <v>60</v>
      </c>
      <c r="G30">
        <v>1</v>
      </c>
      <c r="H30">
        <v>1</v>
      </c>
      <c r="I30" s="24">
        <f t="shared" si="3"/>
        <v>1</v>
      </c>
      <c r="J30" s="7">
        <v>1.38</v>
      </c>
      <c r="K30" s="12">
        <f t="shared" si="5"/>
        <v>1.38</v>
      </c>
      <c r="L30" s="12">
        <f t="shared" si="4"/>
        <v>1.38</v>
      </c>
      <c r="N30" s="6" t="s">
        <v>38</v>
      </c>
    </row>
    <row r="31" spans="1:17" x14ac:dyDescent="0.25">
      <c r="A31">
        <v>1</v>
      </c>
      <c r="B31" t="s">
        <v>16</v>
      </c>
      <c r="D31" t="s">
        <v>12</v>
      </c>
      <c r="E31" t="s">
        <v>34</v>
      </c>
      <c r="F31" t="s">
        <v>61</v>
      </c>
      <c r="G31">
        <v>1</v>
      </c>
      <c r="H31">
        <v>1</v>
      </c>
      <c r="I31" s="24">
        <f t="shared" si="3"/>
        <v>1</v>
      </c>
      <c r="J31" s="7">
        <v>10.88</v>
      </c>
      <c r="K31" s="12">
        <f t="shared" si="5"/>
        <v>10.88</v>
      </c>
      <c r="L31" s="12">
        <f t="shared" si="4"/>
        <v>10.88</v>
      </c>
      <c r="N31" s="6" t="s">
        <v>39</v>
      </c>
    </row>
    <row r="32" spans="1:17" x14ac:dyDescent="0.25">
      <c r="A32">
        <v>4</v>
      </c>
      <c r="B32" t="s">
        <v>78</v>
      </c>
      <c r="D32" t="s">
        <v>12</v>
      </c>
      <c r="E32" t="s">
        <v>34</v>
      </c>
      <c r="F32" s="23" t="s">
        <v>51</v>
      </c>
      <c r="G32">
        <v>0</v>
      </c>
      <c r="H32">
        <v>1</v>
      </c>
      <c r="I32" s="24">
        <f t="shared" si="3"/>
        <v>0</v>
      </c>
      <c r="J32" s="7">
        <v>7.18</v>
      </c>
      <c r="K32" s="12">
        <f t="shared" si="5"/>
        <v>0</v>
      </c>
      <c r="L32" s="12">
        <f t="shared" si="4"/>
        <v>0</v>
      </c>
      <c r="N32" s="6" t="s">
        <v>52</v>
      </c>
    </row>
    <row r="33" spans="1:14" x14ac:dyDescent="0.25">
      <c r="A33">
        <v>4</v>
      </c>
      <c r="B33" t="s">
        <v>77</v>
      </c>
      <c r="D33" t="s">
        <v>12</v>
      </c>
      <c r="E33" t="s">
        <v>34</v>
      </c>
      <c r="F33" s="23" t="s">
        <v>79</v>
      </c>
      <c r="G33">
        <v>1</v>
      </c>
      <c r="H33">
        <v>1</v>
      </c>
      <c r="I33" s="24">
        <f t="shared" si="3"/>
        <v>1</v>
      </c>
      <c r="J33" s="7">
        <v>5.73</v>
      </c>
      <c r="K33" s="12">
        <f t="shared" si="5"/>
        <v>5.73</v>
      </c>
      <c r="L33" s="12">
        <f t="shared" si="4"/>
        <v>5.73</v>
      </c>
      <c r="N33" s="6" t="s">
        <v>80</v>
      </c>
    </row>
    <row r="34" spans="1:14" x14ac:dyDescent="0.25">
      <c r="A34">
        <v>5</v>
      </c>
      <c r="B34" t="s">
        <v>30</v>
      </c>
      <c r="D34" t="s">
        <v>29</v>
      </c>
      <c r="E34" t="s">
        <v>34</v>
      </c>
      <c r="F34" s="23" t="s">
        <v>75</v>
      </c>
      <c r="G34">
        <v>1</v>
      </c>
      <c r="H34">
        <v>1</v>
      </c>
      <c r="I34" s="24">
        <f t="shared" si="3"/>
        <v>1</v>
      </c>
      <c r="J34" s="7">
        <v>1.35</v>
      </c>
      <c r="K34" s="12">
        <f t="shared" si="5"/>
        <v>1.35</v>
      </c>
      <c r="L34" s="12">
        <f t="shared" si="4"/>
        <v>1.35</v>
      </c>
      <c r="N34" s="6" t="s">
        <v>76</v>
      </c>
    </row>
    <row r="35" spans="1:14" x14ac:dyDescent="0.25">
      <c r="B35" t="s">
        <v>63</v>
      </c>
      <c r="E35" t="s">
        <v>34</v>
      </c>
      <c r="G35">
        <v>1</v>
      </c>
      <c r="H35">
        <v>1</v>
      </c>
      <c r="I35" s="24">
        <f t="shared" si="3"/>
        <v>1</v>
      </c>
      <c r="J35" s="7">
        <v>20</v>
      </c>
      <c r="K35" s="12">
        <f t="shared" si="5"/>
        <v>20</v>
      </c>
      <c r="L35" s="12">
        <f t="shared" si="4"/>
        <v>20</v>
      </c>
    </row>
    <row r="36" spans="1:14" x14ac:dyDescent="0.25">
      <c r="I36" s="24">
        <f t="shared" si="3"/>
        <v>0</v>
      </c>
      <c r="J36" s="7"/>
      <c r="K36" s="12">
        <f t="shared" si="5"/>
        <v>0</v>
      </c>
      <c r="L36" s="12">
        <f t="shared" si="4"/>
        <v>0</v>
      </c>
    </row>
    <row r="37" spans="1:14" x14ac:dyDescent="0.25">
      <c r="A37">
        <v>8</v>
      </c>
      <c r="B37" t="s">
        <v>6</v>
      </c>
      <c r="D37" t="s">
        <v>12</v>
      </c>
      <c r="E37" t="s">
        <v>10</v>
      </c>
      <c r="F37" t="s">
        <v>64</v>
      </c>
      <c r="G37">
        <v>1</v>
      </c>
      <c r="H37">
        <v>1</v>
      </c>
      <c r="I37" s="24">
        <f t="shared" si="3"/>
        <v>1</v>
      </c>
      <c r="J37" s="7">
        <v>19.170000000000002</v>
      </c>
      <c r="K37" s="12">
        <f t="shared" si="5"/>
        <v>19.170000000000002</v>
      </c>
      <c r="L37" s="12">
        <f t="shared" si="4"/>
        <v>19.170000000000002</v>
      </c>
      <c r="N37" s="6" t="s">
        <v>41</v>
      </c>
    </row>
    <row r="38" spans="1:14" x14ac:dyDescent="0.25">
      <c r="B38" t="s">
        <v>78</v>
      </c>
      <c r="D38" t="s">
        <v>12</v>
      </c>
      <c r="E38" t="s">
        <v>10</v>
      </c>
      <c r="F38" t="s">
        <v>71</v>
      </c>
      <c r="G38">
        <v>1</v>
      </c>
      <c r="H38">
        <v>1</v>
      </c>
      <c r="I38" s="24">
        <f t="shared" ref="I38" si="12">IF(G38&gt;0,CEILING(G38/H38,1),0)</f>
        <v>1</v>
      </c>
      <c r="J38" s="7">
        <v>7.59</v>
      </c>
      <c r="K38" s="12">
        <f t="shared" ref="K38" si="13">IF(G38&gt;0,J38/H38,0)</f>
        <v>7.59</v>
      </c>
      <c r="L38" s="12">
        <f t="shared" ref="L38" si="14">I38*J38</f>
        <v>7.59</v>
      </c>
      <c r="N38" s="6" t="s">
        <v>72</v>
      </c>
    </row>
  </sheetData>
  <hyperlinks>
    <hyperlink ref="N8" r:id="rId1" xr:uid="{90031868-E34F-4E25-B266-7542513A0E41}"/>
    <hyperlink ref="N7" r:id="rId2" xr:uid="{C484FDBE-E6BA-482E-B44A-4CADC9DFC5CA}"/>
    <hyperlink ref="D9" r:id="rId3" display="https://www.digikey.ca/en/supplier-centers/cvilux" xr:uid="{16F03C87-B19D-4342-B7EF-4C84BE68DD36}"/>
    <hyperlink ref="N22" r:id="rId4" xr:uid="{6DBB3506-F21E-4C8C-9985-B92EF6F64C7D}"/>
    <hyperlink ref="N9" r:id="rId5" xr:uid="{8FE08341-04C9-46BB-83E1-1CE0264452DC}"/>
    <hyperlink ref="N32" r:id="rId6" xr:uid="{E3442F2F-CFE2-456E-A808-86DCEC0E266A}"/>
    <hyperlink ref="N28" r:id="rId7" xr:uid="{E28E6F9C-F0FD-49CF-BEE8-233922205C18}"/>
    <hyperlink ref="N5" r:id="rId8" xr:uid="{385002D1-28AE-40D4-8864-F92390561232}"/>
    <hyperlink ref="N21" r:id="rId9" xr:uid="{4295799F-CF49-4849-9430-8444F73527DF}"/>
    <hyperlink ref="N37" r:id="rId10" xr:uid="{3E137FDC-2F79-4C83-A8AC-FBB60678B8DB}"/>
    <hyperlink ref="N6" r:id="rId11" xr:uid="{66263D64-696C-486B-8A59-B30D39072F1D}"/>
    <hyperlink ref="N10" r:id="rId12" xr:uid="{37CCA988-F207-4186-A149-1B9186E76003}"/>
    <hyperlink ref="N24" r:id="rId13" xr:uid="{604D58D3-ACC7-4BEC-A457-D303828D5DD2}"/>
    <hyperlink ref="N23" r:id="rId14" xr:uid="{44A49F4D-8E1A-4B30-9ACA-A423A02AB8CC}"/>
    <hyperlink ref="N29" r:id="rId15" xr:uid="{5D5915A4-5090-4E1C-AB8C-9BF27AD6EF9A}"/>
    <hyperlink ref="N30" r:id="rId16" xr:uid="{1665C05E-D8E3-4891-A09E-F1C842039651}"/>
    <hyperlink ref="N31" r:id="rId17" xr:uid="{57F80065-EF03-4364-83AF-590D6A4739C5}"/>
    <hyperlink ref="N38" r:id="rId18" xr:uid="{352B7DF6-FE8F-4A23-A3D7-99794F16268C}"/>
  </hyperlinks>
  <pageMargins left="0.7" right="0.7" top="0.75" bottom="0.75" header="0.3" footer="0.3"/>
  <pageSetup orientation="portrait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D9DFF-8B4C-4474-B755-97BC945A0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- Ivy Nunchuck Adaptor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2023-09-29T18:17:52Z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