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Mounting/Shared Documents/Lift Switch/Lift-Switch/Documentation/Working_Documents/"/>
    </mc:Choice>
  </mc:AlternateContent>
  <xr:revisionPtr revIDLastSave="248" documentId="11_DC0E2523FAFE28515E8D5C5A1D4A6B02C3B15AFA" xr6:coauthVersionLast="47" xr6:coauthVersionMax="47" xr10:uidLastSave="{345723D6-1AC3-46C0-B570-F6EDFB705A03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M2" i="1"/>
  <c r="N13" i="1"/>
  <c r="M12" i="1"/>
  <c r="M13" i="1"/>
  <c r="K13" i="1"/>
  <c r="K12" i="1"/>
  <c r="N12" i="1" s="1"/>
  <c r="M14" i="1"/>
  <c r="K14" i="1"/>
  <c r="N14" i="1" s="1"/>
  <c r="N33" i="1"/>
  <c r="M33" i="1"/>
  <c r="N32" i="1"/>
  <c r="M32" i="1"/>
  <c r="M31" i="1"/>
  <c r="K31" i="1"/>
  <c r="N31" i="1" s="1"/>
  <c r="L28" i="1"/>
  <c r="N28" i="1" s="1"/>
  <c r="L27" i="1"/>
  <c r="N27" i="1" s="1"/>
  <c r="L26" i="1"/>
  <c r="N26" i="1" s="1"/>
  <c r="L25" i="1"/>
  <c r="N25" i="1" s="1"/>
  <c r="M21" i="1"/>
  <c r="K21" i="1"/>
  <c r="N21" i="1" s="1"/>
  <c r="M20" i="1"/>
  <c r="K20" i="1"/>
  <c r="N20" i="1" s="1"/>
  <c r="M19" i="1"/>
  <c r="K19" i="1"/>
  <c r="M16" i="1"/>
  <c r="K16" i="1"/>
  <c r="N16" i="1" s="1"/>
  <c r="M15" i="1"/>
  <c r="K15" i="1"/>
  <c r="N15" i="1" s="1"/>
  <c r="M11" i="1"/>
  <c r="K11" i="1"/>
  <c r="N11" i="1" s="1"/>
  <c r="M10" i="1"/>
  <c r="K10" i="1"/>
  <c r="N10" i="1" s="1"/>
  <c r="M9" i="1"/>
  <c r="K9" i="1"/>
  <c r="N9" i="1" s="1"/>
  <c r="M8" i="1"/>
  <c r="K8" i="1"/>
  <c r="N8" i="1" s="1"/>
  <c r="M7" i="1"/>
  <c r="K7" i="1"/>
  <c r="N7" i="1" s="1"/>
  <c r="M6" i="1"/>
  <c r="K6" i="1"/>
  <c r="N6" i="1" s="1"/>
  <c r="M5" i="1"/>
  <c r="K5" i="1"/>
  <c r="N5" i="1" s="1"/>
  <c r="O2" i="1"/>
  <c r="J2" i="1"/>
  <c r="N19" i="1" l="1"/>
  <c r="M28" i="1"/>
  <c r="M25" i="1"/>
  <c r="N2" i="1"/>
  <c r="M26" i="1"/>
  <c r="M27" i="1"/>
</calcChain>
</file>

<file path=xl/sharedStrings.xml><?xml version="1.0" encoding="utf-8"?>
<sst xmlns="http://schemas.openxmlformats.org/spreadsheetml/2006/main" count="150" uniqueCount="115">
  <si>
    <t>Total Cost</t>
  </si>
  <si>
    <t>Total Print time (hr)</t>
  </si>
  <si>
    <t>Total filament (g)</t>
  </si>
  <si>
    <t>Price per Unit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</si>
  <si>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</si>
  <si>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</si>
  <si>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</si>
  <si>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</si>
  <si>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Estimated Price</t>
  </si>
  <si>
    <t>Unit Cost</t>
  </si>
  <si>
    <t>Version:</t>
  </si>
  <si>
    <t>Last updated:</t>
  </si>
  <si>
    <t>ID</t>
  </si>
  <si>
    <t>Manufacturer</t>
  </si>
  <si>
    <t>Supplier</t>
  </si>
  <si>
    <t>Supplier PN</t>
  </si>
  <si>
    <t>QTY</t>
  </si>
  <si>
    <t>QTY / PKG</t>
  </si>
  <si>
    <t>PKGs</t>
  </si>
  <si>
    <t>$/PKG</t>
  </si>
  <si>
    <t>Total Price</t>
  </si>
  <si>
    <t>Alternate</t>
  </si>
  <si>
    <t>J1</t>
  </si>
  <si>
    <t>U1</t>
  </si>
  <si>
    <t>CUI Devices</t>
  </si>
  <si>
    <t>YAGEO</t>
  </si>
  <si>
    <t>R1</t>
  </si>
  <si>
    <t>Custom PCB</t>
  </si>
  <si>
    <t>PKG</t>
  </si>
  <si>
    <t>PCB1</t>
  </si>
  <si>
    <t>JLCPCB</t>
  </si>
  <si>
    <t>PCB Shipping</t>
  </si>
  <si>
    <t>PCB Shipping - DHL Express</t>
  </si>
  <si>
    <t>Shipping</t>
  </si>
  <si>
    <t>PCB Shipping - Fedex International</t>
  </si>
  <si>
    <t xml:space="preserve"> Mass (g)</t>
  </si>
  <si>
    <t>Print Time (hr:Min)</t>
  </si>
  <si>
    <t>Alternatives</t>
  </si>
  <si>
    <t>2024-Mar-25</t>
  </si>
  <si>
    <t>MPN</t>
  </si>
  <si>
    <t>Electronics</t>
  </si>
  <si>
    <t>CONN JACK STEREO 3.5MM TH R/A</t>
  </si>
  <si>
    <t>Kycon, Inc.</t>
  </si>
  <si>
    <t>STX-3000</t>
  </si>
  <si>
    <t>Digi-Key</t>
  </si>
  <si>
    <t>2092-STX-3000-ND</t>
  </si>
  <si>
    <t>https://www.digikey.ca/en/products/detail/kycon-inc/STX-3000/9975995</t>
  </si>
  <si>
    <t>DIP-4 400V/120 MA, SSR RELAY SPS</t>
  </si>
  <si>
    <t>Bright Toward Industrial Co., Ltd.</t>
  </si>
  <si>
    <t>AB30</t>
  </si>
  <si>
    <t>3008-AB30-ND</t>
  </si>
  <si>
    <t>https://www.digikey.ca/en/products/detail/bright-toward-industrial-co-ltd/AB30/13556959</t>
  </si>
  <si>
    <t>RES 330 OHM 5% 1/4W AXIAL</t>
  </si>
  <si>
    <t>CFR-25JB-52-330R</t>
  </si>
  <si>
    <t>330QBK-ND</t>
  </si>
  <si>
    <t>https://www.digikey.ca/en/products/detail/yageo/CFR-25JB-52-330R/1636</t>
  </si>
  <si>
    <t>6 X 7.4 MM, 15.3 MM ACTUATOR HEI</t>
  </si>
  <si>
    <t>TS11-674-153-BK-260-RA-D</t>
  </si>
  <si>
    <t>2223-TS11-674-153-BK-260-RA-D-ND</t>
  </si>
  <si>
    <t>https://www.digikey.ca/en/products/detail/cui-devices/TS11-674-153-BK-260-RA-D/16562823</t>
  </si>
  <si>
    <t>SW1</t>
  </si>
  <si>
    <t>SWITCH SLIDE SPDT 100MA 12V</t>
  </si>
  <si>
    <t>Nidec Copal Electronics</t>
  </si>
  <si>
    <t>CSS-1210TB</t>
  </si>
  <si>
    <t>https://www.digikey.ca/en/products/detail/nidec-components-corporation/CSS-1210TB/1124209</t>
  </si>
  <si>
    <t>XA1</t>
  </si>
  <si>
    <t>Adafruit Industries LLC</t>
  </si>
  <si>
    <t>XA2</t>
  </si>
  <si>
    <t>563-1091-1-ND</t>
  </si>
  <si>
    <t>3.7V 110 mAh lithium-ion polymer battery</t>
  </si>
  <si>
    <t>Lift Switch Adapter Custom PCB</t>
  </si>
  <si>
    <t>PRO TRINKET LI-BATTERY BACKPACK</t>
  </si>
  <si>
    <t>TRINKET M0 ATSAMD21E18 EVAL BRD</t>
  </si>
  <si>
    <t>1528-1443-ND</t>
  </si>
  <si>
    <t>1528-2361-ND</t>
  </si>
  <si>
    <t>2124</t>
  </si>
  <si>
    <t>3500</t>
  </si>
  <si>
    <t>SW2</t>
  </si>
  <si>
    <t>Lift Switch Base</t>
  </si>
  <si>
    <t>Lift Switch Top</t>
  </si>
  <si>
    <t>Lift Switch Power Switch</t>
  </si>
  <si>
    <t>A</t>
  </si>
  <si>
    <t>B</t>
  </si>
  <si>
    <t>C</t>
  </si>
  <si>
    <t>D</t>
  </si>
  <si>
    <t>E</t>
  </si>
  <si>
    <t>F</t>
  </si>
  <si>
    <t>G</t>
  </si>
  <si>
    <t>H</t>
  </si>
  <si>
    <t>O.1</t>
  </si>
  <si>
    <t>O.2</t>
  </si>
  <si>
    <t>3.5 mm digital output plug</t>
  </si>
  <si>
    <t>https://www.digikey.ca/en/products/detail/adafruit-industries-llc/2124/5761211</t>
  </si>
  <si>
    <t>https://www.digikey.ca/en/products/detail/adafruit-industries-llc/3500/7623049</t>
  </si>
  <si>
    <t>P</t>
  </si>
  <si>
    <t>I</t>
  </si>
  <si>
    <t>M</t>
  </si>
  <si>
    <t>N</t>
  </si>
  <si>
    <t>Q</t>
  </si>
  <si>
    <t>LIGHT PIPE RA. 150 3MM ROUND</t>
  </si>
  <si>
    <t>SLP3-150-450-R</t>
  </si>
  <si>
    <t>Bivar Inc</t>
  </si>
  <si>
    <t>Digikey</t>
  </si>
  <si>
    <t>492-2519-ND</t>
  </si>
  <si>
    <t>https://www.digikey.ca/en/products/detail/bivar-inc/SLP3-150-450-R/4926816</t>
  </si>
  <si>
    <t>Canada Robotix</t>
  </si>
  <si>
    <t>102-4747-ND</t>
  </si>
  <si>
    <t>SP-3533-02</t>
  </si>
  <si>
    <t xml:space="preserve">https://www.canadarobotix.com/products/939 </t>
  </si>
  <si>
    <t xml:space="preserve">https://www.digikey.ca/en/products/detail/cui-devices/SP-3533-02/9486641 </t>
  </si>
  <si>
    <t>Lift Switch</t>
  </si>
  <si>
    <t>M2x0.4 x 25 mm screws, flat head</t>
  </si>
  <si>
    <t>McMaster Carr</t>
  </si>
  <si>
    <t>92010A111</t>
  </si>
  <si>
    <t>https://www.mcmaster.com/catalog/130/3484/92010A111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</si>
</sst>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3" xfId="0" applyFill="1" applyBorder="1"/>
    <xf numFmtId="0" fontId="0" fillId="5" borderId="4" xfId="0" applyFill="1" applyBorder="1"/>
    <xf numFmtId="44" fontId="0" fillId="6" borderId="0" xfId="1" applyFont="1" applyFill="1" applyBorder="1"/>
    <xf numFmtId="0" fontId="0" fillId="5" borderId="5" xfId="0" applyFill="1" applyBorder="1"/>
    <xf numFmtId="0" fontId="0" fillId="0" borderId="6" xfId="0" applyBorder="1"/>
    <xf numFmtId="0" fontId="0" fillId="7" borderId="1" xfId="0" applyFill="1" applyBorder="1"/>
    <xf numFmtId="44" fontId="0" fillId="0" borderId="0" xfId="0" applyNumberFormat="1"/>
    <xf numFmtId="20" fontId="9" fillId="3" borderId="0" xfId="3" applyNumberFormat="1" applyFont="1"/>
    <xf numFmtId="0" fontId="0" fillId="8" borderId="0" xfId="0" applyFill="1"/>
    <xf numFmtId="44" fontId="0" fillId="8" borderId="2" xfId="1" applyFont="1" applyFill="1" applyBorder="1"/>
    <xf numFmtId="0" fontId="6" fillId="0" borderId="0" xfId="5" applyFill="1"/>
    <xf numFmtId="44" fontId="0" fillId="0" borderId="2" xfId="1" applyFont="1" applyFill="1" applyBorder="1"/>
    <xf numFmtId="20" fontId="0" fillId="0" borderId="0" xfId="0" applyNumberFormat="1"/>
    <xf numFmtId="0" fontId="0" fillId="7" borderId="0" xfId="0" applyFill="1"/>
    <xf numFmtId="0" fontId="9" fillId="0" borderId="2" xfId="0" applyFont="1" applyBorder="1"/>
    <xf numFmtId="44" fontId="0" fillId="0" borderId="0" xfId="1" applyFont="1" applyFill="1" applyBorder="1"/>
    <xf numFmtId="0" fontId="7" fillId="0" borderId="7" xfId="0" applyFont="1" applyBorder="1"/>
    <xf numFmtId="0" fontId="0" fillId="0" borderId="7" xfId="0" applyBorder="1"/>
    <xf numFmtId="0" fontId="10" fillId="0" borderId="0" xfId="0" applyFont="1"/>
    <xf numFmtId="0" fontId="9" fillId="0" borderId="6" xfId="0" applyFont="1" applyBorder="1"/>
    <xf numFmtId="0" fontId="0" fillId="8" borderId="6" xfId="0" applyFill="1" applyBorder="1"/>
    <xf numFmtId="44" fontId="0" fillId="8" borderId="8" xfId="1" applyFont="1" applyFill="1" applyBorder="1"/>
    <xf numFmtId="44" fontId="0" fillId="0" borderId="6" xfId="1" applyFont="1" applyBorder="1"/>
    <xf numFmtId="0" fontId="6" fillId="0" borderId="6" xfId="5" applyBorder="1"/>
    <xf numFmtId="0" fontId="7" fillId="5" borderId="5" xfId="0" applyFont="1" applyFill="1" applyBorder="1"/>
    <xf numFmtId="0" fontId="0" fillId="6" borderId="6" xfId="0" applyFill="1" applyBorder="1"/>
    <xf numFmtId="0" fontId="3" fillId="5" borderId="9" xfId="0" applyFont="1" applyFill="1" applyBorder="1"/>
    <xf numFmtId="44" fontId="0" fillId="5" borderId="5" xfId="1" applyFont="1" applyFill="1" applyBorder="1"/>
    <xf numFmtId="44" fontId="0" fillId="0" borderId="8" xfId="1" applyFont="1" applyFill="1" applyBorder="1"/>
    <xf numFmtId="20" fontId="0" fillId="0" borderId="6" xfId="0" applyNumberFormat="1" applyBorder="1"/>
    <xf numFmtId="0" fontId="3" fillId="5" borderId="10" xfId="0" applyFont="1" applyFill="1" applyBorder="1"/>
    <xf numFmtId="0" fontId="6" fillId="0" borderId="0" xfId="5"/>
    <xf numFmtId="165" fontId="0" fillId="0" borderId="0" xfId="0" applyNumberFormat="1"/>
    <xf numFmtId="166" fontId="0" fillId="0" borderId="0" xfId="0" quotePrefix="1" applyNumberFormat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cui-devices/SP-3533-02/9486641" TargetMode="External"/><Relationship Id="rId2" Type="http://schemas.openxmlformats.org/officeDocument/2006/relationships/hyperlink" Target="https://www.canadarobotix.com/products/939" TargetMode="External"/><Relationship Id="rId1" Type="http://schemas.openxmlformats.org/officeDocument/2006/relationships/hyperlink" Target="https://www.digikey.ca/en/products/detail/bivar-inc/SLP3-150-450-R/492681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R21" sqref="R21"/>
    </sheetView>
  </sheetViews>
  <sheetFormatPr defaultRowHeight="15" x14ac:dyDescent="0.25"/>
  <cols>
    <col min="1" max="1" width="6.7109375" bestFit="1" customWidth="1"/>
    <col min="2" max="2" width="16.85546875" customWidth="1"/>
    <col min="3" max="3" width="32.28515625" customWidth="1"/>
    <col min="4" max="4" width="8.85546875" customWidth="1"/>
    <col min="5" max="6" width="18.7109375" customWidth="1"/>
    <col min="7" max="7" width="11.85546875" customWidth="1"/>
    <col min="8" max="8" width="33.140625" bestFit="1" customWidth="1"/>
    <col min="9" max="9" width="4.28515625" customWidth="1"/>
    <col min="10" max="10" width="17.42578125" bestFit="1" customWidth="1"/>
    <col min="11" max="11" width="17.7109375" bestFit="1" customWidth="1"/>
    <col min="12" max="12" width="8.85546875" customWidth="1"/>
    <col min="13" max="13" width="14.85546875" customWidth="1"/>
  </cols>
  <sheetData>
    <row r="1" spans="1:18" ht="35.25" x14ac:dyDescent="0.5">
      <c r="B1" s="1" t="s">
        <v>110</v>
      </c>
      <c r="J1" s="4" t="s">
        <v>2</v>
      </c>
      <c r="M1" t="s">
        <v>9</v>
      </c>
      <c r="N1" s="2" t="s">
        <v>0</v>
      </c>
      <c r="O1" s="3" t="s">
        <v>1</v>
      </c>
    </row>
    <row r="2" spans="1:18" ht="19.5" thickBot="1" x14ac:dyDescent="0.35">
      <c r="B2" s="11" t="s">
        <v>10</v>
      </c>
      <c r="C2" s="46">
        <v>2</v>
      </c>
      <c r="E2" t="s">
        <v>11</v>
      </c>
      <c r="F2" s="9" t="s">
        <v>38</v>
      </c>
      <c r="H2" s="9"/>
      <c r="J2" s="6">
        <f>SUM(J25:J28)</f>
        <v>15</v>
      </c>
      <c r="M2" s="19">
        <f>SUM(M5:M16,M19:M21,M25:M28)</f>
        <v>42.9938</v>
      </c>
      <c r="N2" s="5">
        <f>SUM(N5:N28)</f>
        <v>77.566000000000017</v>
      </c>
      <c r="O2" s="20">
        <f>SUM(O25:O28)</f>
        <v>7.7083333333333337E-2</v>
      </c>
    </row>
    <row r="3" spans="1:18" ht="16.5" thickBot="1" x14ac:dyDescent="0.3">
      <c r="A3" s="12" t="s">
        <v>12</v>
      </c>
      <c r="B3" s="7" t="s">
        <v>6</v>
      </c>
      <c r="C3" s="7" t="s">
        <v>7</v>
      </c>
      <c r="D3" s="7"/>
      <c r="E3" s="7" t="s">
        <v>13</v>
      </c>
      <c r="F3" s="7" t="s">
        <v>39</v>
      </c>
      <c r="G3" s="7" t="s">
        <v>14</v>
      </c>
      <c r="H3" s="7" t="s">
        <v>15</v>
      </c>
      <c r="I3" s="7" t="s">
        <v>16</v>
      </c>
      <c r="J3" s="7" t="s">
        <v>17</v>
      </c>
      <c r="K3" s="7" t="s">
        <v>18</v>
      </c>
      <c r="L3" s="7" t="s">
        <v>19</v>
      </c>
      <c r="M3" s="7" t="s">
        <v>3</v>
      </c>
      <c r="N3" s="7" t="s">
        <v>20</v>
      </c>
      <c r="O3" s="7"/>
      <c r="P3" s="7" t="s">
        <v>4</v>
      </c>
      <c r="Q3" s="7" t="s">
        <v>21</v>
      </c>
      <c r="R3" s="7"/>
    </row>
    <row r="4" spans="1:18" ht="16.5" thickBot="1" x14ac:dyDescent="0.3">
      <c r="A4" s="29"/>
      <c r="B4" s="12" t="s">
        <v>40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x14ac:dyDescent="0.25">
      <c r="A5" t="s">
        <v>83</v>
      </c>
      <c r="B5" t="s">
        <v>67</v>
      </c>
      <c r="C5" t="s">
        <v>71</v>
      </c>
      <c r="E5" t="s">
        <v>66</v>
      </c>
      <c r="F5" t="s">
        <v>75</v>
      </c>
      <c r="G5" t="s">
        <v>44</v>
      </c>
      <c r="H5" t="s">
        <v>73</v>
      </c>
      <c r="I5">
        <v>1</v>
      </c>
      <c r="J5">
        <v>1</v>
      </c>
      <c r="K5" s="21">
        <f>IF(I5&gt;0,CEILING(I5/J5,1),0)</f>
        <v>1</v>
      </c>
      <c r="L5">
        <v>7.29</v>
      </c>
      <c r="M5" s="22">
        <f t="shared" ref="M5:M15" si="0">IF(I5&gt;0,L5/J5*I5,0)</f>
        <v>7.29</v>
      </c>
      <c r="N5" s="22">
        <f>K5*L5</f>
        <v>7.29</v>
      </c>
      <c r="P5" s="23" t="s">
        <v>92</v>
      </c>
    </row>
    <row r="6" spans="1:18" x14ac:dyDescent="0.25">
      <c r="A6" t="s">
        <v>82</v>
      </c>
      <c r="B6" t="s">
        <v>65</v>
      </c>
      <c r="C6" t="s">
        <v>72</v>
      </c>
      <c r="E6" t="s">
        <v>66</v>
      </c>
      <c r="F6" t="s">
        <v>76</v>
      </c>
      <c r="G6" t="s">
        <v>44</v>
      </c>
      <c r="H6" t="s">
        <v>74</v>
      </c>
      <c r="I6">
        <v>1</v>
      </c>
      <c r="J6">
        <v>1</v>
      </c>
      <c r="K6" s="21">
        <f t="shared" ref="K6:K15" si="1">IF(I6&gt;0,CEILING(I6/J6,1),0)</f>
        <v>1</v>
      </c>
      <c r="L6">
        <v>13.17</v>
      </c>
      <c r="M6" s="22">
        <f t="shared" si="0"/>
        <v>13.17</v>
      </c>
      <c r="N6" s="22">
        <f t="shared" ref="N6:N15" si="2">K6*L6</f>
        <v>13.17</v>
      </c>
      <c r="P6" s="23" t="s">
        <v>93</v>
      </c>
    </row>
    <row r="7" spans="1:18" x14ac:dyDescent="0.25">
      <c r="A7" t="s">
        <v>84</v>
      </c>
      <c r="B7" t="s">
        <v>22</v>
      </c>
      <c r="C7" t="s">
        <v>41</v>
      </c>
      <c r="E7" t="s">
        <v>42</v>
      </c>
      <c r="F7" t="s">
        <v>43</v>
      </c>
      <c r="G7" t="s">
        <v>44</v>
      </c>
      <c r="H7" t="s">
        <v>45</v>
      </c>
      <c r="I7">
        <v>1</v>
      </c>
      <c r="J7">
        <v>1</v>
      </c>
      <c r="K7" s="21">
        <f t="shared" si="1"/>
        <v>1</v>
      </c>
      <c r="L7">
        <v>1.18</v>
      </c>
      <c r="M7" s="22">
        <f t="shared" si="0"/>
        <v>1.18</v>
      </c>
      <c r="N7" s="22">
        <f t="shared" si="2"/>
        <v>1.18</v>
      </c>
      <c r="P7" s="23" t="s">
        <v>46</v>
      </c>
    </row>
    <row r="8" spans="1:18" x14ac:dyDescent="0.25">
      <c r="A8" t="s">
        <v>88</v>
      </c>
      <c r="B8" t="s">
        <v>60</v>
      </c>
      <c r="C8" t="s">
        <v>61</v>
      </c>
      <c r="E8" t="s">
        <v>62</v>
      </c>
      <c r="F8" t="s">
        <v>63</v>
      </c>
      <c r="G8" t="s">
        <v>44</v>
      </c>
      <c r="H8" t="s">
        <v>68</v>
      </c>
      <c r="I8">
        <v>1</v>
      </c>
      <c r="J8">
        <v>1</v>
      </c>
      <c r="K8" s="21">
        <f t="shared" si="1"/>
        <v>1</v>
      </c>
      <c r="L8">
        <v>0.91</v>
      </c>
      <c r="M8" s="22">
        <f t="shared" si="0"/>
        <v>0.91</v>
      </c>
      <c r="N8" s="22">
        <f t="shared" si="2"/>
        <v>0.91</v>
      </c>
      <c r="P8" s="23" t="s">
        <v>64</v>
      </c>
    </row>
    <row r="9" spans="1:18" x14ac:dyDescent="0.25">
      <c r="A9" t="s">
        <v>85</v>
      </c>
      <c r="B9" t="s">
        <v>23</v>
      </c>
      <c r="C9" t="s">
        <v>47</v>
      </c>
      <c r="E9" t="s">
        <v>48</v>
      </c>
      <c r="F9" t="s">
        <v>49</v>
      </c>
      <c r="G9" t="s">
        <v>44</v>
      </c>
      <c r="H9" t="s">
        <v>50</v>
      </c>
      <c r="I9">
        <v>1</v>
      </c>
      <c r="J9">
        <v>1</v>
      </c>
      <c r="K9" s="21">
        <f t="shared" si="1"/>
        <v>1</v>
      </c>
      <c r="L9">
        <v>2.72</v>
      </c>
      <c r="M9" s="22">
        <f t="shared" si="0"/>
        <v>2.72</v>
      </c>
      <c r="N9" s="22">
        <f t="shared" si="2"/>
        <v>2.72</v>
      </c>
      <c r="P9" s="23" t="s">
        <v>51</v>
      </c>
    </row>
    <row r="10" spans="1:18" x14ac:dyDescent="0.25">
      <c r="A10" t="s">
        <v>87</v>
      </c>
      <c r="B10" t="s">
        <v>77</v>
      </c>
      <c r="C10" t="s">
        <v>56</v>
      </c>
      <c r="E10" t="s">
        <v>24</v>
      </c>
      <c r="F10" t="s">
        <v>57</v>
      </c>
      <c r="G10" t="s">
        <v>44</v>
      </c>
      <c r="H10" t="s">
        <v>58</v>
      </c>
      <c r="I10">
        <v>1</v>
      </c>
      <c r="J10">
        <v>1</v>
      </c>
      <c r="K10" s="21">
        <f t="shared" si="1"/>
        <v>1</v>
      </c>
      <c r="L10">
        <v>0.24</v>
      </c>
      <c r="M10" s="22">
        <f t="shared" si="0"/>
        <v>0.24</v>
      </c>
      <c r="N10" s="22">
        <f t="shared" si="2"/>
        <v>0.24</v>
      </c>
      <c r="P10" s="23" t="s">
        <v>59</v>
      </c>
    </row>
    <row r="11" spans="1:18" x14ac:dyDescent="0.25">
      <c r="A11" t="s">
        <v>86</v>
      </c>
      <c r="B11" t="s">
        <v>26</v>
      </c>
      <c r="C11" t="s">
        <v>52</v>
      </c>
      <c r="E11" t="s">
        <v>25</v>
      </c>
      <c r="F11" t="s">
        <v>53</v>
      </c>
      <c r="G11" t="s">
        <v>44</v>
      </c>
      <c r="H11" t="s">
        <v>54</v>
      </c>
      <c r="I11">
        <v>1</v>
      </c>
      <c r="J11">
        <v>1</v>
      </c>
      <c r="K11" s="21">
        <f>IF(I11&gt;0,CEILING(I11/J11,1),0)</f>
        <v>1</v>
      </c>
      <c r="L11">
        <v>0.16</v>
      </c>
      <c r="M11" s="22">
        <f>IF(I11&gt;0,L11/J11*I11,0)</f>
        <v>0.16</v>
      </c>
      <c r="N11" s="22">
        <f>K11*L11</f>
        <v>0.16</v>
      </c>
      <c r="P11" s="23" t="s">
        <v>55</v>
      </c>
    </row>
    <row r="12" spans="1:18" x14ac:dyDescent="0.25">
      <c r="A12" t="s">
        <v>95</v>
      </c>
      <c r="C12" t="s">
        <v>91</v>
      </c>
      <c r="E12" t="s">
        <v>24</v>
      </c>
      <c r="F12" t="s">
        <v>107</v>
      </c>
      <c r="G12" t="s">
        <v>44</v>
      </c>
      <c r="H12" t="s">
        <v>106</v>
      </c>
      <c r="I12">
        <v>1</v>
      </c>
      <c r="J12">
        <v>1</v>
      </c>
      <c r="K12" s="21">
        <f>IF(I12&gt;0,CEILING(I12/J12,1),0)</f>
        <v>1</v>
      </c>
      <c r="L12">
        <v>2.68</v>
      </c>
      <c r="M12" s="22">
        <f t="shared" ref="M12:M13" si="3">IF(I12&gt;0,L12/J12*I12,0)</f>
        <v>2.68</v>
      </c>
      <c r="N12" s="22">
        <f t="shared" ref="N12:N13" si="4">K12*L12</f>
        <v>2.68</v>
      </c>
      <c r="P12" s="44" t="s">
        <v>109</v>
      </c>
    </row>
    <row r="13" spans="1:18" x14ac:dyDescent="0.25">
      <c r="A13" t="s">
        <v>96</v>
      </c>
      <c r="C13" t="s">
        <v>99</v>
      </c>
      <c r="E13" t="s">
        <v>101</v>
      </c>
      <c r="F13" t="s">
        <v>100</v>
      </c>
      <c r="G13" t="s">
        <v>102</v>
      </c>
      <c r="H13" t="s">
        <v>103</v>
      </c>
      <c r="I13">
        <v>1</v>
      </c>
      <c r="J13">
        <v>1</v>
      </c>
      <c r="K13" s="21">
        <f>IF(I13&gt;0,CEILING(I13/J13,1),0)</f>
        <v>1</v>
      </c>
      <c r="L13">
        <v>1.19</v>
      </c>
      <c r="M13" s="22">
        <f t="shared" si="3"/>
        <v>1.19</v>
      </c>
      <c r="N13" s="22">
        <f t="shared" si="4"/>
        <v>1.19</v>
      </c>
      <c r="P13" s="44" t="s">
        <v>104</v>
      </c>
    </row>
    <row r="14" spans="1:18" x14ac:dyDescent="0.25">
      <c r="A14" t="s">
        <v>97</v>
      </c>
      <c r="C14" t="s">
        <v>69</v>
      </c>
      <c r="E14" t="s">
        <v>105</v>
      </c>
      <c r="F14" s="45">
        <v>930</v>
      </c>
      <c r="G14" t="s">
        <v>105</v>
      </c>
      <c r="I14">
        <v>1</v>
      </c>
      <c r="J14">
        <v>1</v>
      </c>
      <c r="K14" s="21">
        <f>IF(I14&gt;0,CEILING(I14/J14,1),0)</f>
        <v>1</v>
      </c>
      <c r="L14">
        <v>5.99</v>
      </c>
      <c r="M14" s="22">
        <f>IF(I14&gt;0,L14/J14*I14,0)</f>
        <v>5.99</v>
      </c>
      <c r="N14" s="22">
        <f>K14*L14</f>
        <v>5.99</v>
      </c>
      <c r="P14" s="44" t="s">
        <v>108</v>
      </c>
    </row>
    <row r="15" spans="1:18" ht="15.75" thickBot="1" x14ac:dyDescent="0.3">
      <c r="A15" t="s">
        <v>98</v>
      </c>
      <c r="C15" t="s">
        <v>111</v>
      </c>
      <c r="E15" t="s">
        <v>112</v>
      </c>
      <c r="F15" t="s">
        <v>113</v>
      </c>
      <c r="G15" t="s">
        <v>112</v>
      </c>
      <c r="H15" t="s">
        <v>113</v>
      </c>
      <c r="I15">
        <v>3</v>
      </c>
      <c r="J15">
        <v>50</v>
      </c>
      <c r="K15" s="21">
        <f t="shared" si="1"/>
        <v>1</v>
      </c>
      <c r="L15" s="10">
        <v>9.31</v>
      </c>
      <c r="M15" s="22">
        <f t="shared" si="0"/>
        <v>0.55859999999999999</v>
      </c>
      <c r="N15" s="22">
        <f t="shared" si="2"/>
        <v>9.31</v>
      </c>
      <c r="P15" s="36" t="s">
        <v>114</v>
      </c>
    </row>
    <row r="16" spans="1:18" s="17" customFormat="1" ht="15.75" thickBot="1" x14ac:dyDescent="0.3">
      <c r="D16" s="32"/>
      <c r="K16" s="33">
        <f>IF(I16&gt;0,CEILING(I16/J16,1),0)</f>
        <v>0</v>
      </c>
      <c r="L16" s="35"/>
      <c r="M16" s="34">
        <f>IF(I16&gt;0,L16/J16*I16,0)</f>
        <v>0</v>
      </c>
      <c r="N16" s="34">
        <f>K16*L16</f>
        <v>0</v>
      </c>
      <c r="P16" s="36"/>
    </row>
    <row r="17" spans="1:16" ht="16.5" thickBot="1" x14ac:dyDescent="0.3">
      <c r="B17" s="37" t="s">
        <v>27</v>
      </c>
    </row>
    <row r="18" spans="1:16" ht="15.75" thickBot="1" x14ac:dyDescent="0.3">
      <c r="B18" s="7" t="s">
        <v>6</v>
      </c>
      <c r="C18" s="7" t="s">
        <v>7</v>
      </c>
      <c r="D18" s="7"/>
      <c r="E18" s="7" t="s">
        <v>13</v>
      </c>
      <c r="F18" s="7"/>
      <c r="G18" s="7" t="s">
        <v>14</v>
      </c>
      <c r="H18" s="7" t="s">
        <v>15</v>
      </c>
      <c r="I18" s="7" t="s">
        <v>16</v>
      </c>
      <c r="J18" s="7" t="s">
        <v>17</v>
      </c>
      <c r="K18" s="7" t="s">
        <v>28</v>
      </c>
      <c r="L18" s="7" t="s">
        <v>19</v>
      </c>
      <c r="M18" s="7" t="s">
        <v>3</v>
      </c>
      <c r="N18" s="7" t="s">
        <v>20</v>
      </c>
      <c r="O18" s="7"/>
      <c r="P18" s="7" t="s">
        <v>4</v>
      </c>
    </row>
    <row r="19" spans="1:16" x14ac:dyDescent="0.25">
      <c r="A19" t="s">
        <v>81</v>
      </c>
      <c r="B19" t="s">
        <v>29</v>
      </c>
      <c r="C19" t="s">
        <v>70</v>
      </c>
      <c r="E19" t="s">
        <v>30</v>
      </c>
      <c r="I19">
        <v>1</v>
      </c>
      <c r="J19">
        <v>5</v>
      </c>
      <c r="K19">
        <f t="shared" ref="K19:K21" si="5">IF(I19&gt;0,CEILING(I19/J19,1),0)</f>
        <v>1</v>
      </c>
      <c r="L19" s="49">
        <f>1.07*5*1.36</f>
        <v>7.2760000000000016</v>
      </c>
      <c r="M19" s="48">
        <f>IF(I19&gt;0,L19/J19*I19,0)</f>
        <v>1.4552000000000003</v>
      </c>
      <c r="N19" s="48">
        <f t="shared" ref="N19:N21" si="6">K19*L19</f>
        <v>7.2760000000000016</v>
      </c>
      <c r="P19" s="47"/>
    </row>
    <row r="20" spans="1:16" x14ac:dyDescent="0.25">
      <c r="B20" t="s">
        <v>31</v>
      </c>
      <c r="C20" t="s">
        <v>32</v>
      </c>
      <c r="D20" t="s">
        <v>33</v>
      </c>
      <c r="I20">
        <v>1</v>
      </c>
      <c r="J20">
        <v>5</v>
      </c>
      <c r="K20">
        <f t="shared" si="5"/>
        <v>1</v>
      </c>
      <c r="L20">
        <v>25</v>
      </c>
      <c r="M20">
        <f>IF(I20&gt;0,L20/J20*I20,0)</f>
        <v>5</v>
      </c>
      <c r="N20">
        <f t="shared" si="6"/>
        <v>25</v>
      </c>
    </row>
    <row r="21" spans="1:16" x14ac:dyDescent="0.25">
      <c r="B21" t="s">
        <v>31</v>
      </c>
      <c r="C21" t="s">
        <v>34</v>
      </c>
      <c r="D21" t="s">
        <v>33</v>
      </c>
      <c r="I21">
        <v>0</v>
      </c>
      <c r="J21">
        <v>5</v>
      </c>
      <c r="K21">
        <f t="shared" si="5"/>
        <v>0</v>
      </c>
      <c r="L21">
        <v>25</v>
      </c>
      <c r="M21">
        <f>IF(I21&gt;0,L21/J21*I21,0)</f>
        <v>0</v>
      </c>
      <c r="N21">
        <f t="shared" si="6"/>
        <v>0</v>
      </c>
    </row>
    <row r="22" spans="1:16" ht="15.75" thickBo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38"/>
      <c r="N22" s="38"/>
      <c r="O22" s="17"/>
      <c r="P22" s="17"/>
    </row>
    <row r="23" spans="1:16" ht="15.75" thickBot="1" x14ac:dyDescent="0.3">
      <c r="B23" s="39" t="s">
        <v>5</v>
      </c>
      <c r="C23" s="40">
        <v>30</v>
      </c>
      <c r="L23" s="8"/>
      <c r="M23" s="15"/>
      <c r="N23" s="15"/>
      <c r="O23" s="19"/>
    </row>
    <row r="24" spans="1:16" ht="15.75" thickBot="1" x14ac:dyDescent="0.3">
      <c r="B24" s="7" t="s">
        <v>6</v>
      </c>
      <c r="C24" s="16" t="s">
        <v>7</v>
      </c>
      <c r="D24" s="7"/>
      <c r="E24" s="7"/>
      <c r="F24" s="7"/>
      <c r="G24" s="7"/>
      <c r="H24" s="7"/>
      <c r="I24" s="7" t="s">
        <v>16</v>
      </c>
      <c r="J24" s="7" t="s">
        <v>35</v>
      </c>
      <c r="K24" s="7"/>
      <c r="L24" s="13" t="s">
        <v>8</v>
      </c>
      <c r="M24" s="7" t="s">
        <v>8</v>
      </c>
      <c r="N24" s="7" t="s">
        <v>8</v>
      </c>
      <c r="O24" s="7" t="s">
        <v>36</v>
      </c>
      <c r="P24" s="7" t="s">
        <v>4</v>
      </c>
    </row>
    <row r="25" spans="1:16" x14ac:dyDescent="0.25">
      <c r="A25" t="s">
        <v>89</v>
      </c>
      <c r="C25" t="s">
        <v>78</v>
      </c>
      <c r="I25">
        <v>1</v>
      </c>
      <c r="J25">
        <v>6</v>
      </c>
      <c r="L25" s="24">
        <f>J25/1000*$C$23</f>
        <v>0.18</v>
      </c>
      <c r="M25" s="24">
        <f>L25</f>
        <v>0.18</v>
      </c>
      <c r="N25" s="24">
        <f>L25</f>
        <v>0.18</v>
      </c>
      <c r="O25" s="25">
        <v>2.8472222222222222E-2</v>
      </c>
    </row>
    <row r="26" spans="1:16" x14ac:dyDescent="0.25">
      <c r="A26" t="s">
        <v>90</v>
      </c>
      <c r="C26" t="s">
        <v>79</v>
      </c>
      <c r="I26">
        <v>1</v>
      </c>
      <c r="J26">
        <v>8</v>
      </c>
      <c r="L26" s="24">
        <f>J26/1000*$C$23</f>
        <v>0.24</v>
      </c>
      <c r="M26" s="24">
        <f t="shared" ref="M26:M28" si="7">L26</f>
        <v>0.24</v>
      </c>
      <c r="N26" s="24">
        <f t="shared" ref="N26:N28" si="8">L26</f>
        <v>0.24</v>
      </c>
      <c r="O26" s="25">
        <v>4.6527777777777779E-2</v>
      </c>
    </row>
    <row r="27" spans="1:16" x14ac:dyDescent="0.25">
      <c r="A27" t="s">
        <v>94</v>
      </c>
      <c r="C27" t="s">
        <v>80</v>
      </c>
      <c r="I27">
        <v>1</v>
      </c>
      <c r="J27">
        <v>1</v>
      </c>
      <c r="L27" s="24">
        <f>J27/1000*$C$23</f>
        <v>0.03</v>
      </c>
      <c r="M27" s="24">
        <f t="shared" si="7"/>
        <v>0.03</v>
      </c>
      <c r="N27" s="24">
        <f t="shared" si="8"/>
        <v>0.03</v>
      </c>
      <c r="O27" s="25">
        <v>2.0833333333333333E-3</v>
      </c>
    </row>
    <row r="28" spans="1:16" ht="15.75" thickBo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41">
        <f>J28/1000*$C$23</f>
        <v>0</v>
      </c>
      <c r="M28" s="41">
        <f t="shared" si="7"/>
        <v>0</v>
      </c>
      <c r="N28" s="41">
        <f t="shared" si="8"/>
        <v>0</v>
      </c>
      <c r="O28" s="42"/>
      <c r="P28" s="17"/>
    </row>
    <row r="29" spans="1:16" ht="15.75" thickBot="1" x14ac:dyDescent="0.3">
      <c r="B29" s="43" t="s">
        <v>37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x14ac:dyDescent="0.3">
      <c r="B30" s="18" t="s">
        <v>6</v>
      </c>
      <c r="C30" s="18" t="s">
        <v>7</v>
      </c>
      <c r="D30" s="26"/>
      <c r="E30" s="26" t="s">
        <v>13</v>
      </c>
      <c r="F30" s="26"/>
      <c r="G30" s="26" t="s">
        <v>14</v>
      </c>
      <c r="H30" s="26"/>
    </row>
    <row r="31" spans="1:16" x14ac:dyDescent="0.25">
      <c r="B31" s="27"/>
      <c r="J31">
        <v>1</v>
      </c>
      <c r="K31">
        <f t="shared" ref="K31" si="9">IF(I31&gt;0,CEILING(I31/J31,1),0)</f>
        <v>0</v>
      </c>
      <c r="L31" s="28"/>
      <c r="M31" s="22">
        <f>IF(I31&gt;0,L31/J31*I31,0)</f>
        <v>0</v>
      </c>
      <c r="N31" s="24">
        <f t="shared" ref="N31:N33" si="10">K31*L31</f>
        <v>0</v>
      </c>
      <c r="P31" s="23"/>
    </row>
    <row r="32" spans="1:16" x14ac:dyDescent="0.25">
      <c r="J32">
        <v>1</v>
      </c>
      <c r="K32">
        <v>1</v>
      </c>
      <c r="L32" s="10"/>
      <c r="M32" s="22">
        <f t="shared" ref="M32:M33" si="11">IF(I32&gt;0,L32/J32*I32,0)</f>
        <v>0</v>
      </c>
      <c r="N32" s="24">
        <f t="shared" si="10"/>
        <v>0</v>
      </c>
      <c r="P32" s="23"/>
    </row>
    <row r="33" spans="3:16" x14ac:dyDescent="0.25">
      <c r="C33" s="31"/>
      <c r="J33">
        <v>1</v>
      </c>
      <c r="K33">
        <v>1</v>
      </c>
      <c r="L33" s="10"/>
      <c r="M33" s="22">
        <f t="shared" si="11"/>
        <v>0</v>
      </c>
      <c r="N33" s="24">
        <f t="shared" si="10"/>
        <v>0</v>
      </c>
      <c r="P33" s="23"/>
    </row>
  </sheetData>
  <hyperlinks>
    <hyperlink ref="P13" r:id="rId1" xr:uid="{E5EC1A1B-48E7-4F8D-B4CE-BD5FB3613FDC}"/>
    <hyperlink ref="P14" r:id="rId2" xr:uid="{6040B614-1BD2-4D86-9EB2-409814DE700E}"/>
    <hyperlink ref="P12" r:id="rId3" xr:uid="{5C5AD8B9-BB97-4343-B041-99DC2E96768C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7" ma:contentTypeDescription="Create a new document." ma:contentTypeScope="" ma:versionID="806fa4c7fbbf8aa9f5cad55dba9a026b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33f880313f24a6ddfb20bff701b7a5f2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d026a2c-2932-46d8-9cfe-1512c4307f3e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15913e6-4bf0-458f-8160-f18e142d04ff"/>
    <ds:schemaRef ds:uri="e718a8af-5d48-45b1-a7fb-cef00c107a7a"/>
  </ds:schemaRefs>
</ds:datastoreItem>
</file>

<file path=customXml/itemProps2.xml><?xml version="1.0" encoding="utf-8"?>
<ds:datastoreItem xmlns:ds="http://schemas.openxmlformats.org/officeDocument/2006/customXml" ds:itemID="{E690769C-D555-4D58-B1B5-DD17DAD2C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2024-03-28T19:40:47Z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