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06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Team/Shared Documents/Server/3 AT Library/WIP/Open Quick Mount (Name TBD)/Open-Quick-Mount/Documentation/Working_Documents/"/>
    </mc:Choice>
  </mc:AlternateContent>
  <xr:revisionPtr revIDLastSave="797" documentId="11_DC0E2523FAFE28515E8D5C5A1D4A6B02C3B15AFA" xr6:coauthVersionLast="47" xr6:coauthVersionMax="47" xr10:uidLastSave="{8C84A274-F65D-4573-9D13-E9A156AA3185}"/>
  <bookViews>
    <workbookView xWindow="28680" yWindow="-120" windowWidth="29040" windowHeight="15840" xr2:uid="{00000000-000D-0000-FFFF-FFFF00000000}"/>
  </bookViews>
  <sheets>
    <sheet name="BOM" sheetId="1" r:id="rId1"/>
    <sheet name="Device Option Details" sheetId="11" r:id="rId2"/>
  </sheets>
  <definedNames>
    <definedName name="Plate_Options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I10" i="1"/>
  <c r="H10" i="1"/>
  <c r="H11" i="1"/>
  <c r="K5" i="1"/>
  <c r="F9" i="1"/>
  <c r="H9" i="1" s="1"/>
  <c r="E9" i="1"/>
  <c r="L2" i="1" s="1"/>
  <c r="B5" i="1"/>
  <c r="F5" i="1"/>
  <c r="J5" i="1" s="1"/>
  <c r="E5" i="1"/>
  <c r="B9" i="1"/>
  <c r="H24" i="1"/>
  <c r="H25" i="1"/>
  <c r="H23" i="1"/>
  <c r="N9" i="1" l="1"/>
  <c r="N11" i="1" s="1"/>
  <c r="I9" i="1"/>
  <c r="J2" i="1" s="1"/>
  <c r="H5" i="1"/>
  <c r="I5" i="1" s="1"/>
  <c r="I2" i="1" s="1"/>
  <c r="K2" i="1"/>
</calcChain>
</file>

<file path=xl/sharedStrings.xml><?xml version="1.0" encoding="utf-8"?>
<sst xmlns="http://schemas.openxmlformats.org/spreadsheetml/2006/main" count="106" uniqueCount="72">
  <si>
    <t xml:space="preserve">Name TBD </t>
  </si>
  <si>
    <t>Mounting Plate Selection: Use Drop Down List</t>
  </si>
  <si>
    <t>Last Updated: 2023-Feb-27</t>
  </si>
  <si>
    <t>Unit Cost</t>
  </si>
  <si>
    <t>Total Cost</t>
  </si>
  <si>
    <t>Total Print time (hr)</t>
  </si>
  <si>
    <t>Total filament (g)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</si>
  <si>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</si>
  <si>
    <t>Medium Plate - 7/16 Tee Nut</t>
  </si>
  <si>
    <t>Commercial Parts</t>
  </si>
  <si>
    <t>Note: Please select the correct device selection above to get accurate part and cost estimations.</t>
  </si>
  <si>
    <t>ID</t>
  </si>
  <si>
    <t>Part Name</t>
  </si>
  <si>
    <t>Part Type</t>
  </si>
  <si>
    <t>QTY</t>
  </si>
  <si>
    <t>QTY/PKG</t>
  </si>
  <si>
    <t>$/PKG</t>
  </si>
  <si>
    <t>PKG QTY</t>
  </si>
  <si>
    <t>$/Unit</t>
  </si>
  <si>
    <t>Extended</t>
  </si>
  <si>
    <t>Total</t>
  </si>
  <si>
    <t>Link</t>
  </si>
  <si>
    <t>Fastener</t>
  </si>
  <si>
    <t>3D Printed Parts                           ESTIMATED PRICING USING 1KG ROLL COST:</t>
  </si>
  <si>
    <t>Part</t>
  </si>
  <si>
    <t>Material</t>
  </si>
  <si>
    <t>Mass (g) / Unit</t>
  </si>
  <si>
    <t>Time / Unit</t>
  </si>
  <si>
    <t>Print Time (Min)</t>
  </si>
  <si>
    <t>Estimated Price</t>
  </si>
  <si>
    <t>PLA</t>
  </si>
  <si>
    <t>Hardware_Cover.stl</t>
  </si>
  <si>
    <t>Assembly_Washer.stl</t>
  </si>
  <si>
    <t>Custom Printed Circuit Board (PCB)</t>
  </si>
  <si>
    <t>Not Required</t>
  </si>
  <si>
    <t>Tools for Assembly</t>
  </si>
  <si>
    <t>Pliers</t>
  </si>
  <si>
    <t>Small Screw Driver</t>
  </si>
  <si>
    <t>1/4"-20 UNC Bolt (Optional)</t>
  </si>
  <si>
    <t>Alternatives (if there are other sources for some parts link them below)</t>
  </si>
  <si>
    <t>Part and description</t>
  </si>
  <si>
    <t xml:space="preserve">5/16" x 1/4"-20 UNC Tee Nut Insert </t>
  </si>
  <si>
    <t>Steel Tee Nut Inserts, 1/4"-20 Size, 0.36" Installed Length, 3/4" Flange Diameter | McMaster-Carr</t>
  </si>
  <si>
    <t>7/16" x 1/4"-20 UNC Tee Nut Insert</t>
  </si>
  <si>
    <t>Steel Tee Nut Inserts, 1/4"-20 Size, 0.485" Installed Length, 3/4" Flange Diameter | McMaster-Carr</t>
  </si>
  <si>
    <t>9/16" x 1/4"-20 UNC Tee Nut Insert</t>
  </si>
  <si>
    <t>Steel Tee Nut Inserts, 1/4"-20 Size, 0.61" Installed Length, 3/4" Flange Diameter | McMaster-Carr</t>
  </si>
  <si>
    <t>Mounting Plate Options</t>
  </si>
  <si>
    <t>Tee Nut</t>
  </si>
  <si>
    <t>Print File</t>
  </si>
  <si>
    <t>Hardware Link</t>
  </si>
  <si>
    <t>Small Plate - 5/16 Tee Nut</t>
  </si>
  <si>
    <t xml:space="preserve">5/16" x 1/4"-20 UNC Tee Nut </t>
  </si>
  <si>
    <t>45_Mounting_Plate_5.stl</t>
  </si>
  <si>
    <t>Hillman Tee Nuts, Zinc | Canadian Tire</t>
  </si>
  <si>
    <t>Small Plate - 7/16 Tee Nut</t>
  </si>
  <si>
    <t xml:space="preserve">7/16" x 1/4"-20 UNC Tee Nut </t>
  </si>
  <si>
    <t>45_Mounting_Plate_7.stl</t>
  </si>
  <si>
    <t>Small Plate - 9/16 Tee Nut</t>
  </si>
  <si>
    <t xml:space="preserve">9/16" x 1/4"-20 UNC Tee Nut </t>
  </si>
  <si>
    <t>45_Mounting_Plate_9.stl</t>
  </si>
  <si>
    <t>Medium Plate - 5/16 Tee Nut</t>
  </si>
  <si>
    <t>65_Mounting_Plate_5.stl</t>
  </si>
  <si>
    <t>65_Mounting_Plate_7.stl</t>
  </si>
  <si>
    <t>Medium Plate - 9/16 Tee Nut</t>
  </si>
  <si>
    <t>65_Mounting_Plate_9.stl</t>
  </si>
  <si>
    <t>Large Plate - 5/16 Tee Nut</t>
  </si>
  <si>
    <t>85_Mounting_Plate_5.stl</t>
  </si>
  <si>
    <t>Large Plate - 7/16 Tee Nut</t>
  </si>
  <si>
    <t>85_Mounting_Plate_7.stl</t>
  </si>
  <si>
    <t>Large Plate - 9/16 Tee Nut</t>
  </si>
  <si>
    <t>85_Mounting_Plate_9.stl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</si>
</sst>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.00_-;\-&quot;$&quot;* #,##0.00_-;_-&quot;$&quot;* &quot;-&quot;??_-;_-@_-"/>
    <numFmt numFmtId="165" formatCode="&quot;$&quot;#,##0.00"/>
    <numFmt numFmtId="166" formatCode="hh:mm:ss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99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  <xf numFmtId="0" fontId="10" fillId="9" borderId="12" applyNumberFormat="0" applyAlignment="0" applyProtection="0"/>
    <xf numFmtId="0" fontId="11" fillId="0" borderId="0" applyNumberFormat="0" applyFill="0" applyBorder="0" applyAlignment="0" applyProtection="0"/>
  </cellStyleXfs>
  <cellXfs count="45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0" fontId="0" fillId="5" borderId="1" xfId="0" applyFill="1" applyBorder="1"/>
    <xf numFmtId="0" fontId="6" fillId="0" borderId="0" xfId="5"/>
    <xf numFmtId="164" fontId="0" fillId="0" borderId="0" xfId="1" applyFont="1"/>
    <xf numFmtId="0" fontId="0" fillId="5" borderId="2" xfId="0" applyFill="1" applyBorder="1"/>
    <xf numFmtId="0" fontId="3" fillId="0" borderId="0" xfId="0" applyFont="1"/>
    <xf numFmtId="0" fontId="8" fillId="0" borderId="0" xfId="0" applyFont="1"/>
    <xf numFmtId="0" fontId="0" fillId="5" borderId="4" xfId="0" applyFill="1" applyBorder="1"/>
    <xf numFmtId="164" fontId="0" fillId="6" borderId="3" xfId="1" applyFont="1" applyFill="1" applyBorder="1"/>
    <xf numFmtId="0" fontId="0" fillId="5" borderId="6" xfId="0" applyFill="1" applyBorder="1"/>
    <xf numFmtId="0" fontId="0" fillId="0" borderId="7" xfId="0" applyBorder="1"/>
    <xf numFmtId="0" fontId="0" fillId="7" borderId="1" xfId="0" applyFill="1" applyBorder="1"/>
    <xf numFmtId="1" fontId="0" fillId="0" borderId="0" xfId="1" applyNumberFormat="1" applyFont="1"/>
    <xf numFmtId="164" fontId="0" fillId="0" borderId="0" xfId="0" applyNumberFormat="1"/>
    <xf numFmtId="164" fontId="0" fillId="7" borderId="8" xfId="1" applyFont="1" applyFill="1" applyBorder="1"/>
    <xf numFmtId="0" fontId="0" fillId="0" borderId="5" xfId="0" applyBorder="1"/>
    <xf numFmtId="0" fontId="3" fillId="0" borderId="11" xfId="0" applyFont="1" applyBorder="1"/>
    <xf numFmtId="0" fontId="0" fillId="0" borderId="11" xfId="0" applyBorder="1"/>
    <xf numFmtId="0" fontId="0" fillId="0" borderId="8" xfId="0" applyBorder="1"/>
    <xf numFmtId="0" fontId="0" fillId="7" borderId="6" xfId="0" applyFill="1" applyBorder="1"/>
    <xf numFmtId="165" fontId="0" fillId="0" borderId="0" xfId="0" applyNumberFormat="1"/>
    <xf numFmtId="0" fontId="0" fillId="0" borderId="0" xfId="0" applyAlignment="1">
      <alignment wrapText="1"/>
    </xf>
    <xf numFmtId="0" fontId="0" fillId="6" borderId="3" xfId="0" applyFill="1" applyBorder="1"/>
    <xf numFmtId="0" fontId="3" fillId="8" borderId="0" xfId="0" applyFont="1" applyFill="1"/>
    <xf numFmtId="2" fontId="12" fillId="3" borderId="0" xfId="3" applyNumberFormat="1" applyFont="1" applyAlignment="1">
      <alignment horizontal="center" vertical="center"/>
    </xf>
    <xf numFmtId="0" fontId="2" fillId="4" borderId="0" xfId="4" applyFont="1" applyAlignment="1">
      <alignment horizontal="center" vertical="center"/>
    </xf>
    <xf numFmtId="165" fontId="3" fillId="8" borderId="0" xfId="0" applyNumberFormat="1" applyFont="1" applyFill="1" applyAlignment="1">
      <alignment horizontal="center" vertical="center"/>
    </xf>
    <xf numFmtId="165" fontId="2" fillId="2" borderId="0" xfId="2" applyNumberFormat="1" applyFont="1" applyAlignment="1">
      <alignment horizontal="center" vertical="center"/>
    </xf>
    <xf numFmtId="0" fontId="10" fillId="9" borderId="12" xfId="6"/>
    <xf numFmtId="0" fontId="13" fillId="9" borderId="12" xfId="6" applyFont="1"/>
    <xf numFmtId="0" fontId="11" fillId="0" borderId="0" xfId="7"/>
    <xf numFmtId="166" fontId="0" fillId="0" borderId="0" xfId="0" applyNumberFormat="1"/>
    <xf numFmtId="0" fontId="0" fillId="0" borderId="0" xfId="0" applyAlignment="1">
      <alignment horizontal="left"/>
    </xf>
    <xf numFmtId="0" fontId="7" fillId="5" borderId="5" xfId="0" applyFont="1" applyFill="1" applyBorder="1" applyAlignment="1"/>
    <xf numFmtId="0" fontId="7" fillId="5" borderId="8" xfId="0" applyFont="1" applyFill="1" applyBorder="1" applyAlignment="1"/>
    <xf numFmtId="0" fontId="3" fillId="5" borderId="5" xfId="0" applyFont="1" applyFill="1" applyBorder="1" applyAlignment="1"/>
    <xf numFmtId="0" fontId="3" fillId="5" borderId="8" xfId="0" applyFont="1" applyFill="1" applyBorder="1" applyAlignment="1"/>
    <xf numFmtId="0" fontId="3" fillId="5" borderId="9" xfId="0" applyFont="1" applyFill="1" applyBorder="1" applyAlignment="1"/>
    <xf numFmtId="0" fontId="3" fillId="5" borderId="10" xfId="0" applyFont="1" applyFill="1" applyBorder="1" applyAlignment="1"/>
    <xf numFmtId="0" fontId="0" fillId="5" borderId="5" xfId="0" applyFill="1" applyBorder="1" applyAlignment="1"/>
    <xf numFmtId="0" fontId="0" fillId="5" borderId="8" xfId="0" applyFill="1" applyBorder="1" applyAlignment="1"/>
  </cellXfs>
  <cellStyles count="8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Input" xfId="6" builtinId="20"/>
    <cellStyle name="Normal" xfId="0" builtinId="0"/>
    <cellStyle name="Warning Text" xfId="7" builtinId="11"/>
  </cellStyles>
  <dxfs count="1">
    <dxf>
      <numFmt numFmtId="165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2F230B-04E3-4033-8067-4443599C5313}" name="Design_Specifications" displayName="Design_Specifications" ref="A1:I10" totalsRowShown="0">
  <autoFilter ref="A1:I10" xr:uid="{F42F230B-04E3-4033-8067-4443599C5313}"/>
  <tableColumns count="9">
    <tableColumn id="1" xr3:uid="{13FAD447-8759-413A-80C9-5AEC466CFD5A}" name="Mounting Plate Options"/>
    <tableColumn id="2" xr3:uid="{B4630A80-DD72-4359-9439-5990B4702492}" name="Tee Nut"/>
    <tableColumn id="3" xr3:uid="{9EFADCAF-1E66-403E-893E-5A6D4FFB11E7}" name="QTY/PKG"/>
    <tableColumn id="4" xr3:uid="{657F7918-C3A7-4ADF-A02F-D3C52434B72D}" name="$/PKG" dataDxfId="0"/>
    <tableColumn id="5" xr3:uid="{13964FC3-585B-4475-B71A-396EC9ECE54C}" name="PKG QTY"/>
    <tableColumn id="6" xr3:uid="{651A22CF-9E27-4B12-A0D8-BDA432693D3B}" name="Time / Unit"/>
    <tableColumn id="7" xr3:uid="{3ACDA75F-6FD0-4FB1-9AA8-9B2943CA90F7}" name="Mass (g) / Unit"/>
    <tableColumn id="8" xr3:uid="{DE3BADA9-C9F6-4567-9F4E-5FA45263FAB8}" name="Print File"/>
    <tableColumn id="9" xr3:uid="{CF8A7BC5-A223-4D90-B522-42A6788B9025}" name="Hardware Li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cmaster.com/90975A311/" TargetMode="External"/><Relationship Id="rId2" Type="http://schemas.openxmlformats.org/officeDocument/2006/relationships/hyperlink" Target="https://www.mcmaster.com/90975A307/" TargetMode="External"/><Relationship Id="rId1" Type="http://schemas.openxmlformats.org/officeDocument/2006/relationships/hyperlink" Target="https://www.mcmaster.com/90975A309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master.com/90975A311/" TargetMode="External"/><Relationship Id="rId3" Type="http://schemas.openxmlformats.org/officeDocument/2006/relationships/hyperlink" Target="https://www.mcmaster.com/90975A311/" TargetMode="External"/><Relationship Id="rId7" Type="http://schemas.openxmlformats.org/officeDocument/2006/relationships/hyperlink" Target="https://www.mcmaster.com/90975A309/" TargetMode="External"/><Relationship Id="rId2" Type="http://schemas.openxmlformats.org/officeDocument/2006/relationships/hyperlink" Target="https://www.mcmaster.com/90975A309/" TargetMode="External"/><Relationship Id="rId1" Type="http://schemas.openxmlformats.org/officeDocument/2006/relationships/hyperlink" Target="https://www.canadiantire.ca/en/pdp/hillman-tee-nuts-zinc-1612084p.1612085.html?loc=plp" TargetMode="External"/><Relationship Id="rId6" Type="http://schemas.openxmlformats.org/officeDocument/2006/relationships/hyperlink" Target="https://www.mcmaster.com/90975A309/" TargetMode="External"/><Relationship Id="rId5" Type="http://schemas.openxmlformats.org/officeDocument/2006/relationships/hyperlink" Target="https://www.canadiantire.ca/en/pdp/hillman-tee-nuts-zinc-1612084p.1612085.html?loc=plp" TargetMode="External"/><Relationship Id="rId10" Type="http://schemas.openxmlformats.org/officeDocument/2006/relationships/table" Target="../tables/table1.xml"/><Relationship Id="rId4" Type="http://schemas.openxmlformats.org/officeDocument/2006/relationships/hyperlink" Target="https://www.canadiantire.ca/en/pdp/hillman-tee-nuts-zinc-1612084p.1612085.html?loc=plp" TargetMode="External"/><Relationship Id="rId9" Type="http://schemas.openxmlformats.org/officeDocument/2006/relationships/hyperlink" Target="https://www.mcmaster.com/90975A31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"/>
  <sheetViews>
    <sheetView tabSelected="1" zoomScale="90" zoomScaleNormal="90" workbookViewId="0">
      <selection activeCell="C2" sqref="C2"/>
    </sheetView>
  </sheetViews>
  <sheetFormatPr defaultRowHeight="14.45"/>
  <cols>
    <col min="2" max="2" width="58.140625" customWidth="1"/>
    <col min="3" max="3" width="41.42578125" customWidth="1"/>
    <col min="4" max="4" width="4.42578125" bestFit="1" customWidth="1"/>
    <col min="5" max="5" width="12.7109375" bestFit="1" customWidth="1"/>
    <col min="6" max="6" width="10.85546875" bestFit="1" customWidth="1"/>
    <col min="7" max="7" width="8.42578125" bestFit="1" customWidth="1"/>
    <col min="8" max="8" width="15.5703125" bestFit="1" customWidth="1"/>
    <col min="9" max="9" width="14.85546875" bestFit="1" customWidth="1"/>
    <col min="10" max="10" width="9.7109375" bestFit="1" customWidth="1"/>
    <col min="11" max="11" width="17.42578125" bestFit="1" customWidth="1"/>
    <col min="12" max="12" width="17.7109375" bestFit="1" customWidth="1"/>
    <col min="13" max="13" width="12.28515625" bestFit="1" customWidth="1"/>
    <col min="14" max="14" width="89.85546875" bestFit="1" customWidth="1"/>
  </cols>
  <sheetData>
    <row r="1" spans="1:14" ht="36">
      <c r="A1" s="1" t="s">
        <v>0</v>
      </c>
      <c r="C1" s="33" t="s">
        <v>1</v>
      </c>
      <c r="E1" s="9" t="s">
        <v>2</v>
      </c>
      <c r="I1" s="27" t="s">
        <v>3</v>
      </c>
      <c r="J1" s="2" t="s">
        <v>4</v>
      </c>
      <c r="K1" s="3" t="s">
        <v>5</v>
      </c>
      <c r="L1" s="4" t="s">
        <v>6</v>
      </c>
    </row>
    <row r="2" spans="1:14" ht="18.600000000000001" thickBot="1">
      <c r="A2" s="10" t="s">
        <v>7</v>
      </c>
      <c r="B2" s="25"/>
      <c r="C2" s="32" t="s">
        <v>8</v>
      </c>
      <c r="I2" s="30">
        <f>SUM(I5:I6,I9:I12)</f>
        <v>0.66900000000000004</v>
      </c>
      <c r="J2" s="31">
        <f>SUM(J5:J7)+SUM(I9:I12)</f>
        <v>14.925000000000001</v>
      </c>
      <c r="K2" s="28">
        <f>SUM(H9:H10)/60</f>
        <v>2.2999999999999998</v>
      </c>
      <c r="L2" s="29">
        <f>SUM(E9:E11)</f>
        <v>21</v>
      </c>
    </row>
    <row r="3" spans="1:14" ht="16.149999999999999" thickBot="1">
      <c r="A3" s="37" t="s">
        <v>9</v>
      </c>
      <c r="B3" s="38"/>
      <c r="C3" s="34" t="s">
        <v>10</v>
      </c>
    </row>
    <row r="4" spans="1:14" ht="15" thickBot="1">
      <c r="A4" s="5" t="s">
        <v>11</v>
      </c>
      <c r="B4" s="5" t="s">
        <v>12</v>
      </c>
      <c r="C4" s="5" t="s">
        <v>13</v>
      </c>
      <c r="D4" s="5" t="s">
        <v>14</v>
      </c>
      <c r="E4" s="5" t="s">
        <v>15</v>
      </c>
      <c r="F4" s="5" t="s">
        <v>16</v>
      </c>
      <c r="G4" s="5" t="s">
        <v>17</v>
      </c>
      <c r="H4" s="5" t="s">
        <v>18</v>
      </c>
      <c r="I4" s="5" t="s">
        <v>19</v>
      </c>
      <c r="J4" s="5" t="s">
        <v>20</v>
      </c>
      <c r="K4" s="5" t="s">
        <v>21</v>
      </c>
      <c r="L4" s="5"/>
      <c r="M4" s="5"/>
    </row>
    <row r="5" spans="1:14">
      <c r="B5" t="str">
        <f>VLOOKUP(C2, Design_Specifications[], 2, 0)</f>
        <v xml:space="preserve">7/16" x 1/4"-20 UNC Tee Nut </v>
      </c>
      <c r="C5" t="s">
        <v>22</v>
      </c>
      <c r="D5">
        <v>1</v>
      </c>
      <c r="E5">
        <f>VLOOKUP(C2, Design_Specifications[], 3, 0)</f>
        <v>100</v>
      </c>
      <c r="F5" s="7">
        <f>VLOOKUP(C2, Design_Specifications[], 4, 0)</f>
        <v>14.4</v>
      </c>
      <c r="G5" s="16">
        <v>1</v>
      </c>
      <c r="H5" s="12">
        <f t="shared" ref="H5:I5" si="0">IF(E5&gt;0,F5/E5,0)</f>
        <v>0.14400000000000002</v>
      </c>
      <c r="I5" s="12">
        <f>H5*D5</f>
        <v>0.14400000000000002</v>
      </c>
      <c r="J5" s="17">
        <f>G5*F5</f>
        <v>14.4</v>
      </c>
      <c r="K5" s="6" t="str">
        <f>VLOOKUP(C2, Design_Specifications[], 9, 0)</f>
        <v>Steel Tee Nut Inserts, 1/4"-20 Size, 0.485" Installed Length, 3/4" Flange Diameter | McMaster-Carr</v>
      </c>
    </row>
    <row r="6" spans="1:14" ht="15" thickBot="1">
      <c r="C6" s="14"/>
    </row>
    <row r="7" spans="1:14" ht="15" thickBot="1">
      <c r="A7" s="39" t="s">
        <v>23</v>
      </c>
      <c r="B7" s="40"/>
      <c r="C7" s="18">
        <v>25</v>
      </c>
      <c r="F7" s="7"/>
      <c r="N7" s="6"/>
    </row>
    <row r="8" spans="1:14" ht="16.899999999999999" customHeight="1" thickBot="1">
      <c r="A8" t="s">
        <v>11</v>
      </c>
      <c r="B8" s="5" t="s">
        <v>24</v>
      </c>
      <c r="C8" s="13" t="s">
        <v>25</v>
      </c>
      <c r="D8" s="5" t="s">
        <v>14</v>
      </c>
      <c r="E8" s="5" t="s">
        <v>26</v>
      </c>
      <c r="F8" s="5" t="s">
        <v>27</v>
      </c>
      <c r="G8" s="5"/>
      <c r="H8" s="5" t="s">
        <v>28</v>
      </c>
      <c r="I8" s="11" t="s">
        <v>29</v>
      </c>
    </row>
    <row r="9" spans="1:14">
      <c r="B9" t="str">
        <f>VLOOKUP(C2, Design_Specifications[], 8, 0)</f>
        <v>65_Mounting_Plate_7.stl</v>
      </c>
      <c r="C9" t="s">
        <v>30</v>
      </c>
      <c r="D9">
        <v>1</v>
      </c>
      <c r="E9">
        <f>VLOOKUP(C2, Design_Specifications[], 7, 0)</f>
        <v>19</v>
      </c>
      <c r="F9">
        <f>VLOOKUP(C2, Design_Specifications[], 6, 0)</f>
        <v>128</v>
      </c>
      <c r="H9" s="26">
        <f>D9*F9</f>
        <v>128</v>
      </c>
      <c r="I9" s="12">
        <f>(E9/1000)*$C$7</f>
        <v>0.47499999999999998</v>
      </c>
      <c r="L9" s="35"/>
      <c r="N9" s="36">
        <f>INT(H9/60)</f>
        <v>2</v>
      </c>
    </row>
    <row r="10" spans="1:14">
      <c r="B10" t="s">
        <v>31</v>
      </c>
      <c r="C10" t="s">
        <v>30</v>
      </c>
      <c r="D10">
        <v>1</v>
      </c>
      <c r="E10">
        <v>1</v>
      </c>
      <c r="F10">
        <v>10</v>
      </c>
      <c r="H10" s="26">
        <f t="shared" ref="H10:H11" si="1">D10*F10</f>
        <v>10</v>
      </c>
      <c r="I10" s="12">
        <f>(E10/1000)*$C$7</f>
        <v>2.5000000000000001E-2</v>
      </c>
    </row>
    <row r="11" spans="1:14">
      <c r="B11" t="s">
        <v>32</v>
      </c>
      <c r="C11" t="s">
        <v>30</v>
      </c>
      <c r="D11">
        <v>1</v>
      </c>
      <c r="E11">
        <v>1</v>
      </c>
      <c r="F11">
        <v>5</v>
      </c>
      <c r="H11" s="26">
        <f t="shared" si="1"/>
        <v>5</v>
      </c>
      <c r="I11" s="12">
        <f>(E11/1000)*$C$7</f>
        <v>2.5000000000000001E-2</v>
      </c>
      <c r="N11" s="36">
        <f>H9 - 60*N9</f>
        <v>8</v>
      </c>
    </row>
    <row r="12" spans="1:14" ht="15" thickBot="1">
      <c r="H12" s="26"/>
      <c r="I12" s="12"/>
    </row>
    <row r="13" spans="1:14" ht="15" thickBot="1">
      <c r="A13" s="41" t="s">
        <v>33</v>
      </c>
      <c r="B13" s="42"/>
    </row>
    <row r="14" spans="1:14" ht="15" thickBot="1">
      <c r="A14" s="19" t="s">
        <v>11</v>
      </c>
      <c r="B14" s="20" t="s">
        <v>24</v>
      </c>
      <c r="C14" s="21"/>
      <c r="D14" s="21" t="s">
        <v>14</v>
      </c>
      <c r="E14" s="21"/>
      <c r="F14" s="21"/>
      <c r="G14" s="21"/>
      <c r="H14" s="21"/>
      <c r="I14" s="21"/>
      <c r="J14" s="21"/>
      <c r="K14" s="22"/>
    </row>
    <row r="15" spans="1:14" ht="15" thickBot="1">
      <c r="B15" t="s">
        <v>34</v>
      </c>
    </row>
    <row r="16" spans="1:14" ht="15" thickBot="1">
      <c r="A16" s="39" t="s">
        <v>35</v>
      </c>
      <c r="B16" s="40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1:14">
      <c r="B17" t="s">
        <v>36</v>
      </c>
    </row>
    <row r="18" spans="1:14">
      <c r="B18" t="s">
        <v>37</v>
      </c>
    </row>
    <row r="19" spans="1:14">
      <c r="B19" t="s">
        <v>38</v>
      </c>
    </row>
    <row r="20" spans="1:14" ht="15" thickBot="1"/>
    <row r="21" spans="1:14" ht="15" thickBot="1">
      <c r="A21" s="43" t="s">
        <v>39</v>
      </c>
      <c r="B21" s="44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</row>
    <row r="22" spans="1:14" ht="15" thickBot="1">
      <c r="A22" s="15" t="s">
        <v>11</v>
      </c>
      <c r="B22" s="23" t="s">
        <v>40</v>
      </c>
      <c r="C22" s="15"/>
      <c r="D22" s="5" t="s">
        <v>14</v>
      </c>
      <c r="E22" s="5" t="s">
        <v>15</v>
      </c>
      <c r="F22" s="5" t="s">
        <v>16</v>
      </c>
      <c r="G22" s="5" t="s">
        <v>17</v>
      </c>
      <c r="H22" s="5" t="s">
        <v>18</v>
      </c>
      <c r="I22" s="15"/>
      <c r="J22" s="15"/>
      <c r="K22" s="15" t="s">
        <v>21</v>
      </c>
    </row>
    <row r="23" spans="1:14">
      <c r="B23" t="s">
        <v>41</v>
      </c>
      <c r="D23">
        <v>1</v>
      </c>
      <c r="E23">
        <v>100</v>
      </c>
      <c r="F23" s="24">
        <v>15.43</v>
      </c>
      <c r="G23">
        <v>1</v>
      </c>
      <c r="H23" s="24">
        <f>IF(E23&gt;0,F23/E23,0)</f>
        <v>0.15429999999999999</v>
      </c>
      <c r="K23" s="6" t="s">
        <v>42</v>
      </c>
    </row>
    <row r="24" spans="1:14">
      <c r="B24" t="s">
        <v>43</v>
      </c>
      <c r="D24">
        <v>1</v>
      </c>
      <c r="E24">
        <v>100</v>
      </c>
      <c r="F24" s="24">
        <v>14.4</v>
      </c>
      <c r="G24">
        <v>1</v>
      </c>
      <c r="H24" s="24">
        <f t="shared" ref="H24:H25" si="2">IF(E24&gt;0,F24/E24,0)</f>
        <v>0.14400000000000002</v>
      </c>
      <c r="K24" s="6" t="s">
        <v>44</v>
      </c>
    </row>
    <row r="25" spans="1:14">
      <c r="B25" t="s">
        <v>45</v>
      </c>
      <c r="D25">
        <v>1</v>
      </c>
      <c r="E25">
        <v>50</v>
      </c>
      <c r="F25" s="24">
        <v>8.17</v>
      </c>
      <c r="G25">
        <v>1</v>
      </c>
      <c r="H25" s="24">
        <f t="shared" si="2"/>
        <v>0.16339999999999999</v>
      </c>
      <c r="K25" s="6" t="s">
        <v>46</v>
      </c>
    </row>
  </sheetData>
  <mergeCells count="5">
    <mergeCell ref="A3:B3"/>
    <mergeCell ref="A7:B7"/>
    <mergeCell ref="A13:B13"/>
    <mergeCell ref="A16:B16"/>
    <mergeCell ref="A21:B21"/>
  </mergeCells>
  <hyperlinks>
    <hyperlink ref="K24" r:id="rId1" display="https://www.mcmaster.com/90975A309/" xr:uid="{6CA4FE9A-EF1F-4C89-A16E-26EE29983C6B}"/>
    <hyperlink ref="K23" r:id="rId2" display="https://www.mcmaster.com/90975A307/" xr:uid="{8E5F5A23-C268-4028-A74B-DAE55652B072}"/>
    <hyperlink ref="K25" r:id="rId3" display="https://www.mcmaster.com/90975A311/" xr:uid="{F8CFCF9E-AD78-4794-A8B4-34BC5797A081}"/>
  </hyperlinks>
  <pageMargins left="0.7" right="0.7" top="0.75" bottom="0.75" header="0.3" footer="0.3"/>
  <pageSetup orientation="portrait"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5395F0C-AA55-4B72-B6DB-2BB0C0841067}">
          <x14:formula1>
            <xm:f>'Device Option Details'!$A$2:$A$10</xm:f>
          </x14:formula1>
          <xm:sqref>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9BC25-65EA-4FEA-985F-30974CBB0850}">
  <dimension ref="A1:I22"/>
  <sheetViews>
    <sheetView workbookViewId="0">
      <selection activeCell="I2" sqref="I2"/>
    </sheetView>
  </sheetViews>
  <sheetFormatPr defaultRowHeight="14.45"/>
  <cols>
    <col min="1" max="1" width="24.7109375" bestFit="1" customWidth="1"/>
    <col min="2" max="2" width="25.5703125" bestFit="1" customWidth="1"/>
    <col min="3" max="3" width="15.28515625" bestFit="1" customWidth="1"/>
    <col min="5" max="5" width="10.140625" customWidth="1"/>
    <col min="6" max="6" width="12.7109375" bestFit="1" customWidth="1"/>
    <col min="7" max="7" width="15.28515625" customWidth="1"/>
    <col min="8" max="8" width="21.7109375" bestFit="1" customWidth="1"/>
    <col min="9" max="9" width="82.140625" bestFit="1" customWidth="1"/>
  </cols>
  <sheetData>
    <row r="1" spans="1:9">
      <c r="A1" t="s">
        <v>47</v>
      </c>
      <c r="B1" t="s">
        <v>48</v>
      </c>
      <c r="C1" t="s">
        <v>15</v>
      </c>
      <c r="D1" t="s">
        <v>16</v>
      </c>
      <c r="E1" t="s">
        <v>17</v>
      </c>
      <c r="F1" t="s">
        <v>27</v>
      </c>
      <c r="G1" t="s">
        <v>26</v>
      </c>
      <c r="H1" t="s">
        <v>49</v>
      </c>
      <c r="I1" t="s">
        <v>50</v>
      </c>
    </row>
    <row r="2" spans="1:9">
      <c r="A2" t="s">
        <v>51</v>
      </c>
      <c r="B2" t="s">
        <v>52</v>
      </c>
      <c r="C2">
        <v>1</v>
      </c>
      <c r="D2" s="24">
        <v>2.79</v>
      </c>
      <c r="E2">
        <v>1</v>
      </c>
      <c r="F2">
        <v>69</v>
      </c>
      <c r="G2">
        <v>9</v>
      </c>
      <c r="H2" t="s">
        <v>53</v>
      </c>
      <c r="I2" s="6" t="s">
        <v>54</v>
      </c>
    </row>
    <row r="3" spans="1:9">
      <c r="A3" t="s">
        <v>55</v>
      </c>
      <c r="B3" t="s">
        <v>56</v>
      </c>
      <c r="C3">
        <v>100</v>
      </c>
      <c r="D3" s="24">
        <v>14.4</v>
      </c>
      <c r="E3">
        <v>1</v>
      </c>
      <c r="F3">
        <v>73</v>
      </c>
      <c r="G3">
        <v>10</v>
      </c>
      <c r="H3" t="s">
        <v>57</v>
      </c>
      <c r="I3" s="6" t="s">
        <v>44</v>
      </c>
    </row>
    <row r="4" spans="1:9">
      <c r="A4" t="s">
        <v>58</v>
      </c>
      <c r="B4" t="s">
        <v>59</v>
      </c>
      <c r="C4">
        <v>50</v>
      </c>
      <c r="D4" s="24">
        <v>8.17</v>
      </c>
      <c r="E4">
        <v>1</v>
      </c>
      <c r="F4">
        <v>79</v>
      </c>
      <c r="G4">
        <v>11</v>
      </c>
      <c r="H4" t="s">
        <v>60</v>
      </c>
      <c r="I4" s="6" t="s">
        <v>46</v>
      </c>
    </row>
    <row r="5" spans="1:9">
      <c r="A5" t="s">
        <v>61</v>
      </c>
      <c r="B5" t="s">
        <v>52</v>
      </c>
      <c r="C5">
        <v>1</v>
      </c>
      <c r="D5" s="24">
        <v>2.79</v>
      </c>
      <c r="E5">
        <v>1</v>
      </c>
      <c r="F5">
        <v>134</v>
      </c>
      <c r="G5">
        <v>17</v>
      </c>
      <c r="H5" t="s">
        <v>62</v>
      </c>
      <c r="I5" s="6" t="s">
        <v>54</v>
      </c>
    </row>
    <row r="6" spans="1:9">
      <c r="A6" t="s">
        <v>8</v>
      </c>
      <c r="B6" t="s">
        <v>56</v>
      </c>
      <c r="C6">
        <v>100</v>
      </c>
      <c r="D6" s="24">
        <v>14.4</v>
      </c>
      <c r="E6">
        <v>1</v>
      </c>
      <c r="F6">
        <v>128</v>
      </c>
      <c r="G6">
        <v>19</v>
      </c>
      <c r="H6" t="s">
        <v>63</v>
      </c>
      <c r="I6" s="6" t="s">
        <v>44</v>
      </c>
    </row>
    <row r="7" spans="1:9">
      <c r="A7" t="s">
        <v>64</v>
      </c>
      <c r="B7" t="s">
        <v>59</v>
      </c>
      <c r="C7">
        <v>50</v>
      </c>
      <c r="D7" s="24">
        <v>8.17</v>
      </c>
      <c r="E7">
        <v>1</v>
      </c>
      <c r="F7">
        <v>137</v>
      </c>
      <c r="G7">
        <v>21</v>
      </c>
      <c r="H7" t="s">
        <v>65</v>
      </c>
      <c r="I7" s="6" t="s">
        <v>46</v>
      </c>
    </row>
    <row r="8" spans="1:9">
      <c r="A8" t="s">
        <v>66</v>
      </c>
      <c r="B8" t="s">
        <v>52</v>
      </c>
      <c r="C8">
        <v>1</v>
      </c>
      <c r="D8" s="24">
        <v>2.79</v>
      </c>
      <c r="E8">
        <v>1</v>
      </c>
      <c r="F8">
        <v>199</v>
      </c>
      <c r="G8">
        <v>27</v>
      </c>
      <c r="H8" t="s">
        <v>67</v>
      </c>
      <c r="I8" s="6" t="s">
        <v>54</v>
      </c>
    </row>
    <row r="9" spans="1:9">
      <c r="A9" t="s">
        <v>68</v>
      </c>
      <c r="B9" t="s">
        <v>56</v>
      </c>
      <c r="C9">
        <v>100</v>
      </c>
      <c r="D9" s="24">
        <v>14.4</v>
      </c>
      <c r="E9">
        <v>1</v>
      </c>
      <c r="F9">
        <v>217</v>
      </c>
      <c r="G9">
        <v>30</v>
      </c>
      <c r="H9" t="s">
        <v>69</v>
      </c>
      <c r="I9" s="6" t="s">
        <v>44</v>
      </c>
    </row>
    <row r="10" spans="1:9">
      <c r="A10" t="s">
        <v>70</v>
      </c>
      <c r="B10" t="s">
        <v>59</v>
      </c>
      <c r="C10">
        <v>50</v>
      </c>
      <c r="D10" s="24">
        <v>8.17</v>
      </c>
      <c r="E10">
        <v>1</v>
      </c>
      <c r="F10">
        <v>237</v>
      </c>
      <c r="G10">
        <v>33</v>
      </c>
      <c r="H10" t="s">
        <v>71</v>
      </c>
      <c r="I10" s="6" t="s">
        <v>46</v>
      </c>
    </row>
    <row r="20" spans="6:6">
      <c r="F20" s="24"/>
    </row>
    <row r="21" spans="6:6">
      <c r="F21" s="24"/>
    </row>
    <row r="22" spans="6:6">
      <c r="F22" s="24"/>
    </row>
  </sheetData>
  <hyperlinks>
    <hyperlink ref="I2" r:id="rId1" display="https://www.canadiantire.ca/en/pdp/hillman-tee-nuts-zinc-1612084p.1612085.html?loc=plp" xr:uid="{6382D8D0-0467-4FB0-9616-EB5D27291027}"/>
    <hyperlink ref="I3" r:id="rId2" display="https://www.mcmaster.com/90975A309/" xr:uid="{D6F699BB-7EFD-4629-BDD0-5768F676A42A}"/>
    <hyperlink ref="I4" r:id="rId3" display="https://www.mcmaster.com/90975A311/" xr:uid="{2A795ED4-235A-4380-B3FE-6AE3BFA1AEB8}"/>
    <hyperlink ref="I5" r:id="rId4" display="https://www.canadiantire.ca/en/pdp/hillman-tee-nuts-zinc-1612084p.1612085.html?loc=plp" xr:uid="{9991D7CD-BFA1-4B77-BE70-89CBFB4DF75C}"/>
    <hyperlink ref="I8" r:id="rId5" display="https://www.canadiantire.ca/en/pdp/hillman-tee-nuts-zinc-1612084p.1612085.html?loc=plp" xr:uid="{B81587EC-DFCA-4EE0-B063-2A82118DA42C}"/>
    <hyperlink ref="I6" r:id="rId6" display="https://www.mcmaster.com/90975A309/" xr:uid="{4739BF3D-2958-4E8E-BFAE-9204455E92B8}"/>
    <hyperlink ref="I9" r:id="rId7" display="https://www.mcmaster.com/90975A309/" xr:uid="{C7939E90-76CD-441B-B36B-1CFD21EA7068}"/>
    <hyperlink ref="I7" r:id="rId8" display="https://www.mcmaster.com/90975A311/" xr:uid="{39E938DA-B9A2-436D-893E-C091C4BD1D3D}"/>
    <hyperlink ref="I10" r:id="rId9" display="https://www.mcmaster.com/90975A311/" xr:uid="{0EDBEC53-D438-4E04-A0F6-955EE27090CC}"/>
  </hyperlinks>
  <pageMargins left="0.7" right="0.7" top="0.75" bottom="0.75" header="0.3" footer="0.3"/>
  <tableParts count="1">
    <tablePart r:id="rId10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8b325e6-602c-452a-8617-173bf47082c5" xsi:nil="true"/>
    <lcf76f155ced4ddcb4097134ff3c332f xmlns="8cf100d1-0775-4feb-8634-62999c4541bc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6CAEA290209545A9F8681F83603874" ma:contentTypeVersion="16" ma:contentTypeDescription="Create a new document." ma:contentTypeScope="" ma:versionID="d27786a72e09a52c769a64d5f7eeaa24">
  <xsd:schema xmlns:xsd="http://www.w3.org/2001/XMLSchema" xmlns:xs="http://www.w3.org/2001/XMLSchema" xmlns:p="http://schemas.microsoft.com/office/2006/metadata/properties" xmlns:ns2="8cf100d1-0775-4feb-8634-62999c4541bc" xmlns:ns3="38b325e6-602c-452a-8617-173bf47082c5" targetNamespace="http://schemas.microsoft.com/office/2006/metadata/properties" ma:root="true" ma:fieldsID="03ae89856d271009074f70b56337b48d" ns2:_="" ns3:_="">
    <xsd:import namespace="8cf100d1-0775-4feb-8634-62999c4541bc"/>
    <xsd:import namespace="38b325e6-602c-452a-8617-173bf47082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100d1-0775-4feb-8634-62999c4541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325e6-602c-452a-8617-173bf47082c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a4f962d-b49e-4e9c-aab6-6f9508495272}" ma:internalName="TaxCatchAll" ma:showField="CatchAllData" ma:web="38b325e6-602c-452a-8617-173bf47082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740145F-09D2-466B-B9A2-2798696B0ADF}"/>
</file>

<file path=customXml/itemProps2.xml><?xml version="1.0" encoding="utf-8"?>
<ds:datastoreItem xmlns:ds="http://schemas.openxmlformats.org/officeDocument/2006/customXml" ds:itemID="{E4958292-C6C4-482B-887A-6CF9FB19AB74}"/>
</file>

<file path=customXml/itemProps3.xml><?xml version="1.0" encoding="utf-8"?>
<ds:datastoreItem xmlns:ds="http://schemas.openxmlformats.org/officeDocument/2006/customXml" ds:itemID="{99BECD52-63A8-454F-82E6-6195B786F95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Brad Wellington</cp:lastModifiedBy>
  <cp:revision/>
  <dcterms:created xsi:type="dcterms:W3CDTF">2021-04-20T01:54:08Z</dcterms:created>
  <dcterms:modified xsi:type="dcterms:W3CDTF">2023-03-09T23:55:42Z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0x010100456CAEA290209545A9F8681F83603874</vt:lpwstr>
  </property>
  <property fmtid="{D5CDD505-2E9C-101B-9397-08002B2CF9AE}" pid="3" name="MediaServiceImageTags">
    <vt:lpwstr/>
  </property>
</Properties>
</file>