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F8455EC-257B-464D-A00D-177BA7914B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отрудники" sheetId="2" r:id="rId1"/>
    <sheet name="Авто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3" l="1"/>
  <c r="H28" i="3"/>
  <c r="G28" i="3"/>
  <c r="F28" i="3"/>
  <c r="E28" i="3"/>
  <c r="D28" i="3"/>
  <c r="J28" i="3" s="1"/>
  <c r="K23" i="3" s="1"/>
  <c r="I21" i="3"/>
  <c r="H21" i="3"/>
  <c r="G21" i="3"/>
  <c r="F21" i="3"/>
  <c r="E21" i="3"/>
  <c r="J21" i="3" s="1"/>
  <c r="K17" i="3" s="1"/>
  <c r="D21" i="3"/>
  <c r="I15" i="3"/>
  <c r="H15" i="3"/>
  <c r="J15" i="3" s="1"/>
  <c r="G15" i="3"/>
  <c r="F15" i="3"/>
  <c r="E15" i="3"/>
  <c r="D15" i="3"/>
  <c r="L15" i="3" s="1"/>
  <c r="G8" i="3"/>
  <c r="C8" i="3"/>
  <c r="G1" i="3"/>
  <c r="D8" i="3" s="1"/>
  <c r="D3" i="2"/>
  <c r="D4" i="2"/>
  <c r="D5" i="2"/>
  <c r="D6" i="2"/>
  <c r="D7" i="2"/>
  <c r="D8" i="2"/>
  <c r="D9" i="2"/>
  <c r="D2" i="2"/>
  <c r="C3" i="2"/>
  <c r="C4" i="2"/>
  <c r="C5" i="2"/>
  <c r="C6" i="2"/>
  <c r="C7" i="2"/>
  <c r="C8" i="2"/>
  <c r="C9" i="2"/>
  <c r="C2" i="2"/>
  <c r="B3" i="2"/>
  <c r="B4" i="2"/>
  <c r="B5" i="2"/>
  <c r="B6" i="2"/>
  <c r="B7" i="2"/>
  <c r="B8" i="2"/>
  <c r="B9" i="2"/>
  <c r="B2" i="2"/>
  <c r="A3" i="2"/>
  <c r="H3" i="2" s="1"/>
  <c r="A4" i="2"/>
  <c r="H4" i="2" s="1"/>
  <c r="A5" i="2"/>
  <c r="H5" i="2" s="1"/>
  <c r="A6" i="2"/>
  <c r="G6" i="2" s="1"/>
  <c r="A7" i="2"/>
  <c r="G7" i="2" s="1"/>
  <c r="A8" i="2"/>
  <c r="A9" i="2"/>
  <c r="I9" i="2" s="1"/>
  <c r="G8" i="2"/>
  <c r="A2" i="2"/>
  <c r="I2" i="2" s="1"/>
  <c r="G9" i="2"/>
  <c r="H9" i="2"/>
  <c r="B23" i="3" l="1"/>
  <c r="B17" i="3"/>
  <c r="B10" i="3"/>
  <c r="H1" i="3"/>
  <c r="J1" i="3"/>
  <c r="K15" i="3"/>
  <c r="K10" i="3" s="1"/>
  <c r="H6" i="2"/>
  <c r="I6" i="2"/>
  <c r="I5" i="2"/>
  <c r="G5" i="2"/>
  <c r="G2" i="2"/>
  <c r="G3" i="2"/>
  <c r="I4" i="2"/>
  <c r="G4" i="2"/>
  <c r="I8" i="2"/>
  <c r="H8" i="2"/>
  <c r="I7" i="2"/>
  <c r="H7" i="2"/>
  <c r="I3" i="2"/>
  <c r="H2" i="2"/>
  <c r="A17" i="2"/>
  <c r="E2" i="2" s="1"/>
  <c r="H8" i="3" l="1" a="1"/>
  <c r="H8" i="3" s="1"/>
  <c r="I8" i="3" s="1"/>
  <c r="H30" i="3" s="1"/>
  <c r="F2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<sst xmlns="http://schemas.openxmlformats.org/spreadsheetml/2006/main" count="82" uniqueCount="59">
  <si>
    <t>Таможенная пошлина (евро)</t>
  </si>
  <si>
    <t>Таможенная пошлина (руб)</t>
  </si>
  <si>
    <t>год</t>
  </si>
  <si>
    <t>до 1000 см</t>
  </si>
  <si>
    <t>1800-2300</t>
  </si>
  <si>
    <t>2300-3000</t>
  </si>
  <si>
    <t>более 3000</t>
  </si>
  <si>
    <t>по тарифу от объема</t>
  </si>
  <si>
    <t>Год рождения</t>
  </si>
  <si>
    <t>Месяц рождения</t>
  </si>
  <si>
    <t>Год приема</t>
  </si>
  <si>
    <t>Возраст</t>
  </si>
  <si>
    <t>Стаж</t>
  </si>
  <si>
    <t>Сегодня</t>
  </si>
  <si>
    <t>В годах</t>
  </si>
  <si>
    <t>25 лет</t>
  </si>
  <si>
    <t>30 лет</t>
  </si>
  <si>
    <t>40 лет</t>
  </si>
  <si>
    <t>Год</t>
  </si>
  <si>
    <t>курс евро</t>
  </si>
  <si>
    <t>руб. за евро</t>
  </si>
  <si>
    <t>"возраст "</t>
  </si>
  <si>
    <t>объем двигателя</t>
  </si>
  <si>
    <t>Таможен ная</t>
  </si>
  <si>
    <t>год выпуска</t>
  </si>
  <si>
    <t>автомобиля</t>
  </si>
  <si>
    <t>(куб.см)</t>
  </si>
  <si>
    <t>стоимос ть (евро)</t>
  </si>
  <si>
    <t>Стоимость (руб)</t>
  </si>
  <si>
    <t>до 8500</t>
  </si>
  <si>
    <t>8500-</t>
  </si>
  <si>
    <t>16700-</t>
  </si>
  <si>
    <t>42300-</t>
  </si>
  <si>
    <t>84500-</t>
  </si>
  <si>
    <t>более 169000 €</t>
  </si>
  <si>
    <t>←Здесь евро</t>
  </si>
  <si>
    <t>новый</t>
  </si>
  <si>
    <t>€</t>
  </si>
  <si>
    <t>(не старше 3-х лет)</t>
  </si>
  <si>
    <t>по тарифу от стоимости</t>
  </si>
  <si>
    <t>евро за 1 куб. см</t>
  </si>
  <si>
    <t>7,5 евро за</t>
  </si>
  <si>
    <t>15 евро за 1 куб. см</t>
  </si>
  <si>
    <t>20 евро за 1 куб. см</t>
  </si>
  <si>
    <t>тамож. стоимости</t>
  </si>
  <si>
    <t>1 куб. см</t>
  </si>
  <si>
    <t>1000-</t>
  </si>
  <si>
    <t>1500-</t>
  </si>
  <si>
    <t>←Здесь куб.см.</t>
  </si>
  <si>
    <t>от 3-х</t>
  </si>
  <si>
    <t>до 5 лет</t>
  </si>
  <si>
    <t>20 евро за 1 куб.см</t>
  </si>
  <si>
    <t>старше</t>
  </si>
  <si>
    <t>4,8 евро за</t>
  </si>
  <si>
    <t>5 евро за 1 куб. см</t>
  </si>
  <si>
    <t>5,7 евро за 1 куб. см</t>
  </si>
  <si>
    <t>5 лет</t>
  </si>
  <si>
    <t xml:space="preserve">Итог </t>
  </si>
  <si>
    <t>дата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</si>
</sst>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\ [$€-1];[Red]\-#,##0\ [$€-1]"/>
  </numFmts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9"/>
      <color rgb="FF0000FF"/>
      <name val="Times New Roman"/>
      <family val="1"/>
      <charset val="204"/>
    </font>
    <font>
      <b/>
      <sz val="9.5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b/>
      <i/>
      <sz val="9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C0C0C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/>
    <xf numFmtId="0" fontId="2" fillId="0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1" xfId="0" applyNumberFormat="1" applyBorder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14" fontId="3" fillId="3" borderId="3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 indent="15"/>
    </xf>
    <xf numFmtId="0" fontId="4" fillId="2" borderId="2" xfId="0" applyFont="1" applyFill="1" applyBorder="1" applyAlignment="1">
      <alignment horizontal="right" vertical="center" wrapText="1" indent="15"/>
    </xf>
    <xf numFmtId="0" fontId="3" fillId="3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64" fontId="3" fillId="3" borderId="8" xfId="0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left" vertical="center" wrapText="1" indent="1"/>
    </xf>
    <xf numFmtId="0" fontId="8" fillId="2" borderId="9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165" fontId="8" fillId="4" borderId="8" xfId="0" applyNumberFormat="1" applyFont="1" applyFill="1" applyBorder="1" applyAlignment="1">
      <alignment vertical="center" wrapText="1"/>
    </xf>
    <xf numFmtId="165" fontId="8" fillId="4" borderId="8" xfId="0" applyNumberFormat="1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 wrapText="1" indent="5"/>
    </xf>
    <xf numFmtId="0" fontId="8" fillId="4" borderId="9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9" fontId="8" fillId="4" borderId="2" xfId="0" applyNumberFormat="1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 indent="1"/>
    </xf>
    <xf numFmtId="0" fontId="8" fillId="4" borderId="2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8" fillId="4" borderId="5" xfId="0" applyFont="1" applyFill="1" applyBorder="1" applyAlignment="1">
      <alignment horizontal="left" vertical="center" wrapText="1" indent="1"/>
    </xf>
    <xf numFmtId="0" fontId="8" fillId="4" borderId="6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5"/>
    </xf>
    <xf numFmtId="0" fontId="8" fillId="4" borderId="5" xfId="0" applyFont="1" applyFill="1" applyBorder="1" applyAlignment="1">
      <alignment horizontal="left" vertical="center" wrapText="1" indent="2"/>
    </xf>
    <xf numFmtId="0" fontId="8" fillId="4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 wrapText="1" indent="2"/>
    </xf>
    <xf numFmtId="0" fontId="8" fillId="4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 wrapText="1" indent="6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3" fillId="3" borderId="6" xfId="0" applyFont="1" applyFill="1" applyBorder="1" applyAlignment="1">
      <alignment vertical="center" wrapText="1"/>
    </xf>
    <xf numFmtId="0" fontId="12" fillId="2" borderId="0" xfId="0" applyFont="1" applyFill="1" applyAlignment="1">
      <alignment horizontal="right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3" fillId="7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A29" sqref="A29"/>
    </sheetView>
  </sheetViews>
  <sheetFormatPr defaultRowHeight="14.4" x14ac:dyDescent="0.3"/>
  <cols>
    <col min="1" max="1" width="10.33203125" customWidth="1"/>
    <col min="2" max="2" width="10.6640625" customWidth="1"/>
    <col min="3" max="3" width="11.5546875" customWidth="1"/>
    <col min="4" max="4" width="10.33203125" bestFit="1" customWidth="1"/>
    <col min="5" max="5" width="10.109375" bestFit="1" customWidth="1"/>
  </cols>
  <sheetData>
    <row r="1" spans="1:9" ht="28.8" x14ac:dyDescent="0.3">
      <c r="A1" s="4" t="s">
        <v>8</v>
      </c>
      <c r="B1" s="4" t="s">
        <v>9</v>
      </c>
      <c r="C1" s="4" t="s">
        <v>10</v>
      </c>
      <c r="D1" s="5" t="s">
        <v>11</v>
      </c>
      <c r="E1" s="5" t="s">
        <v>12</v>
      </c>
      <c r="F1" s="4" t="s">
        <v>14</v>
      </c>
      <c r="G1" s="7" t="s">
        <v>15</v>
      </c>
      <c r="H1" s="7" t="s">
        <v>16</v>
      </c>
      <c r="I1" s="7" t="s">
        <v>17</v>
      </c>
    </row>
    <row r="2" spans="1:9" x14ac:dyDescent="0.3">
      <c r="A2" s="6">
        <f>YEAR(A21)</f>
        <v>1988</v>
      </c>
      <c r="B2" s="1" t="str">
        <f>TEXT(A21,"ММММ")</f>
        <v>апрель</v>
      </c>
      <c r="C2" s="6">
        <f>YEAR(C21)</f>
        <v>2018</v>
      </c>
      <c r="D2" s="9">
        <f ca="1">(TODAY()-A21)/365</f>
        <v>35.512328767123286</v>
      </c>
      <c r="E2" s="6">
        <f ca="1">$A$17-C21</f>
        <v>2047</v>
      </c>
      <c r="F2" s="1">
        <f ca="1">INT(E2/365)</f>
        <v>5</v>
      </c>
      <c r="G2" s="1" t="str">
        <f>IF(A2=25,"да","нет")</f>
        <v>нет</v>
      </c>
      <c r="H2" s="1" t="str">
        <f>IF(A2=30,"да","нет")</f>
        <v>нет</v>
      </c>
      <c r="I2" s="1" t="str">
        <f>IF(A2=40,"да","нет")</f>
        <v>нет</v>
      </c>
    </row>
    <row r="3" spans="1:9" x14ac:dyDescent="0.3">
      <c r="A3" s="6">
        <f t="shared" ref="A3:A9" si="0">YEAR(A22)</f>
        <v>1994</v>
      </c>
      <c r="B3" s="1" t="str">
        <f t="shared" ref="B3:B9" si="1">TEXT(A22,"ММММ")</f>
        <v>декабрь</v>
      </c>
      <c r="C3" s="6">
        <f t="shared" ref="C3:C9" si="2">YEAR(C22)</f>
        <v>2019</v>
      </c>
      <c r="D3" s="9">
        <f t="shared" ref="D3:D9" ca="1" si="3">(TODAY()-A22)/365</f>
        <v>28.816438356164383</v>
      </c>
      <c r="E3" s="6">
        <f t="shared" ref="E3:E9" ca="1" si="4">$A$17-C22</f>
        <v>1481</v>
      </c>
      <c r="F3" s="1">
        <f t="shared" ref="F3:F9" ca="1" si="5">INT(E3/365)</f>
        <v>4</v>
      </c>
      <c r="G3" s="1" t="str">
        <f>IF(A3=25,"да","нет")</f>
        <v>нет</v>
      </c>
      <c r="H3" s="1" t="str">
        <f t="shared" ref="H3:H9" si="6">IF(A3=30,"да","нет")</f>
        <v>нет</v>
      </c>
      <c r="I3" s="1" t="str">
        <f t="shared" ref="I3:I9" si="7">IF(A3=40,"да","нет")</f>
        <v>нет</v>
      </c>
    </row>
    <row r="4" spans="1:9" x14ac:dyDescent="0.3">
      <c r="A4" s="6">
        <f t="shared" si="0"/>
        <v>1984</v>
      </c>
      <c r="B4" s="1" t="str">
        <f t="shared" si="1"/>
        <v>октябрь</v>
      </c>
      <c r="C4" s="6">
        <f t="shared" si="2"/>
        <v>2015</v>
      </c>
      <c r="D4" s="9">
        <f t="shared" ca="1" si="3"/>
        <v>38.972602739726028</v>
      </c>
      <c r="E4" s="6">
        <f t="shared" ca="1" si="4"/>
        <v>2939</v>
      </c>
      <c r="F4" s="1">
        <f t="shared" ca="1" si="5"/>
        <v>8</v>
      </c>
      <c r="G4" s="1" t="str">
        <f t="shared" ref="G4:G8" si="8">IF(A4=25,"да","нет")</f>
        <v>нет</v>
      </c>
      <c r="H4" s="1" t="str">
        <f t="shared" si="6"/>
        <v>нет</v>
      </c>
      <c r="I4" s="1" t="str">
        <f t="shared" si="7"/>
        <v>нет</v>
      </c>
    </row>
    <row r="5" spans="1:9" x14ac:dyDescent="0.3">
      <c r="A5" s="6">
        <f t="shared" si="0"/>
        <v>1980</v>
      </c>
      <c r="B5" s="1" t="str">
        <f t="shared" si="1"/>
        <v>январь</v>
      </c>
      <c r="C5" s="6">
        <f t="shared" si="2"/>
        <v>2019</v>
      </c>
      <c r="D5" s="9">
        <f t="shared" ca="1" si="3"/>
        <v>43.791780821917811</v>
      </c>
      <c r="E5" s="6">
        <f t="shared" ca="1" si="4"/>
        <v>1431</v>
      </c>
      <c r="F5" s="1">
        <f t="shared" ca="1" si="5"/>
        <v>3</v>
      </c>
      <c r="G5" s="1" t="str">
        <f>IF(A5=25, "да","нет")</f>
        <v>нет</v>
      </c>
      <c r="H5" s="1" t="str">
        <f t="shared" si="6"/>
        <v>нет</v>
      </c>
      <c r="I5" s="1" t="str">
        <f t="shared" si="7"/>
        <v>нет</v>
      </c>
    </row>
    <row r="6" spans="1:9" x14ac:dyDescent="0.3">
      <c r="A6" s="6">
        <f t="shared" si="0"/>
        <v>1982</v>
      </c>
      <c r="B6" s="1" t="str">
        <f t="shared" si="1"/>
        <v>декабрь</v>
      </c>
      <c r="C6" s="6">
        <f t="shared" si="2"/>
        <v>2017</v>
      </c>
      <c r="D6" s="9">
        <f t="shared" ca="1" si="3"/>
        <v>40.816438356164383</v>
      </c>
      <c r="E6" s="6">
        <f t="shared" ca="1" si="4"/>
        <v>2224</v>
      </c>
      <c r="F6" s="1">
        <f t="shared" ca="1" si="5"/>
        <v>6</v>
      </c>
      <c r="G6" s="1" t="str">
        <f t="shared" si="8"/>
        <v>нет</v>
      </c>
      <c r="H6" s="1" t="str">
        <f t="shared" si="6"/>
        <v>нет</v>
      </c>
      <c r="I6" s="1" t="str">
        <f t="shared" si="7"/>
        <v>нет</v>
      </c>
    </row>
    <row r="7" spans="1:9" x14ac:dyDescent="0.3">
      <c r="A7" s="6">
        <f t="shared" si="0"/>
        <v>1991</v>
      </c>
      <c r="B7" s="1" t="str">
        <f t="shared" si="1"/>
        <v>март</v>
      </c>
      <c r="C7" s="6">
        <f t="shared" si="2"/>
        <v>2020</v>
      </c>
      <c r="D7" s="9">
        <f t="shared" ca="1" si="3"/>
        <v>32.561643835616437</v>
      </c>
      <c r="E7" s="6">
        <f t="shared" ca="1" si="4"/>
        <v>1252</v>
      </c>
      <c r="F7" s="1">
        <f t="shared" ca="1" si="5"/>
        <v>3</v>
      </c>
      <c r="G7" s="1" t="str">
        <f t="shared" si="8"/>
        <v>нет</v>
      </c>
      <c r="H7" s="1" t="str">
        <f t="shared" si="6"/>
        <v>нет</v>
      </c>
      <c r="I7" s="1" t="str">
        <f t="shared" si="7"/>
        <v>нет</v>
      </c>
    </row>
    <row r="8" spans="1:9" x14ac:dyDescent="0.3">
      <c r="A8" s="6">
        <f t="shared" si="0"/>
        <v>1985</v>
      </c>
      <c r="B8" s="1" t="str">
        <f t="shared" si="1"/>
        <v>апрель</v>
      </c>
      <c r="C8" s="6">
        <f t="shared" si="2"/>
        <v>2019</v>
      </c>
      <c r="D8" s="9">
        <f t="shared" ca="1" si="3"/>
        <v>38.515068493150686</v>
      </c>
      <c r="E8" s="6">
        <f t="shared" ca="1" si="4"/>
        <v>1669</v>
      </c>
      <c r="F8" s="1">
        <f t="shared" ca="1" si="5"/>
        <v>4</v>
      </c>
      <c r="G8" s="1" t="str">
        <f t="shared" si="8"/>
        <v>нет</v>
      </c>
      <c r="H8" s="1" t="str">
        <f t="shared" si="6"/>
        <v>нет</v>
      </c>
      <c r="I8" s="1" t="str">
        <f t="shared" si="7"/>
        <v>нет</v>
      </c>
    </row>
    <row r="9" spans="1:9" x14ac:dyDescent="0.3">
      <c r="A9" s="6">
        <f t="shared" si="0"/>
        <v>1997</v>
      </c>
      <c r="B9" s="1" t="str">
        <f t="shared" si="1"/>
        <v>июль</v>
      </c>
      <c r="C9" s="6">
        <f t="shared" si="2"/>
        <v>2021</v>
      </c>
      <c r="D9" s="9">
        <f t="shared" ca="1" si="3"/>
        <v>26.279452054794522</v>
      </c>
      <c r="E9" s="6">
        <f t="shared" ca="1" si="4"/>
        <v>932</v>
      </c>
      <c r="F9" s="1">
        <f t="shared" ca="1" si="5"/>
        <v>2</v>
      </c>
      <c r="G9" s="1" t="str">
        <f>IF(A9=25,"да","нет")</f>
        <v>нет</v>
      </c>
      <c r="H9" s="1" t="str">
        <f t="shared" si="6"/>
        <v>нет</v>
      </c>
      <c r="I9" s="1" t="str">
        <f t="shared" si="7"/>
        <v>нет</v>
      </c>
    </row>
    <row r="14" spans="1:9" x14ac:dyDescent="0.3">
      <c r="B14" s="8"/>
    </row>
    <row r="16" spans="1:9" x14ac:dyDescent="0.3">
      <c r="A16" s="2" t="s">
        <v>13</v>
      </c>
    </row>
    <row r="17" spans="1:3" x14ac:dyDescent="0.3">
      <c r="A17" s="3">
        <f ca="1">TODAY()</f>
        <v>45207</v>
      </c>
    </row>
    <row r="20" spans="1:3" x14ac:dyDescent="0.3">
      <c r="A20" s="1" t="s">
        <v>18</v>
      </c>
      <c r="C20" s="1" t="s">
        <v>10</v>
      </c>
    </row>
    <row r="21" spans="1:3" x14ac:dyDescent="0.3">
      <c r="A21" s="3">
        <v>32245</v>
      </c>
      <c r="C21" s="3">
        <v>43160</v>
      </c>
    </row>
    <row r="22" spans="1:3" x14ac:dyDescent="0.3">
      <c r="A22" s="3">
        <v>34689</v>
      </c>
      <c r="C22" s="3">
        <v>43726</v>
      </c>
    </row>
    <row r="23" spans="1:3" x14ac:dyDescent="0.3">
      <c r="A23" s="3">
        <v>30982</v>
      </c>
      <c r="C23" s="3">
        <v>42268</v>
      </c>
    </row>
    <row r="24" spans="1:3" x14ac:dyDescent="0.3">
      <c r="A24" s="3">
        <v>29223</v>
      </c>
      <c r="C24" s="3">
        <v>43776</v>
      </c>
    </row>
    <row r="25" spans="1:3" x14ac:dyDescent="0.3">
      <c r="A25" s="3">
        <v>30309</v>
      </c>
      <c r="C25" s="3">
        <v>42983</v>
      </c>
    </row>
    <row r="26" spans="1:3" x14ac:dyDescent="0.3">
      <c r="A26" s="3">
        <v>33322</v>
      </c>
      <c r="C26" s="3">
        <v>43955</v>
      </c>
    </row>
    <row r="27" spans="1:3" x14ac:dyDescent="0.3">
      <c r="A27" s="3">
        <v>31149</v>
      </c>
      <c r="C27" s="3">
        <v>43538</v>
      </c>
    </row>
    <row r="28" spans="1:3" x14ac:dyDescent="0.3">
      <c r="A28" s="3">
        <v>35615</v>
      </c>
      <c r="C28" s="3">
        <v>44275</v>
      </c>
    </row>
  </sheetData>
  <pageMargins left="0.7" right="0.7" top="0.75" bottom="0.75" header="0.3" footer="0.3"/>
  <ignoredErrors>
    <ignoredError sqref="B2:B9 G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E5A8-5D7F-4627-BE71-C4F450D50D87}">
  <dimension ref="A1:L30"/>
  <sheetViews>
    <sheetView tabSelected="1" workbookViewId="0">
      <selection activeCell="P6" sqref="P6"/>
    </sheetView>
  </sheetViews>
  <sheetFormatPr defaultRowHeight="14.4" x14ac:dyDescent="0.3"/>
  <cols>
    <col min="3" max="3" width="14.21875" customWidth="1"/>
    <col min="7" max="7" width="10.88671875" customWidth="1"/>
    <col min="8" max="8" width="11.5546875" customWidth="1"/>
  </cols>
  <sheetData>
    <row r="1" spans="1:12" ht="15" thickBot="1" x14ac:dyDescent="0.35">
      <c r="A1" s="10"/>
      <c r="B1" s="11" t="s">
        <v>13</v>
      </c>
      <c r="C1" s="11"/>
      <c r="D1" s="11"/>
      <c r="E1" s="11"/>
      <c r="F1" s="12"/>
      <c r="G1" s="13">
        <f ca="1">TODAY()</f>
        <v>45207</v>
      </c>
      <c r="H1" s="14" t="str">
        <f ca="1">TEXT(G1,"дддд")</f>
        <v>воскресенье</v>
      </c>
      <c r="I1" s="15" t="s">
        <v>2</v>
      </c>
      <c r="J1" s="16">
        <f ca="1">YEAR(G1)</f>
        <v>2023</v>
      </c>
      <c r="K1" s="17"/>
      <c r="L1" s="18"/>
    </row>
    <row r="2" spans="1:12" ht="15" thickBot="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3">
      <c r="A3" s="19" t="s">
        <v>19</v>
      </c>
      <c r="B3" s="19"/>
      <c r="C3" s="19"/>
      <c r="D3" s="19"/>
      <c r="E3" s="19"/>
      <c r="F3" s="20"/>
      <c r="G3" s="21">
        <v>103.87</v>
      </c>
      <c r="H3" s="22"/>
      <c r="I3" s="23"/>
      <c r="J3" s="23"/>
      <c r="K3" s="23"/>
      <c r="L3" s="23"/>
    </row>
    <row r="4" spans="1:12" ht="15" thickBot="1" x14ac:dyDescent="0.35">
      <c r="A4" s="19"/>
      <c r="B4" s="19"/>
      <c r="C4" s="19"/>
      <c r="D4" s="19"/>
      <c r="E4" s="19"/>
      <c r="F4" s="20"/>
      <c r="G4" s="24"/>
      <c r="H4" s="25" t="s">
        <v>20</v>
      </c>
      <c r="I4" s="26"/>
      <c r="J4" s="26"/>
      <c r="K4" s="26"/>
      <c r="L4" s="26"/>
    </row>
    <row r="5" spans="1:12" ht="15" thickBot="1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36" x14ac:dyDescent="0.3">
      <c r="A6" s="27"/>
      <c r="B6" s="28"/>
      <c r="C6" s="29" t="s">
        <v>58</v>
      </c>
      <c r="D6" s="30" t="s">
        <v>21</v>
      </c>
      <c r="E6" s="30" t="s">
        <v>22</v>
      </c>
      <c r="F6" s="30" t="s">
        <v>23</v>
      </c>
      <c r="G6" s="28"/>
      <c r="H6" s="29" t="s">
        <v>0</v>
      </c>
      <c r="I6" s="28"/>
      <c r="J6" s="17"/>
      <c r="K6" s="18"/>
      <c r="L6" s="18"/>
    </row>
    <row r="7" spans="1:12" ht="48.6" thickBot="1" x14ac:dyDescent="0.35">
      <c r="A7" s="27"/>
      <c r="B7" s="31" t="s">
        <v>24</v>
      </c>
      <c r="C7" s="32"/>
      <c r="D7" s="33" t="s">
        <v>25</v>
      </c>
      <c r="E7" s="33" t="s">
        <v>26</v>
      </c>
      <c r="F7" s="33" t="s">
        <v>27</v>
      </c>
      <c r="G7" s="34" t="s">
        <v>28</v>
      </c>
      <c r="H7" s="32"/>
      <c r="I7" s="31" t="s">
        <v>1</v>
      </c>
      <c r="J7" s="17"/>
      <c r="K7" s="18"/>
      <c r="L7" s="18"/>
    </row>
    <row r="8" spans="1:12" ht="15" thickBot="1" x14ac:dyDescent="0.35">
      <c r="A8" s="27"/>
      <c r="B8" s="35">
        <v>2007</v>
      </c>
      <c r="C8" s="36">
        <f>DATE(B8,7,1)</f>
        <v>39264</v>
      </c>
      <c r="D8" s="37">
        <f ca="1">(G1-C8)/365</f>
        <v>16.282191780821918</v>
      </c>
      <c r="E8" s="35">
        <v>1900</v>
      </c>
      <c r="F8" s="35">
        <v>18489</v>
      </c>
      <c r="G8" s="38">
        <f>G3*F8</f>
        <v>1920452.4300000002</v>
      </c>
      <c r="H8" s="38" cm="1">
        <f t="array" aca="1" ref="H8" ca="1">_xlfn.IFS(B10&gt;=1,K10,B17&gt;=1,K17,B23&gt;=1,K23)</f>
        <v>9120</v>
      </c>
      <c r="I8" s="38">
        <f ca="1">H8*G3</f>
        <v>947294.4</v>
      </c>
      <c r="J8" s="17"/>
      <c r="K8" s="18"/>
      <c r="L8" s="18"/>
    </row>
    <row r="9" spans="1:12" ht="15" thickBot="1" x14ac:dyDescent="0.3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18"/>
      <c r="B10" s="39">
        <f ca="1">IF(D8&lt;3,1,0)</f>
        <v>0</v>
      </c>
      <c r="C10" s="40"/>
      <c r="D10" s="41" t="s">
        <v>29</v>
      </c>
      <c r="E10" s="42" t="s">
        <v>30</v>
      </c>
      <c r="F10" s="41" t="s">
        <v>31</v>
      </c>
      <c r="G10" s="42" t="s">
        <v>32</v>
      </c>
      <c r="H10" s="42" t="s">
        <v>33</v>
      </c>
      <c r="I10" s="29" t="s">
        <v>34</v>
      </c>
      <c r="J10" s="43" t="s">
        <v>35</v>
      </c>
      <c r="K10" s="44">
        <f>MAX(J15:L15)</f>
        <v>10450</v>
      </c>
      <c r="L10" s="17"/>
    </row>
    <row r="11" spans="1:12" ht="15" thickBot="1" x14ac:dyDescent="0.35">
      <c r="A11" s="18"/>
      <c r="B11" s="45"/>
      <c r="C11" s="46" t="s">
        <v>36</v>
      </c>
      <c r="D11" s="34" t="s">
        <v>37</v>
      </c>
      <c r="E11" s="47">
        <v>16700</v>
      </c>
      <c r="F11" s="47">
        <v>42300</v>
      </c>
      <c r="G11" s="48">
        <v>84500</v>
      </c>
      <c r="H11" s="48">
        <v>169000</v>
      </c>
      <c r="I11" s="32"/>
      <c r="J11" s="49"/>
      <c r="K11" s="50"/>
      <c r="L11" s="51"/>
    </row>
    <row r="12" spans="1:12" ht="15" thickTop="1" x14ac:dyDescent="0.3">
      <c r="A12" s="18"/>
      <c r="B12" s="52" t="s">
        <v>38</v>
      </c>
      <c r="C12" s="52"/>
      <c r="D12" s="53">
        <v>2.5</v>
      </c>
      <c r="E12" s="54">
        <v>3.5</v>
      </c>
      <c r="F12" s="54">
        <v>5.5</v>
      </c>
      <c r="G12" s="55"/>
      <c r="H12" s="55"/>
      <c r="I12" s="55"/>
      <c r="J12" s="29" t="s">
        <v>39</v>
      </c>
      <c r="K12" s="56">
        <v>0.54</v>
      </c>
      <c r="L12" s="56">
        <v>0.48</v>
      </c>
    </row>
    <row r="13" spans="1:12" ht="60" x14ac:dyDescent="0.3">
      <c r="A13" s="18"/>
      <c r="B13" s="52"/>
      <c r="C13" s="52"/>
      <c r="D13" s="53" t="s">
        <v>40</v>
      </c>
      <c r="E13" s="54" t="s">
        <v>40</v>
      </c>
      <c r="F13" s="54" t="s">
        <v>40</v>
      </c>
      <c r="G13" s="57" t="s">
        <v>41</v>
      </c>
      <c r="H13" s="58" t="s">
        <v>42</v>
      </c>
      <c r="I13" s="59" t="s">
        <v>43</v>
      </c>
      <c r="J13" s="60"/>
      <c r="K13" s="57" t="s">
        <v>44</v>
      </c>
      <c r="L13" s="57" t="s">
        <v>44</v>
      </c>
    </row>
    <row r="14" spans="1:12" ht="15" thickBot="1" x14ac:dyDescent="0.35">
      <c r="A14" s="18"/>
      <c r="B14" s="52"/>
      <c r="C14" s="52"/>
      <c r="D14" s="61"/>
      <c r="E14" s="62"/>
      <c r="F14" s="62"/>
      <c r="G14" s="31" t="s">
        <v>45</v>
      </c>
      <c r="H14" s="62"/>
      <c r="I14" s="62"/>
      <c r="J14" s="32"/>
      <c r="K14" s="62"/>
      <c r="L14" s="62"/>
    </row>
    <row r="15" spans="1:12" ht="15" thickBot="1" x14ac:dyDescent="0.35">
      <c r="A15" s="18"/>
      <c r="B15" s="52"/>
      <c r="C15" s="52"/>
      <c r="D15" s="38">
        <f>IF(AND($F$8&gt;169000),5.5*$F$8,0)</f>
        <v>0</v>
      </c>
      <c r="E15" s="38">
        <f>IF(AND($F$8&gt;8500,$F$8&lt;=16700),3.5*$E$8,0)</f>
        <v>0</v>
      </c>
      <c r="F15" s="38">
        <f>IF(AND($F$8&gt;16700,$F$8&lt;=42300),5.5*$E$8,0)</f>
        <v>10450</v>
      </c>
      <c r="G15" s="38">
        <f>IF(AND($F$8&gt;42300,$F$8&lt;=84500),7.5*$E$8,0)</f>
        <v>0</v>
      </c>
      <c r="H15" s="38">
        <f>IF(AND($F$8&gt;84500,$F$8&lt;=169000),15*$E$8,0)</f>
        <v>0</v>
      </c>
      <c r="I15" s="38">
        <f>IF(AND($F$8&gt;169000),20*$E$8,0)</f>
        <v>0</v>
      </c>
      <c r="J15" s="38">
        <f>MAX(D15:I15)</f>
        <v>10450</v>
      </c>
      <c r="K15" s="38">
        <f>IF(D15&gt;0,54%*F8,0)</f>
        <v>0</v>
      </c>
      <c r="L15" s="38">
        <f>IF(D15=0,48%*F8,0)</f>
        <v>8874.7199999999993</v>
      </c>
    </row>
    <row r="16" spans="1:12" ht="15" thickBot="1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8"/>
      <c r="B17" s="39">
        <f ca="1">IF(3&lt;D8&lt;=5,1,0)</f>
        <v>0</v>
      </c>
      <c r="C17" s="40"/>
      <c r="D17" s="63" t="s">
        <v>3</v>
      </c>
      <c r="E17" s="42" t="s">
        <v>46</v>
      </c>
      <c r="F17" s="42" t="s">
        <v>47</v>
      </c>
      <c r="G17" s="29" t="s">
        <v>4</v>
      </c>
      <c r="H17" s="29" t="s">
        <v>5</v>
      </c>
      <c r="I17" s="29" t="s">
        <v>6</v>
      </c>
      <c r="J17" s="43" t="s">
        <v>48</v>
      </c>
      <c r="K17" s="44">
        <f>MAX(J19:K21)</f>
        <v>14250</v>
      </c>
      <c r="L17" s="18"/>
    </row>
    <row r="18" spans="1:12" ht="15" thickBot="1" x14ac:dyDescent="0.35">
      <c r="A18" s="18"/>
      <c r="B18" s="45"/>
      <c r="C18" s="46" t="s">
        <v>49</v>
      </c>
      <c r="D18" s="64"/>
      <c r="E18" s="34">
        <v>1500</v>
      </c>
      <c r="F18" s="34">
        <v>1800</v>
      </c>
      <c r="G18" s="32"/>
      <c r="H18" s="32"/>
      <c r="I18" s="32"/>
      <c r="J18" s="49"/>
      <c r="K18" s="50"/>
      <c r="L18" s="18"/>
    </row>
    <row r="19" spans="1:12" ht="24.6" thickTop="1" x14ac:dyDescent="0.3">
      <c r="A19" s="18"/>
      <c r="B19" s="52" t="s">
        <v>50</v>
      </c>
      <c r="C19" s="65"/>
      <c r="D19" s="54">
        <v>2.5</v>
      </c>
      <c r="E19" s="54">
        <v>3.5</v>
      </c>
      <c r="F19" s="54">
        <v>5.5</v>
      </c>
      <c r="G19" s="57" t="s">
        <v>41</v>
      </c>
      <c r="H19" s="63" t="s">
        <v>42</v>
      </c>
      <c r="I19" s="66" t="s">
        <v>51</v>
      </c>
      <c r="J19" s="67" t="s">
        <v>7</v>
      </c>
      <c r="K19" s="68"/>
      <c r="L19" s="18"/>
    </row>
    <row r="20" spans="1:12" ht="24.6" thickBot="1" x14ac:dyDescent="0.35">
      <c r="A20" s="18"/>
      <c r="B20" s="52"/>
      <c r="C20" s="65"/>
      <c r="D20" s="33" t="s">
        <v>40</v>
      </c>
      <c r="E20" s="33" t="s">
        <v>40</v>
      </c>
      <c r="F20" s="33" t="s">
        <v>40</v>
      </c>
      <c r="G20" s="31" t="s">
        <v>45</v>
      </c>
      <c r="H20" s="64"/>
      <c r="I20" s="69"/>
      <c r="J20" s="70"/>
      <c r="K20" s="17"/>
      <c r="L20" s="18"/>
    </row>
    <row r="21" spans="1:12" ht="15" thickBot="1" x14ac:dyDescent="0.35">
      <c r="A21" s="18"/>
      <c r="B21" s="52"/>
      <c r="C21" s="65"/>
      <c r="D21" s="38">
        <f>IF(AND($E$8&lt;1000),2.5*$E$8,0)</f>
        <v>0</v>
      </c>
      <c r="E21" s="38">
        <f>IF(AND($E$8&gt;1000,$E$8&lt;1500),3.5*$E$8,0)</f>
        <v>0</v>
      </c>
      <c r="F21" s="38">
        <f>IF(AND($E$8&gt;1500,$E$8&lt;1800),5.5*$E$8,0)</f>
        <v>0</v>
      </c>
      <c r="G21" s="38">
        <f>IF(AND($E$8&gt;1800,$E$8&lt;2300),7.5*$E$8,0)</f>
        <v>14250</v>
      </c>
      <c r="H21" s="38">
        <f>IF(AND($E$8&gt;2300,$E$8&lt;3000),15*$E$8,0)</f>
        <v>0</v>
      </c>
      <c r="I21" s="38">
        <f>IF(AND($E$8&gt;3000),20*$E$8,0)</f>
        <v>0</v>
      </c>
      <c r="J21" s="38">
        <f>MAX(D21:I21)</f>
        <v>14250</v>
      </c>
      <c r="K21" s="17"/>
      <c r="L21" s="18"/>
    </row>
    <row r="22" spans="1:12" ht="15" thickBot="1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">
      <c r="A23" s="18"/>
      <c r="B23" s="39">
        <f ca="1">IF(D8&gt;5,1,0)</f>
        <v>1</v>
      </c>
      <c r="C23" s="71"/>
      <c r="D23" s="63" t="s">
        <v>3</v>
      </c>
      <c r="E23" s="42" t="s">
        <v>46</v>
      </c>
      <c r="F23" s="42" t="s">
        <v>47</v>
      </c>
      <c r="G23" s="29" t="s">
        <v>4</v>
      </c>
      <c r="H23" s="29" t="s">
        <v>5</v>
      </c>
      <c r="I23" s="29" t="s">
        <v>6</v>
      </c>
      <c r="J23" s="43" t="s">
        <v>48</v>
      </c>
      <c r="K23" s="44">
        <f>MAX(J25:K28)</f>
        <v>9120</v>
      </c>
      <c r="L23" s="18"/>
    </row>
    <row r="24" spans="1:12" ht="15" thickBot="1" x14ac:dyDescent="0.35">
      <c r="A24" s="18"/>
      <c r="B24" s="45"/>
      <c r="C24" s="46" t="s">
        <v>52</v>
      </c>
      <c r="D24" s="64"/>
      <c r="E24" s="34">
        <v>1500</v>
      </c>
      <c r="F24" s="34">
        <v>1800</v>
      </c>
      <c r="G24" s="32"/>
      <c r="H24" s="32"/>
      <c r="I24" s="32"/>
      <c r="J24" s="49"/>
      <c r="K24" s="50"/>
      <c r="L24" s="18"/>
    </row>
    <row r="25" spans="1:12" ht="15" thickTop="1" x14ac:dyDescent="0.3">
      <c r="A25" s="18"/>
      <c r="B25" s="72"/>
      <c r="C25" s="72"/>
      <c r="D25" s="54">
        <v>3</v>
      </c>
      <c r="E25" s="54">
        <v>3.2</v>
      </c>
      <c r="F25" s="54">
        <v>3.5</v>
      </c>
      <c r="G25" s="73"/>
      <c r="H25" s="73"/>
      <c r="I25" s="73"/>
      <c r="J25" s="73"/>
      <c r="K25" s="68"/>
      <c r="L25" s="18"/>
    </row>
    <row r="26" spans="1:12" ht="60" x14ac:dyDescent="0.3">
      <c r="A26" s="18"/>
      <c r="B26" s="72"/>
      <c r="C26" s="72"/>
      <c r="D26" s="54" t="s">
        <v>40</v>
      </c>
      <c r="E26" s="54" t="s">
        <v>40</v>
      </c>
      <c r="F26" s="54" t="s">
        <v>40</v>
      </c>
      <c r="G26" s="57" t="s">
        <v>53</v>
      </c>
      <c r="H26" s="58" t="s">
        <v>54</v>
      </c>
      <c r="I26" s="59" t="s">
        <v>55</v>
      </c>
      <c r="J26" s="57" t="s">
        <v>7</v>
      </c>
      <c r="K26" s="17"/>
      <c r="L26" s="18"/>
    </row>
    <row r="27" spans="1:12" ht="15" thickBot="1" x14ac:dyDescent="0.35">
      <c r="A27" s="18"/>
      <c r="B27" s="74" t="s">
        <v>56</v>
      </c>
      <c r="C27" s="74"/>
      <c r="D27" s="62"/>
      <c r="E27" s="62"/>
      <c r="F27" s="62"/>
      <c r="G27" s="31" t="s">
        <v>45</v>
      </c>
      <c r="H27" s="62"/>
      <c r="I27" s="62"/>
      <c r="J27" s="62"/>
      <c r="K27" s="17"/>
      <c r="L27" s="18"/>
    </row>
    <row r="28" spans="1:12" ht="15" thickBot="1" x14ac:dyDescent="0.35">
      <c r="A28" s="18"/>
      <c r="B28" s="75"/>
      <c r="C28" s="76"/>
      <c r="D28" s="77">
        <f>IF(AND($E$8&lt;1000),3*$E$8,0)</f>
        <v>0</v>
      </c>
      <c r="E28" s="38">
        <f>IF(AND($E$8&gt;1000,$E$8&lt;1500),3.2*$E$8,0)</f>
        <v>0</v>
      </c>
      <c r="F28" s="38">
        <f>IF(AND($E$8&gt;1500,$E$8&lt;1800),3.5*$E$8,0)</f>
        <v>0</v>
      </c>
      <c r="G28" s="38">
        <f>IF(AND($E$8&gt;1800,$E$8&lt;2300),4.8*$E$8,0)</f>
        <v>9120</v>
      </c>
      <c r="H28" s="38">
        <f>IF(AND($E$8&gt;2300,$E$8&lt;3000),5.7*$E$8,0)</f>
        <v>0</v>
      </c>
      <c r="I28" s="38">
        <f>IF(AND($E$8&gt;3000),5.7*$E$8,0)</f>
        <v>0</v>
      </c>
      <c r="J28" s="38">
        <f>MAX(D28:I28)</f>
        <v>9120</v>
      </c>
      <c r="K28" s="17"/>
      <c r="L28" s="18"/>
    </row>
    <row r="29" spans="1:12" ht="15" thickBot="1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ht="15" thickBot="1" x14ac:dyDescent="0.35">
      <c r="A30" s="78" t="s">
        <v>57</v>
      </c>
      <c r="B30" s="78"/>
      <c r="C30" s="78"/>
      <c r="D30" s="78"/>
      <c r="E30" s="78"/>
      <c r="F30" s="78"/>
      <c r="G30" s="79"/>
      <c r="H30" s="80">
        <f ca="1">I8</f>
        <v>947294.4</v>
      </c>
      <c r="I30" s="17"/>
      <c r="J30" s="18"/>
      <c r="K30" s="18"/>
      <c r="L30" s="18"/>
    </row>
  </sheetData>
  <mergeCells count="54">
    <mergeCell ref="A29:L29"/>
    <mergeCell ref="A30:G30"/>
    <mergeCell ref="I30:L30"/>
    <mergeCell ref="J23:J24"/>
    <mergeCell ref="K23:K24"/>
    <mergeCell ref="L23:L28"/>
    <mergeCell ref="B25:C25"/>
    <mergeCell ref="K25:K28"/>
    <mergeCell ref="B26:C26"/>
    <mergeCell ref="B27:C27"/>
    <mergeCell ref="B28:C28"/>
    <mergeCell ref="A23:A28"/>
    <mergeCell ref="B23:B24"/>
    <mergeCell ref="D23:D24"/>
    <mergeCell ref="G23:G24"/>
    <mergeCell ref="H23:H24"/>
    <mergeCell ref="I23:I24"/>
    <mergeCell ref="B19:C21"/>
    <mergeCell ref="H19:H20"/>
    <mergeCell ref="I19:I20"/>
    <mergeCell ref="J19:J20"/>
    <mergeCell ref="K19:K21"/>
    <mergeCell ref="A22:L22"/>
    <mergeCell ref="A16:L16"/>
    <mergeCell ref="A17:A21"/>
    <mergeCell ref="B17:B18"/>
    <mergeCell ref="D17:D18"/>
    <mergeCell ref="G17:G18"/>
    <mergeCell ref="H17:H18"/>
    <mergeCell ref="I17:I18"/>
    <mergeCell ref="J17:J18"/>
    <mergeCell ref="K17:K18"/>
    <mergeCell ref="L17:L21"/>
    <mergeCell ref="A10:A15"/>
    <mergeCell ref="B10:B11"/>
    <mergeCell ref="I10:I11"/>
    <mergeCell ref="J10:J11"/>
    <mergeCell ref="K10:K11"/>
    <mergeCell ref="L10:L11"/>
    <mergeCell ref="B12:C15"/>
    <mergeCell ref="J12:J14"/>
    <mergeCell ref="A5:L5"/>
    <mergeCell ref="A6:A8"/>
    <mergeCell ref="C6:C7"/>
    <mergeCell ref="H6:H7"/>
    <mergeCell ref="J6:L8"/>
    <mergeCell ref="A9:L9"/>
    <mergeCell ref="B1:F1"/>
    <mergeCell ref="K1:L1"/>
    <mergeCell ref="A2:L2"/>
    <mergeCell ref="A3:F4"/>
    <mergeCell ref="G3:G4"/>
    <mergeCell ref="H3:L3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Авто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2023-10-08T09:21:03Z</dcterms:modified>
</cp:coreProperties>
</file>