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"/>
    </mc:Choice>
  </mc:AlternateContent>
  <xr:revisionPtr revIDLastSave="58" documentId="13_ncr:1_{3ABF3938-FF59-4646-8714-72CD2289561C}" xr6:coauthVersionLast="47" xr6:coauthVersionMax="47" xr10:uidLastSave="{333CBDF4-8A79-4004-9EB1-57F89AE1EB23}"/>
  <bookViews>
    <workbookView xWindow="11520" yWindow="2436" windowWidth="33984" windowHeight="13452" tabRatio="901" activeTab="7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STG" sheetId="137" r:id="rId5"/>
    <sheet name="CHP" sheetId="132" r:id="rId6"/>
    <sheet name="T&amp;D" sheetId="136" r:id="rId7"/>
    <sheet name="EMI" sheetId="134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34" l="1"/>
  <c r="G5" i="134"/>
  <c r="E5" i="134"/>
  <c r="D5" i="134"/>
  <c r="F5" i="134"/>
  <c r="B16" i="129"/>
  <c r="B15" i="129"/>
  <c r="B14" i="129"/>
  <c r="B13" i="129"/>
  <c r="Y14" i="129"/>
  <c r="I10" i="129"/>
  <c r="J10" i="129"/>
  <c r="K10" i="129"/>
  <c r="L10" i="129"/>
  <c r="M10" i="129"/>
  <c r="N10" i="129"/>
  <c r="I16" i="129" l="1"/>
  <c r="J16" i="129"/>
  <c r="K16" i="129"/>
  <c r="L16" i="129"/>
  <c r="M16" i="129"/>
  <c r="N16" i="129"/>
  <c r="I14" i="129"/>
  <c r="J14" i="129"/>
  <c r="K14" i="129"/>
  <c r="L14" i="129"/>
  <c r="M14" i="129"/>
  <c r="N14" i="129"/>
  <c r="I15" i="129"/>
  <c r="J15" i="129"/>
  <c r="K15" i="129"/>
  <c r="L15" i="129"/>
  <c r="M15" i="129"/>
  <c r="N15" i="129"/>
  <c r="I13" i="129"/>
  <c r="J13" i="129"/>
  <c r="K13" i="129"/>
  <c r="L13" i="129"/>
  <c r="M13" i="129"/>
  <c r="N13" i="129"/>
  <c r="C6" i="137"/>
  <c r="B6" i="137"/>
  <c r="T8" i="137"/>
  <c r="J6" i="137" l="1"/>
  <c r="K6" i="137"/>
  <c r="L6" i="137"/>
  <c r="M6" i="137"/>
  <c r="N6" i="137"/>
  <c r="I6" i="137"/>
  <c r="H6" i="137"/>
  <c r="E6" i="137"/>
  <c r="D6" i="137" s="1"/>
  <c r="N9" i="129"/>
  <c r="I12" i="129"/>
  <c r="J12" i="129"/>
  <c r="K12" i="129"/>
  <c r="L12" i="129"/>
  <c r="M12" i="129"/>
  <c r="N12" i="129"/>
  <c r="I17" i="129"/>
  <c r="J17" i="129"/>
  <c r="K17" i="129"/>
  <c r="L17" i="129"/>
  <c r="M17" i="129"/>
  <c r="N17" i="129"/>
  <c r="N8" i="129"/>
  <c r="M8" i="129"/>
  <c r="L8" i="129"/>
  <c r="K8" i="129"/>
  <c r="J8" i="129"/>
  <c r="I8" i="129"/>
  <c r="E11" i="133"/>
  <c r="D11" i="133"/>
  <c r="C11" i="133"/>
  <c r="B11" i="133"/>
  <c r="B10" i="133"/>
  <c r="Q10" i="133"/>
  <c r="Q9" i="133"/>
  <c r="Q8" i="133"/>
  <c r="E8" i="136"/>
  <c r="I19" i="133"/>
  <c r="I20" i="133"/>
  <c r="I18" i="133"/>
  <c r="U14" i="129"/>
  <c r="Y13" i="129" l="1"/>
  <c r="F17" i="129"/>
  <c r="F12" i="129"/>
  <c r="H17" i="129"/>
  <c r="H16" i="129"/>
  <c r="H15" i="129"/>
  <c r="H14" i="129"/>
  <c r="H13" i="129"/>
  <c r="H12" i="129"/>
  <c r="H11" i="129"/>
  <c r="H10" i="129"/>
  <c r="H9" i="129"/>
  <c r="H8" i="129"/>
  <c r="H37" i="129" l="1"/>
  <c r="H36" i="129"/>
  <c r="H38" i="129"/>
  <c r="H35" i="129"/>
  <c r="I35" i="129" s="1"/>
  <c r="F37" i="129"/>
  <c r="F38" i="129"/>
  <c r="I38" i="129" s="1"/>
  <c r="F36" i="129"/>
  <c r="B8" i="134"/>
  <c r="B9" i="134"/>
  <c r="B10" i="134"/>
  <c r="B11" i="134"/>
  <c r="B12" i="134"/>
  <c r="G32" i="129"/>
  <c r="G31" i="129"/>
  <c r="C8" i="136"/>
  <c r="B8" i="136"/>
  <c r="D10" i="133"/>
  <c r="D9" i="133"/>
  <c r="D8" i="133"/>
  <c r="D17" i="129"/>
  <c r="D15" i="129"/>
  <c r="D13" i="129"/>
  <c r="D14" i="129"/>
  <c r="D12" i="129"/>
  <c r="D11" i="129"/>
  <c r="D10" i="129"/>
  <c r="D9" i="129"/>
  <c r="D8" i="129"/>
  <c r="E8" i="133"/>
  <c r="C8" i="133"/>
  <c r="B8" i="133"/>
  <c r="E14" i="129"/>
  <c r="C14" i="129"/>
  <c r="E10" i="133"/>
  <c r="C10" i="133"/>
  <c r="E9" i="133"/>
  <c r="C9" i="133"/>
  <c r="B9" i="133"/>
  <c r="E17" i="129"/>
  <c r="E16" i="129"/>
  <c r="E15" i="129"/>
  <c r="E13" i="129"/>
  <c r="E12" i="129"/>
  <c r="E11" i="129"/>
  <c r="E10" i="129"/>
  <c r="I37" i="129" l="1"/>
  <c r="I36" i="129"/>
  <c r="C17" i="129"/>
  <c r="B17" i="129"/>
  <c r="C16" i="129"/>
  <c r="C15" i="129"/>
  <c r="C13" i="129"/>
  <c r="C12" i="129"/>
  <c r="B12" i="129"/>
  <c r="C11" i="129"/>
  <c r="B11" i="129"/>
  <c r="C10" i="129"/>
  <c r="B10" i="129"/>
  <c r="C9" i="129"/>
  <c r="B9" i="129"/>
  <c r="C8" i="129"/>
  <c r="B8" i="129"/>
  <c r="Y11" i="132" l="1"/>
  <c r="Z11" i="132" s="1"/>
  <c r="W11" i="132"/>
  <c r="V11" i="132"/>
  <c r="U11" i="132"/>
  <c r="V8" i="132"/>
  <c r="U8" i="132"/>
  <c r="X11" i="132" l="1"/>
  <c r="AA11" i="132" s="1"/>
  <c r="AF11" i="132"/>
  <c r="AG11" i="132" s="1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E13" i="132" l="1"/>
  <c r="E9" i="132"/>
  <c r="E12" i="132"/>
  <c r="E9" i="129"/>
  <c r="E8" i="129"/>
  <c r="C11" i="132"/>
  <c r="B11" i="132"/>
  <c r="D8" i="136"/>
  <c r="E10" i="132"/>
  <c r="C8" i="132"/>
  <c r="B8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FB045BE1-0EBD-4D9C-96DB-20AC72107C1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<sst xmlns="http://schemas.openxmlformats.org/spreadsheetml/2006/main" count="846" uniqueCount="407">
  <si>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</si>
  <si>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</si>
  <si>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</si>
  <si>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</si>
  <si>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</si>
  <si>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</si>
  <si>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</si>
  <si>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</si>
  <si>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</si>
  <si>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</si>
  <si>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</si>
  <si>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</si>
  <si>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</si>
  <si>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</si>
  <si>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</si>
  <si>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</si>
  <si>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</si>
  <si>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</si>
  <si>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</si>
  <si>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</si>
  <si>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</si>
  <si>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</si>
  <si>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</si>
  <si>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</si>
  <si>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</si>
  <si>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</si>
  <si>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ELC</t>
  </si>
  <si>
    <t>Electricity</t>
  </si>
  <si>
    <t>PJ</t>
  </si>
  <si>
    <t>DAYNITE</t>
  </si>
  <si>
    <t>ANNUAL</t>
  </si>
  <si>
    <t>ELC_GRID</t>
  </si>
  <si>
    <t xml:space="preserve"> Electricity</t>
  </si>
  <si>
    <t>DEM</t>
  </si>
  <si>
    <t>ELEC_FIN</t>
  </si>
  <si>
    <t>Electricity - Final Energy</t>
  </si>
  <si>
    <t>ENV</t>
  </si>
  <si>
    <t>CO2</t>
  </si>
  <si>
    <t>Carbon Dioxide Emission</t>
  </si>
  <si>
    <t>kt</t>
  </si>
  <si>
    <t>BIOM</t>
  </si>
  <si>
    <t>Biomass</t>
  </si>
  <si>
    <t>LIG</t>
  </si>
  <si>
    <t>Lignite</t>
  </si>
  <si>
    <t>NAT_GAS</t>
  </si>
  <si>
    <t>Natural Gas</t>
  </si>
  <si>
    <t>NAT-GAS</t>
  </si>
  <si>
    <t>HC</t>
  </si>
  <si>
    <t>Hard Coal</t>
  </si>
  <si>
    <t>OIL</t>
  </si>
  <si>
    <t>Oil</t>
  </si>
  <si>
    <t>HYD</t>
  </si>
  <si>
    <t>Hydro</t>
  </si>
  <si>
    <t>SOLAR</t>
  </si>
  <si>
    <t>Solar Energy</t>
  </si>
  <si>
    <t>WIND_ON</t>
  </si>
  <si>
    <t>Onshore Wind Energy</t>
  </si>
  <si>
    <t>OTH</t>
  </si>
  <si>
    <t>Others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</si>
  <si>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</si>
  <si>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</si>
  <si>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</si>
  <si>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</si>
  <si>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</si>
  <si>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</si>
  <si>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</si>
  <si>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</si>
  <si>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</si>
  <si>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</si>
  <si>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</si>
  <si>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</si>
  <si>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</si>
  <si>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</si>
  <si>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</si>
  <si>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</si>
  <si>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</si>
  <si>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</si>
  <si>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</si>
  <si>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</si>
  <si>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</si>
  <si>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</si>
  <si>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</si>
  <si>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</si>
  <si>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</si>
  <si>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</si>
  <si>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</si>
  <si>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</si>
  <si>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</si>
  <si>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</si>
  <si>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</si>
  <si>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</si>
  <si>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</si>
  <si>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</si>
  <si>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</si>
  <si>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</si>
  <si>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</si>
  <si>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ELE_EX_BIOM</t>
  </si>
  <si>
    <t>Existing Biomass Power Plants</t>
  </si>
  <si>
    <t>GW</t>
  </si>
  <si>
    <t>ELE_EX_LIG</t>
  </si>
  <si>
    <t>Existing Lignite Power Plants</t>
  </si>
  <si>
    <t>ELE_EX_GAS_CCGT</t>
  </si>
  <si>
    <t>Existing Gas Combined Cycle Power Plants</t>
  </si>
  <si>
    <t>ELE_EX_HC</t>
  </si>
  <si>
    <t>Existing Hard Coal Power Plants</t>
  </si>
  <si>
    <t>ELE_EX_OIL</t>
  </si>
  <si>
    <t>Existing Oil Power Plants</t>
  </si>
  <si>
    <t>STG</t>
  </si>
  <si>
    <t>STG_EX_PHS</t>
  </si>
  <si>
    <t>Existing Pump Storage</t>
  </si>
  <si>
    <t>ELE_EX_HYD</t>
  </si>
  <si>
    <t>Existing Hydro Power Plants</t>
  </si>
  <si>
    <t>ELE_EX_PV_ROOF</t>
  </si>
  <si>
    <t>Existing Photovoltaic Rooftop</t>
  </si>
  <si>
    <t>ELE_EX_PV_UTI</t>
  </si>
  <si>
    <t>Existing Photovoltaics Utility</t>
  </si>
  <si>
    <t>ELE_EX_WIND_ON</t>
  </si>
  <si>
    <t>Existing Onshore Wind Turbines</t>
  </si>
  <si>
    <t>ELE_EX_OTH</t>
  </si>
  <si>
    <t>Existing Others Power Plants</t>
  </si>
  <si>
    <t>PRE</t>
  </si>
  <si>
    <t>TaD_EX_GRID</t>
  </si>
  <si>
    <t>Existing Grid</t>
  </si>
  <si>
    <t>Pja</t>
  </si>
  <si>
    <t>Available Process Sets</t>
  </si>
  <si>
    <t>Power Plant (Electricity Only)</t>
  </si>
  <si>
    <t>CHP</t>
  </si>
  <si>
    <t>Combined Heat &amp; Power Plant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</si>
  <si>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</si>
  <si>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</si>
  <si>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</si>
  <si>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</si>
  <si>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</si>
  <si>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</si>
  <si>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</si>
  <si>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</si>
  <si>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</si>
  <si>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</si>
  <si>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</si>
  <si>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</si>
  <si>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</si>
  <si>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</si>
  <si>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</si>
  <si>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NEW_NUC</t>
  </si>
  <si>
    <t>Nuclear</t>
  </si>
  <si>
    <t>EX_LIG_1</t>
  </si>
  <si>
    <t>Lignite old 1</t>
  </si>
  <si>
    <t>EX_LIG_2</t>
  </si>
  <si>
    <t>Lignite old 2</t>
  </si>
  <si>
    <t>EX_HC_1</t>
  </si>
  <si>
    <t>Hard coal old 1</t>
  </si>
  <si>
    <t>EX_HC_2</t>
  </si>
  <si>
    <t>Hard coal old 2</t>
  </si>
  <si>
    <t>NEW_HC</t>
  </si>
  <si>
    <t>Hard coal new</t>
  </si>
  <si>
    <t>NEW_CCGT</t>
  </si>
  <si>
    <t>Gas CCGT new</t>
  </si>
  <si>
    <t>EX_HYD</t>
  </si>
  <si>
    <t>Run-of-River</t>
  </si>
  <si>
    <t>Reservoir</t>
  </si>
  <si>
    <t>EX_PHS_OPEN</t>
  </si>
  <si>
    <t>Pump Storage - Open Loop (turbine)</t>
  </si>
  <si>
    <t>Pump Storage - Open Loop (pump)</t>
  </si>
  <si>
    <t>EX_PHS_CLOSED</t>
  </si>
  <si>
    <t>Pump Storage - Closed Loop (turbine)</t>
  </si>
  <si>
    <t>Pump Storage - Closed Loop (pump)</t>
  </si>
  <si>
    <t>EX_WND_ON</t>
  </si>
  <si>
    <t>Wind Onshore</t>
  </si>
  <si>
    <t>EX_WND_OFF</t>
  </si>
  <si>
    <t>Wind Offshore</t>
  </si>
  <si>
    <t>EX_PV</t>
  </si>
  <si>
    <t>Solar (Photovoltaic)</t>
  </si>
  <si>
    <t>Others renewable</t>
  </si>
  <si>
    <t>Others non-renewable</t>
  </si>
  <si>
    <t>Hard Coal biofuel</t>
  </si>
  <si>
    <t>Electrolyser (load)</t>
  </si>
  <si>
    <t>Hydrogen CCGT</t>
  </si>
  <si>
    <t>EX_PV_ROOF</t>
  </si>
  <si>
    <t>NEW_PV_ROOF</t>
  </si>
  <si>
    <t>EX_BIOM</t>
  </si>
  <si>
    <t>EX_LIG</t>
  </si>
  <si>
    <t>Gas conventional old 1</t>
  </si>
  <si>
    <t>Gas conventional old 2</t>
  </si>
  <si>
    <t>EX_CGGT</t>
  </si>
  <si>
    <t>EX_HC</t>
  </si>
  <si>
    <t>Heavy oil old 1</t>
  </si>
  <si>
    <t>EX_OIL</t>
  </si>
  <si>
    <t>EX_PHS</t>
  </si>
  <si>
    <t>EX_WIND_ON</t>
  </si>
  <si>
    <t>EX_OTH</t>
  </si>
  <si>
    <t>2020 = 2023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</si>
  <si>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</si>
  <si>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</si>
  <si>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</si>
  <si>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</si>
  <si>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</si>
  <si>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</si>
  <si>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</si>
  <si>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</si>
  <si>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</si>
  <si>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</si>
  <si>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</si>
  <si>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</si>
  <si>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</si>
  <si>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</si>
  <si>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</si>
  <si>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*AFA~2020~2021~FX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</si>
  <si>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</si>
  <si>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</si>
  <si>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</si>
  <si>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</si>
  <si>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</si>
  <si>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</si>
  <si>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</si>
  <si>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</si>
  <si>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</si>
  <si>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</si>
  <si>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</si>
  <si>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</si>
  <si>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</si>
  <si>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SEP 2022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</si>
  <si>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</si>
  <si>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</si>
  <si>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</si>
  <si>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</si>
  <si>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</si>
  <si>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Moc zainstalowana (w roku po znaku ~)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</si>
  <si>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</si>
  <si>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</si>
  <si>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</si>
  <si>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</si>
  <si>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PLN/MWh</t>
  </si>
  <si>
    <t>PLN/GJ</t>
  </si>
  <si>
    <t>Variable cost</t>
  </si>
  <si>
    <t>Fixed costs</t>
  </si>
  <si>
    <t>https://pv-polska.pl/a-rising-star-pv-market-poland/</t>
  </si>
  <si>
    <t>Paliwo/Technologia</t>
  </si>
  <si>
    <t>Okres uruchomienia</t>
  </si>
  <si>
    <t>Nakłady inwest. OVN</t>
  </si>
  <si>
    <t>Koszty</t>
  </si>
  <si>
    <t>Sprawność netto elektr. /całkowita</t>
  </si>
  <si>
    <t>Techniczny czas życia</t>
  </si>
  <si>
    <r>
      <t>Wskaź. emisji CO</t>
    </r>
    <r>
      <rPr>
        <b/>
        <vertAlign val="subscript"/>
        <sz val="8"/>
        <color rgb="FF000000"/>
        <rFont val="Lato"/>
        <family val="2"/>
        <charset val="1"/>
      </rPr>
      <t>2</t>
    </r>
  </si>
  <si>
    <t>Stałe</t>
  </si>
  <si>
    <t>Zmienne</t>
  </si>
  <si>
    <r>
      <t>tys.€/MW</t>
    </r>
    <r>
      <rPr>
        <b/>
        <vertAlign val="subscript"/>
        <sz val="8"/>
        <color rgb="FF000000"/>
        <rFont val="Lato"/>
        <family val="2"/>
        <charset val="1"/>
      </rPr>
      <t>net</t>
    </r>
  </si>
  <si>
    <r>
      <t>€/MWh</t>
    </r>
    <r>
      <rPr>
        <b/>
        <vertAlign val="subscript"/>
        <sz val="8"/>
        <color rgb="FF000000"/>
        <rFont val="Lato"/>
        <family val="2"/>
        <charset val="1"/>
      </rPr>
      <t>net</t>
    </r>
  </si>
  <si>
    <t>%</t>
  </si>
  <si>
    <t>Lata</t>
  </si>
  <si>
    <t>kg/GJ</t>
  </si>
  <si>
    <t>1.1 Węgiel brunatny - PL</t>
  </si>
  <si>
    <t>2020-2050</t>
  </si>
  <si>
    <t>1.2 Węgiel brunatny - PC+CCS</t>
  </si>
  <si>
    <t>2030-2050</t>
  </si>
  <si>
    <t>9,5**</t>
  </si>
  <si>
    <t>14*</t>
  </si>
  <si>
    <t>ROOFTOP</t>
  </si>
  <si>
    <t>1.3 Węgiel brunatny - FBC</t>
  </si>
  <si>
    <t>UTILITY</t>
  </si>
  <si>
    <t>2.1 Węgiel kamienny - PC</t>
  </si>
  <si>
    <t>2.2 Węgiel kamienny - IGCC</t>
  </si>
  <si>
    <t>2025-2050</t>
  </si>
  <si>
    <t>TABL. 3. 17. (37) and TABL. 3. 16. (36) Statystyka Elektroenergetyki Polskiej 2022</t>
  </si>
  <si>
    <t>Fuel Cons. [tys.ton węgla or mlnm3]</t>
  </si>
  <si>
    <t>Fuel LHV [kJ/kg or kJ/m3]</t>
  </si>
  <si>
    <t>Fuel cons [TJ]</t>
  </si>
  <si>
    <t>Gross electricity production [GWh]</t>
  </si>
  <si>
    <t>Gross electricity production [TJ]</t>
  </si>
  <si>
    <t>2.3 Węgiel kamienny - IGCC+CCS</t>
  </si>
  <si>
    <t>11,3**</t>
  </si>
  <si>
    <t>12*</t>
  </si>
  <si>
    <t>2.4 Węgiel kamienny - CHP</t>
  </si>
  <si>
    <t>30/80</t>
  </si>
  <si>
    <t>2.5 Węgiel kamienny - CHP+CCS</t>
  </si>
  <si>
    <t>22/75</t>
  </si>
  <si>
    <r>
      <t>3.1 Gaz ziemny/Wodór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- CCGT</t>
    </r>
  </si>
  <si>
    <t>58-62</t>
  </si>
  <si>
    <t>3.2 Gaz ziemny - CCGT+CCS</t>
  </si>
  <si>
    <t>4,4**</t>
  </si>
  <si>
    <t>50-52</t>
  </si>
  <si>
    <t>6*</t>
  </si>
  <si>
    <t>dont exist in Poland!!</t>
  </si>
  <si>
    <r>
      <t>3.3 Gaz ziemny/Wodór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- CHP CCGT</t>
    </r>
  </si>
  <si>
    <t>52-56</t>
  </si>
  <si>
    <r>
      <t>3.4 Gaz ziemny//Wodór</t>
    </r>
    <r>
      <rPr>
        <vertAlign val="superscript"/>
        <sz val="8"/>
        <rFont val="Lato"/>
        <family val="2"/>
        <charset val="1"/>
      </rPr>
      <t>#</t>
    </r>
    <r>
      <rPr>
        <sz val="8"/>
        <rFont val="Lato"/>
        <family val="2"/>
        <charset val="1"/>
      </rPr>
      <t xml:space="preserve"> – TG</t>
    </r>
  </si>
  <si>
    <t>Hydro - source TABL. 3. 25. (45) WAŻNIEJSZE INFORMACJE O ELEKTROWNIACH
WODNYCH ZAWODOWYCH</t>
  </si>
  <si>
    <t>3.5 Gaz Mikro CHP</t>
  </si>
  <si>
    <t>-</t>
  </si>
  <si>
    <t>20/90</t>
  </si>
  <si>
    <t>4.1 Jądrowa – PWR</t>
  </si>
  <si>
    <t>4.2 Małe reaktory jądrowe_ SMR</t>
  </si>
  <si>
    <r>
      <t>6500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5250</t>
    </r>
  </si>
  <si>
    <t>5.1 Wiatrowe na lądzie</t>
  </si>
  <si>
    <r>
      <t>1500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1150</t>
    </r>
  </si>
  <si>
    <t>5.2 Wiatrowe na morzu</t>
  </si>
  <si>
    <t>2020-2030</t>
  </si>
  <si>
    <r>
      <t>3050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2450</t>
    </r>
  </si>
  <si>
    <t>5.3 Wiatrowe na morzu</t>
  </si>
  <si>
    <t>2031-2050</t>
  </si>
  <si>
    <r>
      <t>2450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1850</t>
    </r>
  </si>
  <si>
    <t>5.4 Duże wodne</t>
  </si>
  <si>
    <t>5.5 Małe wodne</t>
  </si>
  <si>
    <t>5.6 Geotermalne</t>
  </si>
  <si>
    <r>
      <t>7780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6650</t>
    </r>
  </si>
  <si>
    <t>5.8 Ogniwa fotowoltaiczne</t>
  </si>
  <si>
    <r>
      <t>840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610</t>
    </r>
  </si>
  <si>
    <t>5.9 Ogniwa fotowoltaiczne dachowe</t>
  </si>
  <si>
    <r>
      <t>1100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780</t>
    </r>
  </si>
  <si>
    <t>5.10 Biogaz rolniczy - CHP</t>
  </si>
  <si>
    <r>
      <t>3650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3050</t>
    </r>
  </si>
  <si>
    <t>36/85</t>
  </si>
  <si>
    <t>5.11 Biogaz z oczyszcz. ścieków- CHP</t>
  </si>
  <si>
    <t>34/85</t>
  </si>
  <si>
    <t>5.12 Biogaz składowiskowy - CHP</t>
  </si>
  <si>
    <t>40/85</t>
  </si>
  <si>
    <t>5.13 Biomasa stała - CHP</t>
  </si>
  <si>
    <r>
      <t>3250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3000</t>
    </r>
  </si>
  <si>
    <t>6.1 El. wodne pompowe</t>
  </si>
  <si>
    <t>6.1 Bateryjne układy magazynowania en. elektr.</t>
  </si>
  <si>
    <r>
      <t>555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225 [€/kWh]</t>
    </r>
  </si>
  <si>
    <t>7.1 Elektrolizery</t>
  </si>
  <si>
    <r>
      <t>550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285</t>
    </r>
  </si>
  <si>
    <r>
      <t>30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25</t>
    </r>
  </si>
  <si>
    <r>
      <t>68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75</t>
    </r>
  </si>
  <si>
    <t>8.1 Ciepłownia Węgiel</t>
  </si>
  <si>
    <t>8.2 Ciepłownia Gaz ziemny</t>
  </si>
  <si>
    <t>8.3 Ciepłownia Olej opałowy</t>
  </si>
  <si>
    <t>8.4 Ciepłownia Biomasa</t>
  </si>
  <si>
    <t>8.5 Ciepłownia Biogaz</t>
  </si>
  <si>
    <t>8.6 Ciepłownia Kotły elektrodowe/Grzejniki el.</t>
  </si>
  <si>
    <t>8.7 Ciepłownia Geotermalna</t>
  </si>
  <si>
    <r>
      <t>2850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2500</t>
    </r>
  </si>
  <si>
    <t>8.8 Ciepłownia Pompy ciepła</t>
  </si>
  <si>
    <r>
      <t>950</t>
    </r>
    <r>
      <rPr>
        <sz val="8"/>
        <rFont val="Arial"/>
        <family val="2"/>
        <charset val="1"/>
      </rPr>
      <t>↓</t>
    </r>
    <r>
      <rPr>
        <sz val="8"/>
        <rFont val="Lato"/>
        <family val="2"/>
        <charset val="1"/>
      </rPr>
      <t>850</t>
    </r>
  </si>
  <si>
    <t>Podłączenie do/wzmocnienie sieci</t>
  </si>
  <si>
    <t> </t>
  </si>
  <si>
    <t>9.1 Elektrownie systemowe</t>
  </si>
  <si>
    <t>9.2 Elektrownie wiatrowe na lądzie</t>
  </si>
  <si>
    <t>9.3 Elektrownie wiatrowe na morzu</t>
  </si>
  <si>
    <t>9.4 Inne el. I elektrociepłownie</t>
  </si>
  <si>
    <t>50-250</t>
  </si>
  <si>
    <t>Renewable Energy Sources</t>
  </si>
  <si>
    <t>*TechDesc</t>
  </si>
  <si>
    <t>Fixed O&amp;M Costs [PLN/kW/a]</t>
  </si>
  <si>
    <t>Variable O&amp;M Costs [PLN/GJ/a]</t>
  </si>
  <si>
    <t>Koszty stałe (niezależne od produkcji) (na rok)</t>
  </si>
  <si>
    <t>Koszty zmienne niepaliwowe (zależne od produkcji) (na rok)</t>
  </si>
  <si>
    <t>Exchange rate</t>
  </si>
  <si>
    <t>TYNDP 2024</t>
  </si>
  <si>
    <t>Distributed Energy (TYNDP 2024)</t>
  </si>
  <si>
    <t>Global Ambition (TYNDP 2024)</t>
  </si>
  <si>
    <t>HYDRO TU</t>
  </si>
  <si>
    <t>Rooftop PV (only residential)</t>
  </si>
  <si>
    <t>CAPEX</t>
  </si>
  <si>
    <t>€/MW</t>
  </si>
  <si>
    <t>OPEX</t>
  </si>
  <si>
    <t>€/MW/a</t>
  </si>
  <si>
    <t>Utility-scale PV</t>
  </si>
  <si>
    <t>Utility-scale PV ground mounted, single axis tracking</t>
  </si>
  <si>
    <t>Onshore</t>
  </si>
  <si>
    <t>AC Radial Wind Offshore Fixed</t>
  </si>
  <si>
    <t>DC Radial Wind Offshore Fixed</t>
  </si>
  <si>
    <t>STG_EFF</t>
  </si>
  <si>
    <t>CommGrp</t>
  </si>
  <si>
    <t>NCAP_AFC~DAYNITE</t>
  </si>
  <si>
    <t>* Discharge time</t>
  </si>
  <si>
    <t>h</t>
  </si>
  <si>
    <t>ACT</t>
  </si>
  <si>
    <t>CAPACITY = Electrical Capacity of PHS generator</t>
  </si>
  <si>
    <t>Combined Heat and Power Plants</t>
  </si>
  <si>
    <t>*Obliczenia pomocnicze</t>
  </si>
  <si>
    <t>INACTIVE</t>
  </si>
  <si>
    <t>CHPR~FX</t>
  </si>
  <si>
    <t>CHPR~LO</t>
  </si>
  <si>
    <t>CHPR~UP</t>
  </si>
  <si>
    <t>CEH</t>
  </si>
  <si>
    <t>STOCK~2020~2021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</si>
  <si>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</si>
  <si>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</si>
  <si>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</si>
  <si>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</si>
  <si>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</si>
  <si>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</si>
  <si>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</si>
  <si>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</si>
  <si>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</si>
  <si>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>[TWh]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</si>
  <si>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</si>
  <si>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</si>
  <si>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</si>
  <si>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</si>
  <si>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</si>
  <si>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</si>
  <si>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</si>
  <si>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</si>
  <si>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</si>
  <si>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</si>
  <si>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</si>
  <si>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ZAMROŻENIE  - NIE OBCHODZI NAS TO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</si>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</sst>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#,##0.000___)"/>
  </numFmts>
  <fonts count="139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AvenirNext LT Com Regular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name val="Calibri"/>
      <family val="2"/>
    </font>
    <font>
      <u/>
      <sz val="10"/>
      <color theme="10"/>
      <name val="Arial"/>
      <family val="2"/>
      <charset val="238"/>
    </font>
    <font>
      <b/>
      <sz val="8"/>
      <color rgb="FF000000"/>
      <name val="Lato"/>
      <family val="2"/>
      <charset val="1"/>
    </font>
    <font>
      <b/>
      <vertAlign val="subscript"/>
      <sz val="8"/>
      <color rgb="FF000000"/>
      <name val="Lato"/>
      <family val="2"/>
      <charset val="1"/>
    </font>
    <font>
      <vertAlign val="superscript"/>
      <sz val="8"/>
      <name val="Lato"/>
      <family val="2"/>
      <charset val="1"/>
    </font>
    <font>
      <sz val="8"/>
      <name val="Lato"/>
      <family val="2"/>
      <charset val="1"/>
    </font>
    <font>
      <sz val="8"/>
      <name val="Arial"/>
      <family val="2"/>
      <charset val="1"/>
    </font>
    <font>
      <b/>
      <sz val="8"/>
      <name val="Lato"/>
      <family val="2"/>
      <charset val="1"/>
    </font>
    <font>
      <sz val="10"/>
      <name val="Arial"/>
      <family val="2"/>
    </font>
    <font>
      <sz val="10"/>
      <color rgb="FF010000"/>
      <name val="Arial"/>
      <family val="2"/>
      <charset val="238"/>
    </font>
    <font>
      <b/>
      <sz val="12"/>
      <color rgb="FFFFFF00"/>
      <name val="Arial"/>
      <family val="2"/>
      <charset val="238"/>
    </font>
    <font>
      <sz val="8"/>
      <color rgb="FF000000"/>
      <name val="Tahoma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</borders>
  <cellStyleXfs count="124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3" borderId="0" applyNumberFormat="0" applyBorder="0" applyAlignment="0" applyProtection="0"/>
    <xf numFmtId="0" fontId="108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77" fontId="5" fillId="20" borderId="1">
      <alignment horizontal="center" vertical="center"/>
    </xf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60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60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0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60" fillId="19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27" fillId="21" borderId="2" applyNumberForma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36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179" fontId="83" fillId="0" borderId="0">
      <protection locked="0"/>
    </xf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4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7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5" fillId="0" borderId="0" applyFont="0" applyFill="0" applyBorder="0" applyAlignment="0" applyProtection="0">
      <alignment wrapText="1"/>
    </xf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0" fillId="4" borderId="0" applyNumberFormat="0" applyBorder="0" applyAlignment="0" applyProtection="0"/>
    <xf numFmtId="0" fontId="109" fillId="41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4" fillId="7" borderId="3" applyNumberFormat="0" applyAlignment="0" applyProtection="0"/>
    <xf numFmtId="0" fontId="29" fillId="0" borderId="5" applyNumberFormat="0" applyFill="0" applyAlignment="0" applyProtection="0"/>
    <xf numFmtId="0" fontId="19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38" fontId="6" fillId="23" borderId="0" applyNumberFormat="0" applyBorder="0" applyAlignment="0" applyProtection="0"/>
    <xf numFmtId="0" fontId="20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1" fillId="0" borderId="6" applyNumberFormat="0" applyFill="0" applyAlignment="0" applyProtection="0"/>
    <xf numFmtId="0" fontId="88" fillId="0" borderId="0">
      <protection locked="0"/>
    </xf>
    <xf numFmtId="0" fontId="21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7" applyNumberFormat="0" applyFill="0" applyAlignment="0" applyProtection="0"/>
    <xf numFmtId="0" fontId="88" fillId="0" borderId="0">
      <protection locked="0"/>
    </xf>
    <xf numFmtId="0" fontId="22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5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8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65" fillId="22" borderId="4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1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2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3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6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6" fillId="25" borderId="0" applyNumberFormat="0" applyBorder="0" applyAlignment="0" applyProtection="0"/>
    <xf numFmtId="0" fontId="112" fillId="42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4" fillId="0" borderId="0"/>
    <xf numFmtId="0" fontId="55" fillId="0" borderId="0"/>
    <xf numFmtId="0" fontId="57" fillId="0" borderId="0"/>
    <xf numFmtId="0" fontId="46" fillId="0" borderId="0"/>
    <xf numFmtId="0" fontId="46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54" fillId="0" borderId="0"/>
    <xf numFmtId="0" fontId="46" fillId="0" borderId="0"/>
    <xf numFmtId="0" fontId="46" fillId="0" borderId="0"/>
    <xf numFmtId="0" fontId="55" fillId="0" borderId="0"/>
    <xf numFmtId="0" fontId="55" fillId="0" borderId="0"/>
    <xf numFmtId="0" fontId="107" fillId="0" borderId="0"/>
    <xf numFmtId="0" fontId="113" fillId="0" borderId="0"/>
    <xf numFmtId="0" fontId="79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5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101" fillId="0" borderId="0"/>
    <xf numFmtId="0" fontId="46" fillId="0" borderId="0"/>
    <xf numFmtId="0" fontId="46" fillId="0" borderId="0"/>
    <xf numFmtId="0" fontId="46" fillId="0" borderId="0"/>
    <xf numFmtId="0" fontId="1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4" fillId="27" borderId="13" applyNumberFormat="0" applyFon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70" fillId="21" borderId="3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0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6" fillId="3" borderId="0" applyNumberFormat="0" applyBorder="0" applyAlignment="0" applyProtection="0"/>
    <xf numFmtId="0" fontId="76" fillId="26" borderId="10"/>
    <xf numFmtId="0" fontId="48" fillId="0" borderId="0"/>
    <xf numFmtId="0" fontId="5" fillId="0" borderId="0"/>
    <xf numFmtId="0" fontId="56" fillId="0" borderId="0"/>
    <xf numFmtId="0" fontId="107" fillId="0" borderId="0"/>
    <xf numFmtId="0" fontId="107" fillId="0" borderId="0"/>
    <xf numFmtId="0" fontId="56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4" fillId="0" borderId="0"/>
    <xf numFmtId="0" fontId="78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4" fillId="0" borderId="0"/>
    <xf numFmtId="0" fontId="107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4" fillId="0" borderId="0"/>
    <xf numFmtId="0" fontId="107" fillId="0" borderId="0"/>
    <xf numFmtId="0" fontId="14" fillId="0" borderId="0"/>
    <xf numFmtId="0" fontId="14" fillId="0" borderId="0"/>
    <xf numFmtId="0" fontId="6" fillId="0" borderId="0"/>
    <xf numFmtId="0" fontId="107" fillId="0" borderId="0"/>
    <xf numFmtId="0" fontId="6" fillId="0" borderId="0"/>
    <xf numFmtId="0" fontId="107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4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184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2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5" applyNumberFormat="0" applyFill="0" applyAlignment="0" applyProtection="0"/>
    <xf numFmtId="0" fontId="88" fillId="0" borderId="0">
      <protection locked="0"/>
    </xf>
    <xf numFmtId="0" fontId="29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" fontId="99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5" fillId="0" borderId="12" applyNumberFormat="0" applyFill="0" applyAlignment="0" applyProtection="0"/>
    <xf numFmtId="166" fontId="5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5" fontId="100" fillId="0" borderId="0">
      <alignment horizontal="right" vertical="center"/>
    </xf>
    <xf numFmtId="0" fontId="18" fillId="22" borderId="4" applyNumberForma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6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4" fontId="76" fillId="0" borderId="0"/>
    <xf numFmtId="0" fontId="53" fillId="0" borderId="0" applyNumberFormat="0" applyFill="0" applyBorder="0" applyAlignment="0" applyProtection="0">
      <alignment vertical="center"/>
    </xf>
    <xf numFmtId="0" fontId="115" fillId="0" borderId="0"/>
    <xf numFmtId="0" fontId="117" fillId="0" borderId="0"/>
    <xf numFmtId="0" fontId="123" fillId="0" borderId="0"/>
    <xf numFmtId="0" fontId="128" fillId="0" borderId="0" applyNumberFormat="0" applyFill="0" applyBorder="0" applyAlignment="0" applyProtection="0"/>
    <xf numFmtId="9" fontId="135" fillId="0" borderId="0" applyFont="0" applyFill="0" applyBorder="0" applyAlignment="0" applyProtection="0"/>
    <xf numFmtId="0" fontId="46" fillId="0" borderId="0"/>
    <xf numFmtId="0" fontId="5" fillId="0" borderId="0"/>
  </cellStyleXfs>
  <cellXfs count="197">
    <xf numFmtId="0" fontId="0" fillId="0" borderId="0" xfId="0"/>
    <xf numFmtId="0" fontId="106" fillId="0" borderId="0" xfId="0" applyFont="1"/>
    <xf numFmtId="0" fontId="46" fillId="0" borderId="0" xfId="0" applyFont="1"/>
    <xf numFmtId="0" fontId="5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0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5" fillId="0" borderId="0" xfId="800"/>
    <xf numFmtId="0" fontId="5" fillId="0" borderId="0" xfId="800" applyAlignment="1">
      <alignment horizontal="right"/>
    </xf>
    <xf numFmtId="0" fontId="7" fillId="0" borderId="0" xfId="800" applyFont="1" applyAlignment="1">
      <alignment horizontal="left"/>
    </xf>
    <xf numFmtId="0" fontId="8" fillId="0" borderId="0" xfId="800" applyFont="1" applyAlignment="1">
      <alignment horizontal="right"/>
    </xf>
    <xf numFmtId="0" fontId="104" fillId="0" borderId="20" xfId="0" applyFont="1" applyBorder="1" applyAlignment="1">
      <alignment horizontal="left"/>
    </xf>
    <xf numFmtId="0" fontId="103" fillId="40" borderId="0" xfId="0" applyFont="1" applyFill="1"/>
    <xf numFmtId="0" fontId="102" fillId="0" borderId="0" xfId="0" applyFont="1"/>
    <xf numFmtId="186" fontId="4" fillId="40" borderId="0" xfId="0" applyNumberFormat="1" applyFont="1" applyFill="1"/>
    <xf numFmtId="186" fontId="5" fillId="0" borderId="0" xfId="0" applyNumberFormat="1" applyFont="1"/>
    <xf numFmtId="186" fontId="7" fillId="0" borderId="0" xfId="0" applyNumberFormat="1" applyFont="1"/>
    <xf numFmtId="186" fontId="0" fillId="0" borderId="0" xfId="0" applyNumberFormat="1"/>
    <xf numFmtId="0" fontId="105" fillId="0" borderId="0" xfId="0" applyFont="1" applyAlignment="1">
      <alignment wrapText="1"/>
    </xf>
    <xf numFmtId="0" fontId="0" fillId="43" borderId="0" xfId="0" applyFill="1"/>
    <xf numFmtId="0" fontId="5" fillId="43" borderId="0" xfId="0" applyFont="1" applyFill="1"/>
    <xf numFmtId="0" fontId="106" fillId="0" borderId="0" xfId="0" applyFont="1" applyAlignment="1">
      <alignment horizontal="left"/>
    </xf>
    <xf numFmtId="186" fontId="0" fillId="43" borderId="0" xfId="0" applyNumberFormat="1" applyFill="1"/>
    <xf numFmtId="0" fontId="5" fillId="43" borderId="21" xfId="0" applyFont="1" applyFill="1" applyBorder="1"/>
    <xf numFmtId="171" fontId="0" fillId="0" borderId="0" xfId="0" applyNumberFormat="1"/>
    <xf numFmtId="0" fontId="31" fillId="0" borderId="0" xfId="796" applyFont="1" applyAlignment="1">
      <alignment horizontal="center"/>
    </xf>
    <xf numFmtId="0" fontId="0" fillId="43" borderId="21" xfId="0" applyFill="1" applyBorder="1"/>
    <xf numFmtId="0" fontId="116" fillId="43" borderId="0" xfId="0" applyFont="1" applyFill="1"/>
    <xf numFmtId="0" fontId="57" fillId="0" borderId="0" xfId="0" applyFont="1" applyAlignment="1">
      <alignment horizontal="center"/>
    </xf>
    <xf numFmtId="187" fontId="46" fillId="0" borderId="0" xfId="1243" applyNumberFormat="1" applyFont="1" applyAlignment="1">
      <alignment horizontal="right" vertical="center"/>
    </xf>
    <xf numFmtId="187" fontId="46" fillId="0" borderId="0" xfId="1243" applyNumberFormat="1" applyFont="1" applyAlignment="1">
      <alignment horizontal="center" vertical="center"/>
    </xf>
    <xf numFmtId="2" fontId="46" fillId="0" borderId="0" xfId="0" applyNumberFormat="1" applyFont="1"/>
    <xf numFmtId="2" fontId="0" fillId="0" borderId="0" xfId="0" applyNumberFormat="1"/>
    <xf numFmtId="169" fontId="116" fillId="43" borderId="0" xfId="0" applyNumberFormat="1" applyFont="1" applyFill="1"/>
    <xf numFmtId="0" fontId="105" fillId="0" borderId="0" xfId="913" applyFont="1"/>
    <xf numFmtId="0" fontId="118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5" fillId="45" borderId="0" xfId="0" applyFont="1" applyFill="1"/>
    <xf numFmtId="0" fontId="0" fillId="45" borderId="0" xfId="0" applyFill="1"/>
    <xf numFmtId="0" fontId="116" fillId="45" borderId="0" xfId="0" applyFont="1" applyFill="1"/>
    <xf numFmtId="169" fontId="116" fillId="45" borderId="0" xfId="0" applyNumberFormat="1" applyFont="1" applyFill="1"/>
    <xf numFmtId="0" fontId="0" fillId="45" borderId="21" xfId="0" applyFill="1" applyBorder="1"/>
    <xf numFmtId="0" fontId="5" fillId="45" borderId="21" xfId="0" applyFont="1" applyFill="1" applyBorder="1"/>
    <xf numFmtId="0" fontId="116" fillId="45" borderId="21" xfId="0" applyFont="1" applyFill="1" applyBorder="1"/>
    <xf numFmtId="186" fontId="0" fillId="45" borderId="0" xfId="0" applyNumberFormat="1" applyFill="1"/>
    <xf numFmtId="0" fontId="46" fillId="0" borderId="10" xfId="0" applyFont="1" applyBorder="1"/>
    <xf numFmtId="0" fontId="0" fillId="0" borderId="10" xfId="0" applyBorder="1"/>
    <xf numFmtId="0" fontId="5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0" fontId="57" fillId="0" borderId="0" xfId="0" applyFont="1"/>
    <xf numFmtId="188" fontId="46" fillId="0" borderId="0" xfId="1243" applyNumberFormat="1" applyFont="1" applyAlignment="1">
      <alignment horizontal="right" vertical="center"/>
    </xf>
    <xf numFmtId="169" fontId="119" fillId="43" borderId="0" xfId="0" applyNumberFormat="1" applyFont="1" applyFill="1"/>
    <xf numFmtId="2" fontId="119" fillId="43" borderId="0" xfId="0" applyNumberFormat="1" applyFont="1" applyFill="1"/>
    <xf numFmtId="0" fontId="119" fillId="43" borderId="0" xfId="0" applyFont="1" applyFill="1"/>
    <xf numFmtId="0" fontId="119" fillId="45" borderId="0" xfId="0" applyFont="1" applyFill="1"/>
    <xf numFmtId="169" fontId="119" fillId="45" borderId="0" xfId="0" applyNumberFormat="1" applyFont="1" applyFill="1"/>
    <xf numFmtId="0" fontId="5" fillId="43" borderId="0" xfId="0" applyFont="1" applyFill="1" applyAlignment="1">
      <alignment horizontal="right"/>
    </xf>
    <xf numFmtId="2" fontId="5" fillId="43" borderId="0" xfId="0" applyNumberFormat="1" applyFont="1" applyFill="1" applyAlignment="1">
      <alignment horizontal="right"/>
    </xf>
    <xf numFmtId="2" fontId="119" fillId="45" borderId="0" xfId="0" applyNumberFormat="1" applyFont="1" applyFill="1"/>
    <xf numFmtId="2" fontId="0" fillId="43" borderId="0" xfId="0" applyNumberFormat="1" applyFill="1"/>
    <xf numFmtId="169" fontId="0" fillId="43" borderId="21" xfId="0" applyNumberFormat="1" applyFill="1" applyBorder="1"/>
    <xf numFmtId="0" fontId="105" fillId="0" borderId="0" xfId="0" applyFont="1"/>
    <xf numFmtId="0" fontId="46" fillId="47" borderId="0" xfId="0" applyFont="1" applyFill="1"/>
    <xf numFmtId="0" fontId="46" fillId="48" borderId="0" xfId="0" applyFont="1" applyFill="1"/>
    <xf numFmtId="0" fontId="46" fillId="47" borderId="22" xfId="0" applyFont="1" applyFill="1" applyBorder="1"/>
    <xf numFmtId="0" fontId="46" fillId="47" borderId="23" xfId="0" applyFont="1" applyFill="1" applyBorder="1"/>
    <xf numFmtId="0" fontId="4" fillId="40" borderId="0" xfId="0" quotePrefix="1" applyFont="1" applyFill="1"/>
    <xf numFmtId="0" fontId="8" fillId="40" borderId="0" xfId="0" applyFont="1" applyFill="1"/>
    <xf numFmtId="0" fontId="121" fillId="40" borderId="0" xfId="0" quotePrefix="1" applyFont="1" applyFill="1" applyAlignment="1">
      <alignment horizontal="left"/>
    </xf>
    <xf numFmtId="0" fontId="31" fillId="0" borderId="0" xfId="796" applyFont="1" applyAlignment="1">
      <alignment horizontal="left"/>
    </xf>
    <xf numFmtId="0" fontId="4" fillId="40" borderId="0" xfId="0" applyFont="1" applyFill="1" applyAlignment="1">
      <alignment readingOrder="1"/>
    </xf>
    <xf numFmtId="186" fontId="3" fillId="28" borderId="19" xfId="0" applyNumberFormat="1" applyFont="1" applyFill="1" applyBorder="1" applyAlignment="1">
      <alignment horizontal="center" vertical="center"/>
    </xf>
    <xf numFmtId="186" fontId="5" fillId="39" borderId="19" xfId="791" applyNumberFormat="1" applyFill="1" applyBorder="1" applyAlignment="1">
      <alignment horizontal="center" vertical="center" wrapText="1"/>
    </xf>
    <xf numFmtId="186" fontId="5" fillId="39" borderId="21" xfId="791" applyNumberFormat="1" applyFill="1" applyBorder="1" applyAlignment="1">
      <alignment horizontal="center" vertical="center" wrapText="1"/>
    </xf>
    <xf numFmtId="186" fontId="3" fillId="28" borderId="19" xfId="0" applyNumberFormat="1" applyFont="1" applyFill="1" applyBorder="1" applyAlignment="1">
      <alignment horizontal="center" vertical="center" wrapText="1"/>
    </xf>
    <xf numFmtId="0" fontId="122" fillId="50" borderId="20" xfId="0" applyFont="1" applyFill="1" applyBorder="1"/>
    <xf numFmtId="0" fontId="0" fillId="50" borderId="20" xfId="0" applyFill="1" applyBorder="1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9" fillId="51" borderId="25" xfId="1244" applyFont="1" applyFill="1" applyBorder="1"/>
    <xf numFmtId="2" fontId="0" fillId="45" borderId="0" xfId="0" applyNumberFormat="1" applyFill="1"/>
    <xf numFmtId="0" fontId="124" fillId="0" borderId="0" xfId="0" applyFont="1"/>
    <xf numFmtId="0" fontId="125" fillId="0" borderId="0" xfId="0" applyFont="1"/>
    <xf numFmtId="9" fontId="126" fillId="52" borderId="0" xfId="0" applyNumberFormat="1" applyFont="1" applyFill="1"/>
    <xf numFmtId="0" fontId="124" fillId="53" borderId="0" xfId="0" applyFont="1" applyFill="1"/>
    <xf numFmtId="0" fontId="125" fillId="53" borderId="0" xfId="0" applyFont="1" applyFill="1"/>
    <xf numFmtId="3" fontId="125" fillId="0" borderId="0" xfId="0" applyNumberFormat="1" applyFont="1"/>
    <xf numFmtId="0" fontId="124" fillId="54" borderId="0" xfId="0" applyFont="1" applyFill="1"/>
    <xf numFmtId="0" fontId="125" fillId="54" borderId="0" xfId="0" applyFont="1" applyFill="1"/>
    <xf numFmtId="0" fontId="124" fillId="55" borderId="0" xfId="0" applyFont="1" applyFill="1"/>
    <xf numFmtId="0" fontId="125" fillId="55" borderId="0" xfId="0" applyFont="1" applyFill="1"/>
    <xf numFmtId="3" fontId="127" fillId="0" borderId="0" xfId="0" applyNumberFormat="1" applyFont="1"/>
    <xf numFmtId="0" fontId="124" fillId="56" borderId="0" xfId="0" applyFont="1" applyFill="1"/>
    <xf numFmtId="0" fontId="125" fillId="56" borderId="0" xfId="0" applyFont="1" applyFill="1"/>
    <xf numFmtId="0" fontId="124" fillId="57" borderId="0" xfId="0" applyFont="1" applyFill="1"/>
    <xf numFmtId="0" fontId="125" fillId="57" borderId="0" xfId="0" applyFont="1" applyFill="1"/>
    <xf numFmtId="171" fontId="128" fillId="0" borderId="0" xfId="1245" applyNumberFormat="1"/>
    <xf numFmtId="0" fontId="0" fillId="0" borderId="26" xfId="0" applyBorder="1"/>
    <xf numFmtId="2" fontId="102" fillId="43" borderId="0" xfId="0" applyNumberFormat="1" applyFont="1" applyFill="1" applyAlignment="1">
      <alignment horizontal="right"/>
    </xf>
    <xf numFmtId="0" fontId="102" fillId="46" borderId="0" xfId="913" applyFont="1" applyFill="1" applyAlignment="1">
      <alignment horizontal="left"/>
    </xf>
    <xf numFmtId="0" fontId="102" fillId="44" borderId="0" xfId="913" applyFont="1" applyFill="1" applyAlignment="1">
      <alignment horizontal="left"/>
    </xf>
    <xf numFmtId="0" fontId="102" fillId="59" borderId="0" xfId="913" applyFont="1" applyFill="1" applyAlignment="1">
      <alignment horizontal="left"/>
    </xf>
    <xf numFmtId="2" fontId="102" fillId="0" borderId="0" xfId="0" applyNumberFormat="1" applyFont="1" applyAlignment="1">
      <alignment horizontal="right"/>
    </xf>
    <xf numFmtId="2" fontId="102" fillId="48" borderId="0" xfId="0" applyNumberFormat="1" applyFont="1" applyFill="1" applyAlignment="1">
      <alignment horizontal="right"/>
    </xf>
    <xf numFmtId="0" fontId="0" fillId="48" borderId="0" xfId="0" applyFill="1"/>
    <xf numFmtId="2" fontId="0" fillId="48" borderId="0" xfId="0" applyNumberFormat="1" applyFill="1"/>
    <xf numFmtId="0" fontId="102" fillId="44" borderId="26" xfId="913" applyFont="1" applyFill="1" applyBorder="1" applyAlignment="1">
      <alignment horizontal="left"/>
    </xf>
    <xf numFmtId="2" fontId="102" fillId="45" borderId="26" xfId="0" applyNumberFormat="1" applyFont="1" applyFill="1" applyBorder="1" applyAlignment="1">
      <alignment horizontal="right"/>
    </xf>
    <xf numFmtId="2" fontId="102" fillId="48" borderId="26" xfId="0" applyNumberFormat="1" applyFont="1" applyFill="1" applyBorder="1" applyAlignment="1">
      <alignment horizontal="right"/>
    </xf>
    <xf numFmtId="0" fontId="0" fillId="48" borderId="26" xfId="0" applyFill="1" applyBorder="1"/>
    <xf numFmtId="2" fontId="0" fillId="45" borderId="26" xfId="0" applyNumberFormat="1" applyFill="1" applyBorder="1"/>
    <xf numFmtId="0" fontId="0" fillId="0" borderId="28" xfId="0" applyBorder="1"/>
    <xf numFmtId="0" fontId="102" fillId="60" borderId="28" xfId="913" applyFont="1" applyFill="1" applyBorder="1" applyAlignment="1">
      <alignment horizontal="left"/>
    </xf>
    <xf numFmtId="0" fontId="102" fillId="0" borderId="0" xfId="913" applyFont="1" applyAlignment="1">
      <alignment horizontal="left"/>
    </xf>
    <xf numFmtId="0" fontId="0" fillId="48" borderId="28" xfId="0" applyFill="1" applyBorder="1"/>
    <xf numFmtId="186" fontId="3" fillId="28" borderId="27" xfId="0" applyNumberFormat="1" applyFont="1" applyFill="1" applyBorder="1" applyAlignment="1">
      <alignment horizontal="center" vertical="center"/>
    </xf>
    <xf numFmtId="2" fontId="0" fillId="48" borderId="28" xfId="0" applyNumberFormat="1" applyFill="1" applyBorder="1"/>
    <xf numFmtId="0" fontId="0" fillId="48" borderId="24" xfId="0" applyFill="1" applyBorder="1"/>
    <xf numFmtId="0" fontId="0" fillId="48" borderId="24" xfId="0" applyFill="1" applyBorder="1" applyAlignment="1">
      <alignment wrapText="1"/>
    </xf>
    <xf numFmtId="3" fontId="0" fillId="48" borderId="24" xfId="0" applyNumberFormat="1" applyFill="1" applyBorder="1"/>
    <xf numFmtId="0" fontId="0" fillId="43" borderId="0" xfId="0" applyFill="1" applyAlignment="1">
      <alignment horizontal="right"/>
    </xf>
    <xf numFmtId="186" fontId="3" fillId="28" borderId="19" xfId="0" applyNumberFormat="1" applyFont="1" applyFill="1" applyBorder="1" applyAlignment="1">
      <alignment horizontal="left" vertical="center"/>
    </xf>
    <xf numFmtId="186" fontId="5" fillId="39" borderId="19" xfId="791" applyNumberFormat="1" applyFill="1" applyBorder="1" applyAlignment="1">
      <alignment horizontal="left" vertical="center" wrapText="1"/>
    </xf>
    <xf numFmtId="0" fontId="129" fillId="61" borderId="34" xfId="0" applyFont="1" applyFill="1" applyBorder="1"/>
    <xf numFmtId="0" fontId="132" fillId="0" borderId="34" xfId="0" applyFont="1" applyBorder="1"/>
    <xf numFmtId="0" fontId="132" fillId="0" borderId="34" xfId="0" quotePrefix="1" applyFont="1" applyBorder="1"/>
    <xf numFmtId="0" fontId="134" fillId="0" borderId="34" xfId="0" applyFont="1" applyBorder="1"/>
    <xf numFmtId="0" fontId="0" fillId="62" borderId="0" xfId="0" applyFill="1"/>
    <xf numFmtId="0" fontId="0" fillId="0" borderId="0" xfId="0" quotePrefix="1"/>
    <xf numFmtId="2" fontId="0" fillId="63" borderId="0" xfId="0" applyNumberFormat="1" applyFill="1"/>
    <xf numFmtId="0" fontId="122" fillId="48" borderId="0" xfId="0" applyFont="1" applyFill="1"/>
    <xf numFmtId="0" fontId="105" fillId="48" borderId="24" xfId="0" applyFont="1" applyFill="1" applyBorder="1" applyAlignment="1">
      <alignment wrapText="1"/>
    </xf>
    <xf numFmtId="186" fontId="105" fillId="48" borderId="24" xfId="0" applyNumberFormat="1" applyFont="1" applyFill="1" applyBorder="1"/>
    <xf numFmtId="0" fontId="105" fillId="48" borderId="24" xfId="0" applyFont="1" applyFill="1" applyBorder="1"/>
    <xf numFmtId="10" fontId="105" fillId="48" borderId="24" xfId="0" applyNumberFormat="1" applyFont="1" applyFill="1" applyBorder="1"/>
    <xf numFmtId="9" fontId="0" fillId="45" borderId="0" xfId="1246" applyFont="1" applyFill="1"/>
    <xf numFmtId="0" fontId="3" fillId="58" borderId="27" xfId="0" applyFont="1" applyFill="1" applyBorder="1" applyAlignment="1">
      <alignment horizontal="center"/>
    </xf>
    <xf numFmtId="0" fontId="3" fillId="0" borderId="0" xfId="0" applyFont="1"/>
    <xf numFmtId="186" fontId="0" fillId="47" borderId="23" xfId="0" applyNumberFormat="1" applyFill="1" applyBorder="1" applyAlignment="1">
      <alignment horizontal="left"/>
    </xf>
    <xf numFmtId="186" fontId="46" fillId="47" borderId="23" xfId="0" applyNumberFormat="1" applyFont="1" applyFill="1" applyBorder="1" applyAlignment="1">
      <alignment horizontal="left"/>
    </xf>
    <xf numFmtId="186" fontId="0" fillId="47" borderId="0" xfId="0" applyNumberFormat="1" applyFill="1" applyAlignment="1">
      <alignment horizontal="left"/>
    </xf>
    <xf numFmtId="186" fontId="46" fillId="47" borderId="0" xfId="0" applyNumberFormat="1" applyFont="1" applyFill="1" applyAlignment="1">
      <alignment horizontal="left"/>
    </xf>
    <xf numFmtId="186" fontId="0" fillId="48" borderId="0" xfId="0" applyNumberFormat="1" applyFill="1" applyAlignment="1">
      <alignment horizontal="left"/>
    </xf>
    <xf numFmtId="186" fontId="46" fillId="48" borderId="0" xfId="0" applyNumberFormat="1" applyFont="1" applyFill="1" applyAlignment="1">
      <alignment horizontal="left"/>
    </xf>
    <xf numFmtId="186" fontId="5" fillId="39" borderId="0" xfId="791" applyNumberFormat="1" applyFill="1" applyAlignment="1">
      <alignment horizontal="center" vertical="center" wrapText="1"/>
    </xf>
    <xf numFmtId="186" fontId="5" fillId="39" borderId="0" xfId="791" quotePrefix="1" applyNumberFormat="1" applyFill="1" applyAlignment="1">
      <alignment horizontal="center" vertical="center" wrapText="1"/>
    </xf>
    <xf numFmtId="0" fontId="0" fillId="47" borderId="0" xfId="0" applyFill="1"/>
    <xf numFmtId="186" fontId="0" fillId="47" borderId="0" xfId="0" applyNumberFormat="1" applyFill="1"/>
    <xf numFmtId="186" fontId="0" fillId="48" borderId="0" xfId="0" applyNumberFormat="1" applyFill="1"/>
    <xf numFmtId="0" fontId="0" fillId="47" borderId="22" xfId="0" applyFill="1" applyBorder="1"/>
    <xf numFmtId="186" fontId="0" fillId="47" borderId="22" xfId="0" applyNumberFormat="1" applyFill="1" applyBorder="1"/>
    <xf numFmtId="186" fontId="5" fillId="39" borderId="0" xfId="791" applyNumberFormat="1" applyFill="1" applyAlignment="1">
      <alignment horizontal="left" vertical="center" wrapText="1"/>
    </xf>
    <xf numFmtId="0" fontId="5" fillId="39" borderId="0" xfId="791" quotePrefix="1" applyFill="1" applyAlignment="1">
      <alignment horizontal="center" vertical="center" wrapText="1"/>
    </xf>
    <xf numFmtId="186" fontId="0" fillId="47" borderId="23" xfId="0" applyNumberFormat="1" applyFill="1" applyBorder="1"/>
    <xf numFmtId="0" fontId="0" fillId="48" borderId="22" xfId="0" applyFill="1" applyBorder="1" applyAlignment="1">
      <alignment horizontal="left"/>
    </xf>
    <xf numFmtId="0" fontId="106" fillId="48" borderId="22" xfId="0" applyFont="1" applyFill="1" applyBorder="1"/>
    <xf numFmtId="0" fontId="0" fillId="48" borderId="22" xfId="0" applyFill="1" applyBorder="1"/>
    <xf numFmtId="0" fontId="106" fillId="62" borderId="0" xfId="0" applyFont="1" applyFill="1"/>
    <xf numFmtId="0" fontId="5" fillId="62" borderId="0" xfId="0" applyFont="1" applyFill="1" applyAlignment="1">
      <alignment horizontal="right"/>
    </xf>
    <xf numFmtId="2" fontId="0" fillId="62" borderId="0" xfId="0" applyNumberFormat="1" applyFill="1"/>
    <xf numFmtId="0" fontId="0" fillId="0" borderId="21" xfId="0" applyBorder="1"/>
    <xf numFmtId="2" fontId="0" fillId="0" borderId="21" xfId="0" applyNumberFormat="1" applyBorder="1"/>
    <xf numFmtId="186" fontId="3" fillId="63" borderId="19" xfId="0" applyNumberFormat="1" applyFont="1" applyFill="1" applyBorder="1" applyAlignment="1">
      <alignment horizontal="center" vertical="center"/>
    </xf>
    <xf numFmtId="0" fontId="46" fillId="62" borderId="23" xfId="0" applyFont="1" applyFill="1" applyBorder="1"/>
    <xf numFmtId="0" fontId="0" fillId="62" borderId="23" xfId="0" applyFill="1" applyBorder="1"/>
    <xf numFmtId="0" fontId="136" fillId="47" borderId="36" xfId="0" applyFont="1" applyFill="1" applyBorder="1" applyAlignment="1">
      <alignment horizontal="center"/>
    </xf>
    <xf numFmtId="0" fontId="0" fillId="47" borderId="23" xfId="0" applyFill="1" applyBorder="1"/>
    <xf numFmtId="0" fontId="136" fillId="48" borderId="0" xfId="0" applyFont="1" applyFill="1" applyAlignment="1">
      <alignment horizontal="center"/>
    </xf>
    <xf numFmtId="0" fontId="0" fillId="47" borderId="36" xfId="0" applyFill="1" applyBorder="1"/>
    <xf numFmtId="1" fontId="5" fillId="43" borderId="0" xfId="0" applyNumberFormat="1" applyFont="1" applyFill="1" applyAlignment="1">
      <alignment horizontal="right"/>
    </xf>
    <xf numFmtId="1" fontId="0" fillId="43" borderId="0" xfId="0" applyNumberFormat="1" applyFill="1" applyAlignment="1">
      <alignment horizontal="right"/>
    </xf>
    <xf numFmtId="1" fontId="0" fillId="62" borderId="0" xfId="0" applyNumberFormat="1" applyFill="1"/>
    <xf numFmtId="0" fontId="120" fillId="49" borderId="18" xfId="0" applyFont="1" applyFill="1" applyBorder="1" applyAlignment="1">
      <alignment horizontal="center"/>
    </xf>
    <xf numFmtId="0" fontId="120" fillId="49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29" fillId="61" borderId="32" xfId="0" applyFont="1" applyFill="1" applyBorder="1"/>
    <xf numFmtId="0" fontId="129" fillId="61" borderId="35" xfId="0" applyFont="1" applyFill="1" applyBorder="1"/>
    <xf numFmtId="0" fontId="129" fillId="61" borderId="33" xfId="0" applyFont="1" applyFill="1" applyBorder="1"/>
    <xf numFmtId="0" fontId="129" fillId="61" borderId="29" xfId="0" applyFont="1" applyFill="1" applyBorder="1"/>
    <xf numFmtId="0" fontId="129" fillId="61" borderId="31" xfId="0" applyFont="1" applyFill="1" applyBorder="1"/>
    <xf numFmtId="186" fontId="5" fillId="39" borderId="19" xfId="791" applyNumberFormat="1" applyFill="1" applyBorder="1" applyAlignment="1">
      <alignment horizontal="center" vertical="center" wrapText="1"/>
    </xf>
    <xf numFmtId="186" fontId="5" fillId="39" borderId="21" xfId="791" applyNumberFormat="1" applyFill="1" applyBorder="1" applyAlignment="1">
      <alignment horizontal="center" vertical="center" wrapText="1"/>
    </xf>
    <xf numFmtId="0" fontId="129" fillId="61" borderId="30" xfId="0" applyFont="1" applyFill="1" applyBorder="1"/>
    <xf numFmtId="0" fontId="124" fillId="0" borderId="0" xfId="0" applyFont="1"/>
    <xf numFmtId="186" fontId="5" fillId="39" borderId="0" xfId="791" applyNumberFormat="1" applyFill="1" applyAlignment="1">
      <alignment horizontal="center" vertical="center" wrapText="1"/>
    </xf>
    <xf numFmtId="0" fontId="137" fillId="64" borderId="0" xfId="0" applyFont="1" applyFill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105" fillId="0" borderId="10" xfId="0" applyNumberFormat="1" applyFont="1" applyBorder="1" applyAlignment="1">
      <alignment horizontal="center" vertical="center"/>
    </xf>
    <xf numFmtId="186" fontId="0" fillId="39" borderId="26" xfId="791" applyNumberFormat="1" applyFont="1" applyFill="1" applyBorder="1" applyAlignment="1">
      <alignment horizontal="center" vertical="center" wrapText="1"/>
    </xf>
    <xf numFmtId="186" fontId="0" fillId="39" borderId="28" xfId="791" applyNumberFormat="1" applyFont="1" applyFill="1" applyBorder="1" applyAlignment="1">
      <alignment horizontal="center" vertical="center" wrapText="1"/>
    </xf>
  </cellXfs>
  <cellStyles count="1249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" xfId="1245" builtinId="8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0 15 2" xfId="1248" xr:uid="{66DEF048-A2A4-4EDA-88C7-F010A140F0E4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47" xr:uid="{9E10DD81-4E5B-48DB-8954-5083562F24D2}"/>
    <cellStyle name="Normal 4" xfId="800" xr:uid="{00000000-0005-0000-0000-00001F030000}"/>
    <cellStyle name="Normal 4 2" xfId="801" xr:uid="{00000000-0005-0000-0000-000020030000}"/>
    <cellStyle name="Normal 5" xfId="1244" xr:uid="{B6E758A8-5BCF-44C6-BBB3-29BFB055DDC9}"/>
    <cellStyle name="Normal 5 2" xfId="802" xr:uid="{00000000-0005-0000-0000-000021030000}"/>
    <cellStyle name="Normal 6 2" xfId="803" xr:uid="{00000000-0005-0000-0000-000022030000}"/>
    <cellStyle name="Normal 7 2" xfId="804" xr:uid="{00000000-0005-0000-0000-000023030000}"/>
    <cellStyle name="Normal GHG Textfiels Bold" xfId="805" xr:uid="{00000000-0005-0000-0000-000024030000}"/>
    <cellStyle name="Normal GHG-Shade" xfId="806" xr:uid="{00000000-0005-0000-0000-000025030000}"/>
    <cellStyle name="Normal GHG-Shade 2" xfId="807" xr:uid="{00000000-0005-0000-0000-000026030000}"/>
    <cellStyle name="Normale_B2020" xfId="808" xr:uid="{00000000-0005-0000-0000-000027030000}"/>
    <cellStyle name="Normalny" xfId="0" builtinId="0"/>
    <cellStyle name="Normalny 10" xfId="809" xr:uid="{00000000-0005-0000-0000-000029030000}"/>
    <cellStyle name="Normalny 10 2" xfId="810" xr:uid="{00000000-0005-0000-0000-00002A030000}"/>
    <cellStyle name="Normalny 10 2 2" xfId="811" xr:uid="{00000000-0005-0000-0000-00002B030000}"/>
    <cellStyle name="Normalny 10 2 3" xfId="812" xr:uid="{00000000-0005-0000-0000-00002C030000}"/>
    <cellStyle name="Normalny 10 2 4" xfId="813" xr:uid="{00000000-0005-0000-0000-00002D030000}"/>
    <cellStyle name="Normalny 10 3" xfId="814" xr:uid="{00000000-0005-0000-0000-00002E030000}"/>
    <cellStyle name="Normalny 10 3 2" xfId="815" xr:uid="{00000000-0005-0000-0000-00002F030000}"/>
    <cellStyle name="Normalny 10 3 3" xfId="816" xr:uid="{00000000-0005-0000-0000-000030030000}"/>
    <cellStyle name="Normalny 10 4" xfId="817" xr:uid="{00000000-0005-0000-0000-000031030000}"/>
    <cellStyle name="Normalny 11" xfId="818" xr:uid="{00000000-0005-0000-0000-000032030000}"/>
    <cellStyle name="Normalny 11 2" xfId="819" xr:uid="{00000000-0005-0000-0000-000033030000}"/>
    <cellStyle name="Normalny 11 2 2" xfId="820" xr:uid="{00000000-0005-0000-0000-000034030000}"/>
    <cellStyle name="Normalny 11 2 3" xfId="821" xr:uid="{00000000-0005-0000-0000-000035030000}"/>
    <cellStyle name="Normalny 11 3" xfId="822" xr:uid="{00000000-0005-0000-0000-000036030000}"/>
    <cellStyle name="Normalny 11 3 2" xfId="823" xr:uid="{00000000-0005-0000-0000-000037030000}"/>
    <cellStyle name="Normalny 11 3 2 2" xfId="824" xr:uid="{00000000-0005-0000-0000-000038030000}"/>
    <cellStyle name="Normalny 11 3 2 3" xfId="825" xr:uid="{00000000-0005-0000-0000-000039030000}"/>
    <cellStyle name="Normalny 11 3 3" xfId="826" xr:uid="{00000000-0005-0000-0000-00003A030000}"/>
    <cellStyle name="Normalny 11 4" xfId="827" xr:uid="{00000000-0005-0000-0000-00003B030000}"/>
    <cellStyle name="Normalny 11 4 2" xfId="828" xr:uid="{00000000-0005-0000-0000-00003C030000}"/>
    <cellStyle name="Normalny 11 4 3" xfId="829" xr:uid="{00000000-0005-0000-0000-00003D030000}"/>
    <cellStyle name="Normalny 11 5" xfId="830" xr:uid="{00000000-0005-0000-0000-00003E030000}"/>
    <cellStyle name="Normalny 11 5 2" xfId="831" xr:uid="{00000000-0005-0000-0000-00003F030000}"/>
    <cellStyle name="Normalny 11 5 3" xfId="832" xr:uid="{00000000-0005-0000-0000-000040030000}"/>
    <cellStyle name="Normalny 11 6" xfId="833" xr:uid="{00000000-0005-0000-0000-000041030000}"/>
    <cellStyle name="Normalny 11 7" xfId="834" xr:uid="{00000000-0005-0000-0000-000042030000}"/>
    <cellStyle name="Normalny 12" xfId="835" xr:uid="{00000000-0005-0000-0000-000043030000}"/>
    <cellStyle name="Normalny 13" xfId="836" xr:uid="{00000000-0005-0000-0000-000044030000}"/>
    <cellStyle name="Normalny 13 10" xfId="837" xr:uid="{00000000-0005-0000-0000-000045030000}"/>
    <cellStyle name="Normalny 13 2" xfId="838" xr:uid="{00000000-0005-0000-0000-000046030000}"/>
    <cellStyle name="Normalny 13 2 2" xfId="839" xr:uid="{00000000-0005-0000-0000-000047030000}"/>
    <cellStyle name="Normalny 13 2 2 2" xfId="840" xr:uid="{00000000-0005-0000-0000-000048030000}"/>
    <cellStyle name="Normalny 13 2 2 2 2" xfId="841" xr:uid="{00000000-0005-0000-0000-000049030000}"/>
    <cellStyle name="Normalny 13 2 2 2 2 2" xfId="842" xr:uid="{00000000-0005-0000-0000-00004A030000}"/>
    <cellStyle name="Normalny 13 2 2 2 3" xfId="843" xr:uid="{00000000-0005-0000-0000-00004B030000}"/>
    <cellStyle name="Normalny 13 2 2 2 3 2" xfId="844" xr:uid="{00000000-0005-0000-0000-00004C030000}"/>
    <cellStyle name="Normalny 13 2 2 2 4" xfId="845" xr:uid="{00000000-0005-0000-0000-00004D030000}"/>
    <cellStyle name="Normalny 13 2 2 2 5" xfId="846" xr:uid="{00000000-0005-0000-0000-00004E030000}"/>
    <cellStyle name="Normalny 13 2 2 3" xfId="847" xr:uid="{00000000-0005-0000-0000-00004F030000}"/>
    <cellStyle name="Normalny 13 2 2 3 2" xfId="848" xr:uid="{00000000-0005-0000-0000-000050030000}"/>
    <cellStyle name="Normalny 13 2 2 4" xfId="849" xr:uid="{00000000-0005-0000-0000-000051030000}"/>
    <cellStyle name="Normalny 13 2 2 4 2" xfId="850" xr:uid="{00000000-0005-0000-0000-000052030000}"/>
    <cellStyle name="Normalny 13 2 2 5" xfId="851" xr:uid="{00000000-0005-0000-0000-000053030000}"/>
    <cellStyle name="Normalny 13 2 2 6" xfId="852" xr:uid="{00000000-0005-0000-0000-000054030000}"/>
    <cellStyle name="Normalny 13 2 3" xfId="853" xr:uid="{00000000-0005-0000-0000-000055030000}"/>
    <cellStyle name="Normalny 13 2 3 2" xfId="854" xr:uid="{00000000-0005-0000-0000-000056030000}"/>
    <cellStyle name="Normalny 13 2 3 2 2" xfId="855" xr:uid="{00000000-0005-0000-0000-000057030000}"/>
    <cellStyle name="Normalny 13 2 3 3" xfId="856" xr:uid="{00000000-0005-0000-0000-000058030000}"/>
    <cellStyle name="Normalny 13 2 3 3 2" xfId="857" xr:uid="{00000000-0005-0000-0000-000059030000}"/>
    <cellStyle name="Normalny 13 2 3 4" xfId="858" xr:uid="{00000000-0005-0000-0000-00005A030000}"/>
    <cellStyle name="Normalny 13 2 3 5" xfId="859" xr:uid="{00000000-0005-0000-0000-00005B030000}"/>
    <cellStyle name="Normalny 13 2 4" xfId="860" xr:uid="{00000000-0005-0000-0000-00005C030000}"/>
    <cellStyle name="Normalny 13 2 4 2" xfId="861" xr:uid="{00000000-0005-0000-0000-00005D030000}"/>
    <cellStyle name="Normalny 13 2 5" xfId="862" xr:uid="{00000000-0005-0000-0000-00005E030000}"/>
    <cellStyle name="Normalny 13 2 5 2" xfId="863" xr:uid="{00000000-0005-0000-0000-00005F030000}"/>
    <cellStyle name="Normalny 13 2 6" xfId="864" xr:uid="{00000000-0005-0000-0000-000060030000}"/>
    <cellStyle name="Normalny 13 2 7" xfId="865" xr:uid="{00000000-0005-0000-0000-000061030000}"/>
    <cellStyle name="Normalny 13 3" xfId="866" xr:uid="{00000000-0005-0000-0000-000062030000}"/>
    <cellStyle name="Normalny 13 3 2" xfId="867" xr:uid="{00000000-0005-0000-0000-000063030000}"/>
    <cellStyle name="Normalny 13 3 2 2" xfId="868" xr:uid="{00000000-0005-0000-0000-000064030000}"/>
    <cellStyle name="Normalny 13 3 2 2 2" xfId="869" xr:uid="{00000000-0005-0000-0000-000065030000}"/>
    <cellStyle name="Normalny 13 3 2 2 3" xfId="870" xr:uid="{00000000-0005-0000-0000-000066030000}"/>
    <cellStyle name="Normalny 13 3 2 3" xfId="871" xr:uid="{00000000-0005-0000-0000-000067030000}"/>
    <cellStyle name="Normalny 13 3 2 4" xfId="872" xr:uid="{00000000-0005-0000-0000-000068030000}"/>
    <cellStyle name="Normalny 13 3 3" xfId="873" xr:uid="{00000000-0005-0000-0000-000069030000}"/>
    <cellStyle name="Normalny 13 3 4" xfId="874" xr:uid="{00000000-0005-0000-0000-00006A030000}"/>
    <cellStyle name="Normalny 13 3 5" xfId="875" xr:uid="{00000000-0005-0000-0000-00006B030000}"/>
    <cellStyle name="Normalny 13 3 6" xfId="876" xr:uid="{00000000-0005-0000-0000-00006C030000}"/>
    <cellStyle name="Normalny 13 4" xfId="877" xr:uid="{00000000-0005-0000-0000-00006D030000}"/>
    <cellStyle name="Normalny 13 4 2" xfId="878" xr:uid="{00000000-0005-0000-0000-00006E030000}"/>
    <cellStyle name="Normalny 13 4 3" xfId="879" xr:uid="{00000000-0005-0000-0000-00006F030000}"/>
    <cellStyle name="Normalny 13 5" xfId="880" xr:uid="{00000000-0005-0000-0000-000070030000}"/>
    <cellStyle name="Normalny 13 5 2" xfId="881" xr:uid="{00000000-0005-0000-0000-000071030000}"/>
    <cellStyle name="Normalny 13 5 3" xfId="882" xr:uid="{00000000-0005-0000-0000-000072030000}"/>
    <cellStyle name="Normalny 13 6" xfId="883" xr:uid="{00000000-0005-0000-0000-000073030000}"/>
    <cellStyle name="Normalny 13 6 2" xfId="884" xr:uid="{00000000-0005-0000-0000-000074030000}"/>
    <cellStyle name="Normalny 13 6 2 2" xfId="885" xr:uid="{00000000-0005-0000-0000-000075030000}"/>
    <cellStyle name="Normalny 13 6 3" xfId="886" xr:uid="{00000000-0005-0000-0000-000076030000}"/>
    <cellStyle name="Normalny 13 6 3 2" xfId="887" xr:uid="{00000000-0005-0000-0000-000077030000}"/>
    <cellStyle name="Normalny 13 6 4" xfId="888" xr:uid="{00000000-0005-0000-0000-000078030000}"/>
    <cellStyle name="Normalny 13 6 5" xfId="889" xr:uid="{00000000-0005-0000-0000-000079030000}"/>
    <cellStyle name="Normalny 13 7" xfId="890" xr:uid="{00000000-0005-0000-0000-00007A030000}"/>
    <cellStyle name="Normalny 13 7 2" xfId="891" xr:uid="{00000000-0005-0000-0000-00007B030000}"/>
    <cellStyle name="Normalny 13 8" xfId="892" xr:uid="{00000000-0005-0000-0000-00007C030000}"/>
    <cellStyle name="Normalny 13 8 2" xfId="893" xr:uid="{00000000-0005-0000-0000-00007D030000}"/>
    <cellStyle name="Normalny 13 9" xfId="894" xr:uid="{00000000-0005-0000-0000-00007E030000}"/>
    <cellStyle name="Normalny 14" xfId="895" xr:uid="{00000000-0005-0000-0000-00007F030000}"/>
    <cellStyle name="Normalny 14 2" xfId="896" xr:uid="{00000000-0005-0000-0000-000080030000}"/>
    <cellStyle name="Normalny 14 2 2" xfId="897" xr:uid="{00000000-0005-0000-0000-000081030000}"/>
    <cellStyle name="Normalny 14 2 2 2" xfId="898" xr:uid="{00000000-0005-0000-0000-000082030000}"/>
    <cellStyle name="Normalny 14 2 2 3" xfId="899" xr:uid="{00000000-0005-0000-0000-000083030000}"/>
    <cellStyle name="Normalny 14 2 3" xfId="900" xr:uid="{00000000-0005-0000-0000-000084030000}"/>
    <cellStyle name="Normalny 14 2 4" xfId="901" xr:uid="{00000000-0005-0000-0000-000085030000}"/>
    <cellStyle name="Normalny 14 3" xfId="902" xr:uid="{00000000-0005-0000-0000-000086030000}"/>
    <cellStyle name="Normalny 14 4" xfId="903" xr:uid="{00000000-0005-0000-0000-000087030000}"/>
    <cellStyle name="Normalny 14 5" xfId="904" xr:uid="{00000000-0005-0000-0000-000088030000}"/>
    <cellStyle name="Normalny 15" xfId="905" xr:uid="{00000000-0005-0000-0000-000089030000}"/>
    <cellStyle name="Normalny 15 2" xfId="906" xr:uid="{00000000-0005-0000-0000-00008A030000}"/>
    <cellStyle name="Normalny 16" xfId="907" xr:uid="{00000000-0005-0000-0000-00008B030000}"/>
    <cellStyle name="Normalny 16 2" xfId="908" xr:uid="{00000000-0005-0000-0000-00008C030000}"/>
    <cellStyle name="Normalny 16 3" xfId="909" xr:uid="{00000000-0005-0000-0000-00008D030000}"/>
    <cellStyle name="Normalny 17" xfId="910" xr:uid="{00000000-0005-0000-0000-00008E030000}"/>
    <cellStyle name="Normalny 18" xfId="911" xr:uid="{00000000-0005-0000-0000-00008F030000}"/>
    <cellStyle name="Normalny 19" xfId="912" xr:uid="{00000000-0005-0000-0000-000090030000}"/>
    <cellStyle name="Normalny 2" xfId="913" xr:uid="{00000000-0005-0000-0000-000091030000}"/>
    <cellStyle name="Normalny 2 2" xfId="914" xr:uid="{00000000-0005-0000-0000-000092030000}"/>
    <cellStyle name="Normalny 2 3" xfId="915" xr:uid="{00000000-0005-0000-0000-000093030000}"/>
    <cellStyle name="Normalny 20" xfId="916" xr:uid="{00000000-0005-0000-0000-000094030000}"/>
    <cellStyle name="Normalny 21" xfId="1242" xr:uid="{00000000-0005-0000-0000-000095030000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rmalny_S301-339-05" xfId="1243" xr:uid="{00000000-0005-0000-0000-00009D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" xfId="1246" builtinId="5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7" xfId="959" xr:uid="{00000000-0005-0000-0000-0000C2030000}"/>
    <cellStyle name="Procentowy 3" xfId="960" xr:uid="{00000000-0005-0000-0000-0000C3030000}"/>
    <cellStyle name="Procentowy 4" xfId="961" xr:uid="{00000000-0005-0000-0000-0000C4030000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ect" xfId="1193" xr:uid="{00000000-0005-0000-0000-0000AD040000}"/>
    <cellStyle name="Uwaga 10" xfId="1194" xr:uid="{00000000-0005-0000-0000-0000AE040000}"/>
    <cellStyle name="Uwaga 10 2" xfId="1195" xr:uid="{00000000-0005-0000-0000-0000AF040000}"/>
    <cellStyle name="Uwaga 10 3" xfId="1196" xr:uid="{00000000-0005-0000-0000-0000B0040000}"/>
    <cellStyle name="Uwaga 10 3 2" xfId="1197" xr:uid="{00000000-0005-0000-0000-0000B1040000}"/>
    <cellStyle name="Uwaga 10 3 3" xfId="1198" xr:uid="{00000000-0005-0000-0000-0000B2040000}"/>
    <cellStyle name="Uwaga 11" xfId="1199" xr:uid="{00000000-0005-0000-0000-0000B3040000}"/>
    <cellStyle name="Uwaga 11 2" xfId="1200" xr:uid="{00000000-0005-0000-0000-0000B4040000}"/>
    <cellStyle name="Uwaga 11 3" xfId="1201" xr:uid="{00000000-0005-0000-0000-0000B5040000}"/>
    <cellStyle name="Uwaga 12" xfId="1202" xr:uid="{00000000-0005-0000-0000-0000B6040000}"/>
    <cellStyle name="Uwaga 2" xfId="1203" xr:uid="{00000000-0005-0000-0000-0000B7040000}"/>
    <cellStyle name="Uwaga 3" xfId="1204" xr:uid="{00000000-0005-0000-0000-0000B8040000}"/>
    <cellStyle name="Uwaga 4" xfId="1205" xr:uid="{00000000-0005-0000-0000-0000B9040000}"/>
    <cellStyle name="Uwaga 5" xfId="1206" xr:uid="{00000000-0005-0000-0000-0000BA040000}"/>
    <cellStyle name="Uwaga 6" xfId="1207" xr:uid="{00000000-0005-0000-0000-0000BB040000}"/>
    <cellStyle name="Uwaga 7" xfId="1208" xr:uid="{00000000-0005-0000-0000-0000BC040000}"/>
    <cellStyle name="Uwaga 8" xfId="1209" xr:uid="{00000000-0005-0000-0000-0000BD040000}"/>
    <cellStyle name="Uwaga 9" xfId="1210" xr:uid="{00000000-0005-0000-0000-0000BE040000}"/>
    <cellStyle name="Uwaga 9 2" xfId="1211" xr:uid="{00000000-0005-0000-0000-0000BF040000}"/>
    <cellStyle name="Uwaga 9 3" xfId="1212" xr:uid="{00000000-0005-0000-0000-0000C0040000}"/>
    <cellStyle name="Uwaga 9 3 2" xfId="1213" xr:uid="{00000000-0005-0000-0000-0000C1040000}"/>
    <cellStyle name="Uwaga 9 3 3" xfId="1214" xr:uid="{00000000-0005-0000-0000-0000C2040000}"/>
    <cellStyle name="Verknüpfte Zelle 2" xfId="1215" xr:uid="{00000000-0005-0000-0000-0000C3040000}"/>
    <cellStyle name="Währung 2" xfId="1216" xr:uid="{00000000-0005-0000-0000-0000C4040000}"/>
    <cellStyle name="Währung 2 2" xfId="1217" xr:uid="{00000000-0005-0000-0000-0000C5040000}"/>
    <cellStyle name="Warnender Text 2" xfId="1218" xr:uid="{00000000-0005-0000-0000-0000C6040000}"/>
    <cellStyle name="Warning Text 2" xfId="1219" xr:uid="{00000000-0005-0000-0000-0000C7040000}"/>
    <cellStyle name="Warning Text 3" xfId="1220" xr:uid="{00000000-0005-0000-0000-0000C8040000}"/>
    <cellStyle name="X10_Figs 21 dec" xfId="1221" xr:uid="{00000000-0005-0000-0000-0000C9040000}"/>
    <cellStyle name="Zelle überprüfen 2" xfId="1222" xr:uid="{00000000-0005-0000-0000-0000CA040000}"/>
    <cellStyle name="Złe" xfId="1223" xr:uid="{00000000-0005-0000-0000-0000CB040000}"/>
    <cellStyle name="Złe 10" xfId="1224" xr:uid="{00000000-0005-0000-0000-0000CC040000}"/>
    <cellStyle name="Złe 10 2" xfId="1225" xr:uid="{00000000-0005-0000-0000-0000CD040000}"/>
    <cellStyle name="Złe 10 3" xfId="1226" xr:uid="{00000000-0005-0000-0000-0000CE040000}"/>
    <cellStyle name="Złe 11" xfId="1227" xr:uid="{00000000-0005-0000-0000-0000CF040000}"/>
    <cellStyle name="Złe 12" xfId="1228" xr:uid="{00000000-0005-0000-0000-0000D0040000}"/>
    <cellStyle name="Złe 2" xfId="1229" xr:uid="{00000000-0005-0000-0000-0000D1040000}"/>
    <cellStyle name="Złe 3" xfId="1230" xr:uid="{00000000-0005-0000-0000-0000D2040000}"/>
    <cellStyle name="Złe 4" xfId="1231" xr:uid="{00000000-0005-0000-0000-0000D3040000}"/>
    <cellStyle name="Złe 5" xfId="1232" xr:uid="{00000000-0005-0000-0000-0000D4040000}"/>
    <cellStyle name="Złe 6" xfId="1233" xr:uid="{00000000-0005-0000-0000-0000D5040000}"/>
    <cellStyle name="Złe 7" xfId="1234" xr:uid="{00000000-0005-0000-0000-0000D6040000}"/>
    <cellStyle name="Złe 8" xfId="1235" xr:uid="{00000000-0005-0000-0000-0000D7040000}"/>
    <cellStyle name="Złe 9" xfId="1236" xr:uid="{00000000-0005-0000-0000-0000D8040000}"/>
    <cellStyle name="Złe 9 2" xfId="1237" xr:uid="{00000000-0005-0000-0000-0000D9040000}"/>
    <cellStyle name="Złe 9 3" xfId="1238" xr:uid="{00000000-0005-0000-0000-0000DA040000}"/>
    <cellStyle name="Złe_D_HEAT" xfId="1239" xr:uid="{00000000-0005-0000-0000-0000DB040000}"/>
    <cellStyle name="Обычный_2++_CRFReport-template" xfId="1240" xr:uid="{00000000-0005-0000-0000-0000DC040000}"/>
    <cellStyle name="已访问的超链接" xfId="1241" xr:uid="{00000000-0005-0000-0000-0000DD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1319420</xdr:colOff>
      <xdr:row>21</xdr:row>
      <xdr:rowOff>23190</xdr:rowOff>
    </xdr:from>
    <xdr:to>
      <xdr:col>18</xdr:col>
      <xdr:colOff>688215</xdr:colOff>
      <xdr:row>29</xdr:row>
      <xdr:rowOff>10248</xdr:rowOff>
    </xdr:to>
    <xdr:pic>
      <xdr:nvPicPr>
        <xdr:cNvPr id="4" name="Obraz 1">
          <a:extLst>
            <a:ext uri="{FF2B5EF4-FFF2-40B4-BE49-F238E27FC236}">
              <a16:creationId xmlns:a16="http://schemas.microsoft.com/office/drawing/2014/main" id="{CBC96D91-9B44-13FF-1972-E40105AE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9145" y="4766640"/>
          <a:ext cx="16504270" cy="1272933"/>
        </a:xfrm>
        <a:prstGeom prst="rect">
          <a:avLst/>
        </a:prstGeom>
      </xdr:spPr>
    </xdr:pic>
    <xdr:clientData/>
  </xdr:twoCellAnchor>
  <xdr:twoCellAnchor editAs="oneCell">
    <xdr:from>
      <xdr:col>21</xdr:col>
      <xdr:colOff>695325</xdr:colOff>
      <xdr:row>3</xdr:row>
      <xdr:rowOff>123825</xdr:rowOff>
    </xdr:from>
    <xdr:to>
      <xdr:col>29</xdr:col>
      <xdr:colOff>152400</xdr:colOff>
      <xdr:row>10</xdr:row>
      <xdr:rowOff>28575</xdr:rowOff>
    </xdr:to>
    <xdr:pic>
      <xdr:nvPicPr>
        <xdr:cNvPr id="6" name="Obraz 1">
          <a:extLst>
            <a:ext uri="{FF2B5EF4-FFF2-40B4-BE49-F238E27FC236}">
              <a16:creationId xmlns:a16="http://schemas.microsoft.com/office/drawing/2014/main" id="{63BEBD92-4831-BF3E-253E-745977ADA3E1}"/>
            </a:ext>
            <a:ext uri="{147F2762-F138-4A5C-976F-8EAC2B608ADB}">
              <a16:predDERef xmlns:a16="http://schemas.microsoft.com/office/drawing/2014/main" pred="{CBC96D91-9B44-13FF-1972-E40105AE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40625" y="647700"/>
          <a:ext cx="5057775" cy="2276475"/>
        </a:xfrm>
        <a:prstGeom prst="rect">
          <a:avLst/>
        </a:prstGeom>
      </xdr:spPr>
    </xdr:pic>
    <xdr:clientData/>
  </xdr:twoCellAnchor>
  <xdr:twoCellAnchor editAs="oneCell">
    <xdr:from>
      <xdr:col>17</xdr:col>
      <xdr:colOff>200025</xdr:colOff>
      <xdr:row>19</xdr:row>
      <xdr:rowOff>104775</xdr:rowOff>
    </xdr:from>
    <xdr:to>
      <xdr:col>18</xdr:col>
      <xdr:colOff>977900</xdr:colOff>
      <xdr:row>23</xdr:row>
      <xdr:rowOff>146050</xdr:rowOff>
    </xdr:to>
    <xdr:pic>
      <xdr:nvPicPr>
        <xdr:cNvPr id="10" name="Obraz 4">
          <a:extLst>
            <a:ext uri="{FF2B5EF4-FFF2-40B4-BE49-F238E27FC236}">
              <a16:creationId xmlns:a16="http://schemas.microsoft.com/office/drawing/2014/main" id="{F2D106A0-2ABB-8674-3A58-B4F217D95DC7}"/>
            </a:ext>
            <a:ext uri="{147F2762-F138-4A5C-976F-8EAC2B608ADB}">
              <a16:predDERef xmlns:a16="http://schemas.microsoft.com/office/drawing/2014/main" pred="{63BEBD92-4831-BF3E-253E-745977ADA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87800" y="4495800"/>
          <a:ext cx="1685925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v-polska.pl/a-rising-star-pv-market-poland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30"/>
  <sheetViews>
    <sheetView zoomScaleNormal="100" workbookViewId="0">
      <selection activeCell="G11" sqref="G11"/>
    </sheetView>
  </sheetViews>
  <sheetFormatPr defaultColWidth="8.6640625" defaultRowHeight="13.2"/>
  <cols>
    <col min="1" max="1" width="2.6640625" customWidth="1"/>
    <col min="2" max="2" width="14.44140625" customWidth="1"/>
    <col min="3" max="3" width="20.44140625" customWidth="1"/>
    <col min="4" max="4" width="42.6640625" customWidth="1"/>
    <col min="5" max="5" width="9.33203125" customWidth="1"/>
    <col min="6" max="6" width="13.44140625" customWidth="1"/>
    <col min="7" max="7" width="11.33203125" customWidth="1"/>
    <col min="8" max="8" width="14.33203125" customWidth="1"/>
    <col min="9" max="9" width="13.44140625" customWidth="1"/>
    <col min="10" max="10" width="10.44140625" customWidth="1"/>
    <col min="11" max="12" width="10.6640625" bestFit="1" customWidth="1"/>
  </cols>
  <sheetData>
    <row r="2" spans="2:13" ht="17.399999999999999">
      <c r="B2" s="72" t="s">
        <v>0</v>
      </c>
      <c r="C2" s="73"/>
      <c r="D2" s="73"/>
      <c r="E2" s="21"/>
      <c r="F2" s="21"/>
      <c r="G2" s="21"/>
      <c r="H2" s="21"/>
      <c r="I2" s="21"/>
    </row>
    <row r="3" spans="2:13" ht="17.7" customHeight="1">
      <c r="B3" s="22"/>
      <c r="C3" s="21"/>
      <c r="D3" s="21"/>
      <c r="E3" s="21"/>
      <c r="F3" s="21"/>
      <c r="G3" s="21"/>
      <c r="H3" s="21"/>
      <c r="I3" s="21"/>
    </row>
    <row r="4" spans="2:13" ht="17.7" customHeight="1">
      <c r="B4" s="22" t="s">
        <v>1</v>
      </c>
      <c r="C4" s="21"/>
      <c r="D4" s="21"/>
      <c r="E4" s="21"/>
      <c r="F4" s="21"/>
      <c r="G4" s="21"/>
      <c r="H4" s="21"/>
      <c r="I4" s="21"/>
    </row>
    <row r="5" spans="2:13" ht="15.75" customHeight="1">
      <c r="B5" s="77" t="s">
        <v>2</v>
      </c>
      <c r="C5" s="77" t="s">
        <v>3</v>
      </c>
      <c r="D5" s="77" t="s">
        <v>4</v>
      </c>
      <c r="E5" s="77" t="s">
        <v>5</v>
      </c>
      <c r="F5" s="77" t="s">
        <v>6</v>
      </c>
      <c r="G5" s="77" t="s">
        <v>7</v>
      </c>
      <c r="H5" s="77" t="s">
        <v>8</v>
      </c>
      <c r="I5" s="77" t="s">
        <v>9</v>
      </c>
    </row>
    <row r="6" spans="2:13" ht="39.75" customHeight="1">
      <c r="B6" s="78" t="s">
        <v>10</v>
      </c>
      <c r="C6" s="78" t="s">
        <v>11</v>
      </c>
      <c r="D6" s="78" t="s">
        <v>12</v>
      </c>
      <c r="E6" s="78" t="s">
        <v>5</v>
      </c>
      <c r="F6" s="78" t="s">
        <v>13</v>
      </c>
      <c r="G6" s="78" t="s">
        <v>14</v>
      </c>
      <c r="H6" s="78" t="s">
        <v>15</v>
      </c>
      <c r="I6" s="78" t="s">
        <v>16</v>
      </c>
    </row>
    <row r="7" spans="2:13" ht="66.599999999999994" thickBot="1">
      <c r="B7" s="150" t="s">
        <v>17</v>
      </c>
      <c r="C7" s="150" t="s">
        <v>18</v>
      </c>
      <c r="D7" s="150" t="s">
        <v>19</v>
      </c>
      <c r="E7" s="150" t="s">
        <v>20</v>
      </c>
      <c r="F7" s="151" t="s">
        <v>21</v>
      </c>
      <c r="G7" s="150" t="s">
        <v>22</v>
      </c>
      <c r="H7" s="151" t="s">
        <v>23</v>
      </c>
      <c r="I7" s="150" t="s">
        <v>24</v>
      </c>
    </row>
    <row r="8" spans="2:13" ht="15.45" customHeight="1">
      <c r="B8" s="144" t="s">
        <v>25</v>
      </c>
      <c r="C8" s="145" t="s">
        <v>26</v>
      </c>
      <c r="D8" s="145" t="s">
        <v>27</v>
      </c>
      <c r="E8" s="144" t="s">
        <v>28</v>
      </c>
      <c r="F8" s="144"/>
      <c r="G8" s="144" t="s">
        <v>29</v>
      </c>
      <c r="H8" s="144" t="s">
        <v>30</v>
      </c>
      <c r="I8" s="144" t="s">
        <v>26</v>
      </c>
    </row>
    <row r="9" spans="2:13" ht="15.45" customHeight="1">
      <c r="B9" s="148" t="s">
        <v>25</v>
      </c>
      <c r="C9" s="149" t="s">
        <v>31</v>
      </c>
      <c r="D9" s="149" t="s">
        <v>32</v>
      </c>
      <c r="E9" s="148" t="s">
        <v>28</v>
      </c>
      <c r="F9" s="148"/>
      <c r="G9" s="148" t="s">
        <v>29</v>
      </c>
      <c r="H9" s="148" t="s">
        <v>30</v>
      </c>
      <c r="I9" s="148"/>
    </row>
    <row r="10" spans="2:13" ht="15.75" customHeight="1">
      <c r="B10" s="146" t="s">
        <v>33</v>
      </c>
      <c r="C10" s="147" t="s">
        <v>34</v>
      </c>
      <c r="D10" s="147" t="s">
        <v>35</v>
      </c>
      <c r="E10" s="147" t="s">
        <v>28</v>
      </c>
      <c r="F10" s="146"/>
      <c r="G10" s="146" t="s">
        <v>29</v>
      </c>
      <c r="H10" s="146" t="s">
        <v>30</v>
      </c>
      <c r="I10" s="147"/>
    </row>
    <row r="11" spans="2:13" ht="15.75" customHeight="1">
      <c r="B11" s="148" t="s">
        <v>36</v>
      </c>
      <c r="C11" s="148" t="s">
        <v>37</v>
      </c>
      <c r="D11" s="149" t="s">
        <v>38</v>
      </c>
      <c r="E11" s="148" t="s">
        <v>39</v>
      </c>
      <c r="F11" s="148"/>
      <c r="G11" s="148"/>
      <c r="H11" s="148"/>
      <c r="I11" s="148"/>
    </row>
    <row r="12" spans="2:13" ht="15.75" customHeight="1">
      <c r="B12" s="152" t="s">
        <v>25</v>
      </c>
      <c r="C12" s="153" t="s">
        <v>40</v>
      </c>
      <c r="D12" s="153" t="s">
        <v>41</v>
      </c>
      <c r="E12" s="152" t="s">
        <v>28</v>
      </c>
      <c r="F12" s="152"/>
      <c r="G12" s="152"/>
      <c r="H12" s="152"/>
      <c r="I12" s="152"/>
      <c r="L12" s="28" t="s">
        <v>40</v>
      </c>
      <c r="M12" s="28" t="s">
        <v>41</v>
      </c>
    </row>
    <row r="13" spans="2:13" ht="15.75" customHeight="1">
      <c r="B13" s="110" t="s">
        <v>25</v>
      </c>
      <c r="C13" s="154" t="s">
        <v>42</v>
      </c>
      <c r="D13" s="154" t="s">
        <v>43</v>
      </c>
      <c r="E13" s="110" t="s">
        <v>28</v>
      </c>
      <c r="F13" s="110"/>
      <c r="G13" s="110"/>
      <c r="H13" s="110"/>
      <c r="I13" s="110"/>
      <c r="L13" s="50" t="s">
        <v>42</v>
      </c>
      <c r="M13" s="50" t="s">
        <v>43</v>
      </c>
    </row>
    <row r="14" spans="2:13" ht="15.75" customHeight="1">
      <c r="B14" s="152" t="s">
        <v>25</v>
      </c>
      <c r="C14" s="153" t="s">
        <v>44</v>
      </c>
      <c r="D14" s="153" t="s">
        <v>45</v>
      </c>
      <c r="E14" s="152" t="s">
        <v>28</v>
      </c>
      <c r="F14" s="152"/>
      <c r="G14" s="152"/>
      <c r="H14" s="152"/>
      <c r="I14" s="152"/>
      <c r="L14" s="28" t="s">
        <v>46</v>
      </c>
      <c r="M14" s="28" t="s">
        <v>45</v>
      </c>
    </row>
    <row r="15" spans="2:13" ht="15.75" customHeight="1">
      <c r="B15" s="110" t="s">
        <v>25</v>
      </c>
      <c r="C15" s="154" t="s">
        <v>47</v>
      </c>
      <c r="D15" s="154" t="s">
        <v>48</v>
      </c>
      <c r="E15" s="110" t="s">
        <v>28</v>
      </c>
      <c r="F15" s="110"/>
      <c r="G15" s="110"/>
      <c r="H15" s="110"/>
      <c r="I15" s="110"/>
      <c r="L15" s="50" t="s">
        <v>47</v>
      </c>
      <c r="M15" s="50" t="s">
        <v>48</v>
      </c>
    </row>
    <row r="16" spans="2:13" ht="15.75" customHeight="1">
      <c r="B16" s="152" t="s">
        <v>25</v>
      </c>
      <c r="C16" s="153" t="s">
        <v>49</v>
      </c>
      <c r="D16" s="153" t="s">
        <v>50</v>
      </c>
      <c r="E16" s="152" t="s">
        <v>28</v>
      </c>
      <c r="F16" s="152"/>
      <c r="G16" s="152"/>
      <c r="H16" s="152"/>
      <c r="I16" s="152"/>
      <c r="L16" s="28" t="s">
        <v>49</v>
      </c>
      <c r="M16" s="28" t="s">
        <v>50</v>
      </c>
    </row>
    <row r="17" spans="2:13" ht="15.75" customHeight="1">
      <c r="B17" s="110" t="s">
        <v>25</v>
      </c>
      <c r="C17" s="154" t="s">
        <v>51</v>
      </c>
      <c r="D17" s="154" t="s">
        <v>52</v>
      </c>
      <c r="E17" s="110" t="s">
        <v>28</v>
      </c>
      <c r="F17" s="110"/>
      <c r="G17" s="110"/>
      <c r="H17" s="110"/>
      <c r="I17" s="110"/>
      <c r="L17" s="50" t="s">
        <v>51</v>
      </c>
      <c r="M17" s="50" t="s">
        <v>52</v>
      </c>
    </row>
    <row r="18" spans="2:13" ht="15.75" customHeight="1">
      <c r="B18" s="152" t="s">
        <v>25</v>
      </c>
      <c r="C18" s="153" t="s">
        <v>53</v>
      </c>
      <c r="D18" s="153" t="s">
        <v>54</v>
      </c>
      <c r="E18" s="152" t="s">
        <v>28</v>
      </c>
      <c r="F18" s="152"/>
      <c r="G18" s="152"/>
      <c r="H18" s="152"/>
      <c r="I18" s="152"/>
      <c r="L18" s="28" t="s">
        <v>53</v>
      </c>
      <c r="M18" s="28" t="s">
        <v>54</v>
      </c>
    </row>
    <row r="19" spans="2:13" ht="15.75" customHeight="1">
      <c r="B19" s="110" t="s">
        <v>25</v>
      </c>
      <c r="C19" s="154" t="s">
        <v>55</v>
      </c>
      <c r="D19" s="154" t="s">
        <v>56</v>
      </c>
      <c r="E19" s="110" t="s">
        <v>28</v>
      </c>
      <c r="F19" s="110"/>
      <c r="G19" s="110"/>
      <c r="H19" s="110"/>
      <c r="I19" s="110"/>
      <c r="L19" s="50" t="s">
        <v>55</v>
      </c>
      <c r="M19" s="50" t="s">
        <v>56</v>
      </c>
    </row>
    <row r="20" spans="2:13" ht="15.75" customHeight="1" thickBot="1">
      <c r="B20" s="155" t="s">
        <v>25</v>
      </c>
      <c r="C20" s="156" t="s">
        <v>57</v>
      </c>
      <c r="D20" s="156" t="s">
        <v>58</v>
      </c>
      <c r="E20" s="155" t="s">
        <v>28</v>
      </c>
      <c r="F20" s="155"/>
      <c r="G20" s="155"/>
      <c r="H20" s="155"/>
      <c r="I20" s="155"/>
      <c r="L20" s="28" t="s">
        <v>57</v>
      </c>
      <c r="M20" s="28" t="s">
        <v>58</v>
      </c>
    </row>
    <row r="21" spans="2:13" ht="15.75" customHeight="1"/>
    <row r="25" spans="2:13" ht="13.8" thickBot="1">
      <c r="B25" s="178" t="s">
        <v>59</v>
      </c>
      <c r="C25" s="178"/>
    </row>
    <row r="26" spans="2:13">
      <c r="B26" s="71" t="s">
        <v>25</v>
      </c>
      <c r="C26" s="71" t="s">
        <v>60</v>
      </c>
    </row>
    <row r="27" spans="2:13">
      <c r="B27" s="69" t="s">
        <v>36</v>
      </c>
      <c r="C27" s="69" t="s">
        <v>61</v>
      </c>
    </row>
    <row r="28" spans="2:13">
      <c r="B28" s="68" t="s">
        <v>33</v>
      </c>
      <c r="C28" s="68" t="s">
        <v>62</v>
      </c>
    </row>
    <row r="29" spans="2:13">
      <c r="B29" s="69" t="s">
        <v>63</v>
      </c>
      <c r="C29" s="69" t="s">
        <v>64</v>
      </c>
    </row>
    <row r="30" spans="2:13" ht="13.8" thickBot="1">
      <c r="B30" s="70" t="s">
        <v>65</v>
      </c>
      <c r="C30" s="70" t="s">
        <v>66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79"/>
  <sheetViews>
    <sheetView showFormulas="1" topLeftCell="A6" zoomScale="134" zoomScaleNormal="90" workbookViewId="0">
      <selection activeCell="B13" sqref="B13:H13"/>
    </sheetView>
  </sheetViews>
  <sheetFormatPr defaultColWidth="8.6640625" defaultRowHeight="13.2"/>
  <cols>
    <col min="1" max="1" width="1.44140625" customWidth="1"/>
    <col min="2" max="2" width="7.44140625" customWidth="1"/>
    <col min="3" max="3" width="7.33203125" customWidth="1"/>
    <col min="4" max="4" width="21.44140625" customWidth="1"/>
    <col min="5" max="5" width="18.6640625" customWidth="1"/>
    <col min="6" max="6" width="6.6640625" customWidth="1"/>
    <col min="7" max="8" width="8.33203125" customWidth="1"/>
    <col min="9" max="9" width="7.44140625" customWidth="1"/>
    <col min="10" max="10" width="6.6640625" customWidth="1"/>
    <col min="12" max="12" width="13.44140625" customWidth="1"/>
  </cols>
  <sheetData>
    <row r="1" spans="1:10" ht="12.75" customHeight="1">
      <c r="B1" s="75"/>
      <c r="C1" s="31"/>
      <c r="D1" s="31"/>
    </row>
    <row r="2" spans="1:10" ht="18.75" customHeight="1">
      <c r="A2" s="12"/>
      <c r="B2" s="76" t="s">
        <v>67</v>
      </c>
      <c r="C2" s="76"/>
      <c r="D2" s="76"/>
      <c r="E2" s="23"/>
      <c r="F2" s="23"/>
      <c r="G2" s="23"/>
      <c r="H2" s="23"/>
      <c r="I2" s="23"/>
      <c r="J2" s="23"/>
    </row>
    <row r="3" spans="1:10" ht="12.75" customHeight="1"/>
    <row r="4" spans="1:10" ht="18" customHeight="1">
      <c r="B4" s="22" t="s">
        <v>68</v>
      </c>
      <c r="C4" s="22"/>
      <c r="D4" s="23"/>
      <c r="E4" s="23"/>
      <c r="F4" s="23"/>
      <c r="G4" s="23"/>
      <c r="H4" s="23"/>
      <c r="I4" s="23"/>
      <c r="J4" s="23"/>
    </row>
    <row r="5" spans="1:10" ht="15.75" customHeight="1">
      <c r="B5" s="127" t="s">
        <v>69</v>
      </c>
      <c r="C5" s="127" t="s">
        <v>70</v>
      </c>
      <c r="D5" s="127" t="s">
        <v>71</v>
      </c>
      <c r="E5" s="127" t="s">
        <v>72</v>
      </c>
      <c r="F5" s="77" t="s">
        <v>73</v>
      </c>
      <c r="G5" s="77" t="s">
        <v>74</v>
      </c>
      <c r="H5" s="77" t="s">
        <v>75</v>
      </c>
      <c r="I5" s="77" t="s">
        <v>76</v>
      </c>
      <c r="J5" s="77" t="s">
        <v>77</v>
      </c>
    </row>
    <row r="6" spans="1:10" ht="47.25" customHeight="1">
      <c r="B6" s="128" t="s">
        <v>78</v>
      </c>
      <c r="C6" s="128" t="s">
        <v>79</v>
      </c>
      <c r="D6" s="128" t="s">
        <v>80</v>
      </c>
      <c r="E6" s="128" t="s">
        <v>81</v>
      </c>
      <c r="F6" s="78" t="s">
        <v>82</v>
      </c>
      <c r="G6" s="78" t="s">
        <v>83</v>
      </c>
      <c r="H6" s="78" t="s">
        <v>14</v>
      </c>
      <c r="I6" s="78" t="s">
        <v>84</v>
      </c>
      <c r="J6" s="78" t="s">
        <v>85</v>
      </c>
    </row>
    <row r="7" spans="1:10" ht="42.75" customHeight="1" thickBot="1">
      <c r="B7" s="157" t="s">
        <v>86</v>
      </c>
      <c r="C7" s="157" t="s">
        <v>87</v>
      </c>
      <c r="D7" s="157" t="s">
        <v>88</v>
      </c>
      <c r="E7" s="157" t="s">
        <v>89</v>
      </c>
      <c r="F7" s="150" t="s">
        <v>90</v>
      </c>
      <c r="G7" s="150" t="s">
        <v>91</v>
      </c>
      <c r="H7" s="150" t="s">
        <v>22</v>
      </c>
      <c r="I7" s="158" t="s">
        <v>92</v>
      </c>
      <c r="J7" s="158" t="s">
        <v>93</v>
      </c>
    </row>
    <row r="8" spans="1:10" ht="15.75" customHeight="1">
      <c r="B8" s="144" t="s">
        <v>94</v>
      </c>
      <c r="C8" s="144" t="s">
        <v>95</v>
      </c>
      <c r="D8" s="144" t="s">
        <v>96</v>
      </c>
      <c r="E8" s="144" t="s">
        <v>97</v>
      </c>
      <c r="F8" s="159" t="s">
        <v>28</v>
      </c>
      <c r="G8" s="159" t="s">
        <v>98</v>
      </c>
      <c r="H8" s="159" t="s">
        <v>29</v>
      </c>
      <c r="I8" s="159"/>
      <c r="J8" s="159"/>
    </row>
    <row r="9" spans="1:10" ht="15.75" customHeight="1">
      <c r="B9" s="148" t="s">
        <v>94</v>
      </c>
      <c r="C9" s="148" t="s">
        <v>95</v>
      </c>
      <c r="D9" s="148" t="s">
        <v>99</v>
      </c>
      <c r="E9" s="148" t="s">
        <v>100</v>
      </c>
      <c r="F9" s="154" t="s">
        <v>28</v>
      </c>
      <c r="G9" s="154" t="s">
        <v>98</v>
      </c>
      <c r="H9" s="154" t="s">
        <v>29</v>
      </c>
      <c r="I9" s="154"/>
      <c r="J9" s="154"/>
    </row>
    <row r="10" spans="1:10" ht="15.75" customHeight="1">
      <c r="B10" s="146" t="s">
        <v>94</v>
      </c>
      <c r="C10" s="146" t="s">
        <v>95</v>
      </c>
      <c r="D10" s="146" t="s">
        <v>101</v>
      </c>
      <c r="E10" s="146" t="s">
        <v>102</v>
      </c>
      <c r="F10" s="153" t="s">
        <v>28</v>
      </c>
      <c r="G10" s="153" t="s">
        <v>98</v>
      </c>
      <c r="H10" s="153" t="s">
        <v>29</v>
      </c>
      <c r="I10" s="153"/>
      <c r="J10" s="153"/>
    </row>
    <row r="11" spans="1:10" ht="15.75" customHeight="1">
      <c r="B11" s="148" t="s">
        <v>94</v>
      </c>
      <c r="C11" s="148" t="s">
        <v>95</v>
      </c>
      <c r="D11" s="148" t="s">
        <v>103</v>
      </c>
      <c r="E11" s="148" t="s">
        <v>104</v>
      </c>
      <c r="F11" s="154" t="s">
        <v>28</v>
      </c>
      <c r="G11" s="154" t="s">
        <v>98</v>
      </c>
      <c r="H11" s="154" t="s">
        <v>29</v>
      </c>
      <c r="I11" s="154"/>
      <c r="J11" s="154"/>
    </row>
    <row r="12" spans="1:10" ht="15.75" customHeight="1">
      <c r="B12" s="147" t="s">
        <v>94</v>
      </c>
      <c r="C12" s="146" t="s">
        <v>95</v>
      </c>
      <c r="D12" s="146" t="s">
        <v>105</v>
      </c>
      <c r="E12" s="146" t="s">
        <v>106</v>
      </c>
      <c r="F12" s="153" t="s">
        <v>28</v>
      </c>
      <c r="G12" s="153" t="s">
        <v>98</v>
      </c>
      <c r="H12" s="153" t="s">
        <v>29</v>
      </c>
      <c r="I12" s="153"/>
      <c r="J12" s="153"/>
    </row>
    <row r="13" spans="1:10" ht="15.75" customHeight="1">
      <c r="B13" s="149" t="s">
        <v>107</v>
      </c>
      <c r="C13" s="148" t="s">
        <v>95</v>
      </c>
      <c r="D13" s="148" t="s">
        <v>108</v>
      </c>
      <c r="E13" s="149" t="s">
        <v>109</v>
      </c>
      <c r="F13" s="154" t="s">
        <v>28</v>
      </c>
      <c r="G13" s="154" t="s">
        <v>98</v>
      </c>
      <c r="H13" s="154" t="s">
        <v>29</v>
      </c>
      <c r="I13" s="154"/>
      <c r="J13" s="154"/>
    </row>
    <row r="14" spans="1:10" ht="15.75" customHeight="1">
      <c r="B14" s="147" t="s">
        <v>94</v>
      </c>
      <c r="C14" s="146" t="s">
        <v>95</v>
      </c>
      <c r="D14" s="146" t="s">
        <v>110</v>
      </c>
      <c r="E14" s="147" t="s">
        <v>111</v>
      </c>
      <c r="F14" s="153" t="s">
        <v>28</v>
      </c>
      <c r="G14" s="153" t="s">
        <v>98</v>
      </c>
      <c r="H14" s="153" t="s">
        <v>29</v>
      </c>
      <c r="I14" s="153"/>
      <c r="J14" s="153"/>
    </row>
    <row r="15" spans="1:10" ht="15.75" customHeight="1">
      <c r="B15" s="149" t="s">
        <v>94</v>
      </c>
      <c r="C15" s="148" t="s">
        <v>95</v>
      </c>
      <c r="D15" s="148" t="s">
        <v>112</v>
      </c>
      <c r="E15" s="149" t="s">
        <v>113</v>
      </c>
      <c r="F15" s="154" t="s">
        <v>28</v>
      </c>
      <c r="G15" s="154" t="s">
        <v>98</v>
      </c>
      <c r="H15" s="154" t="s">
        <v>29</v>
      </c>
      <c r="I15" s="154"/>
      <c r="J15" s="154"/>
    </row>
    <row r="16" spans="1:10" ht="15.75" customHeight="1">
      <c r="B16" s="147" t="s">
        <v>94</v>
      </c>
      <c r="C16" s="146" t="s">
        <v>95</v>
      </c>
      <c r="D16" s="146" t="s">
        <v>114</v>
      </c>
      <c r="E16" s="146" t="s">
        <v>115</v>
      </c>
      <c r="F16" s="153" t="s">
        <v>28</v>
      </c>
      <c r="G16" s="153" t="s">
        <v>98</v>
      </c>
      <c r="H16" s="153" t="s">
        <v>29</v>
      </c>
      <c r="I16" s="153"/>
      <c r="J16" s="153"/>
    </row>
    <row r="17" spans="2:10" ht="15.75" customHeight="1">
      <c r="B17" s="149" t="s">
        <v>94</v>
      </c>
      <c r="C17" s="148" t="s">
        <v>95</v>
      </c>
      <c r="D17" s="148" t="s">
        <v>116</v>
      </c>
      <c r="E17" s="148" t="s">
        <v>117</v>
      </c>
      <c r="F17" s="154" t="s">
        <v>28</v>
      </c>
      <c r="G17" s="154" t="s">
        <v>98</v>
      </c>
      <c r="H17" s="154" t="s">
        <v>29</v>
      </c>
      <c r="I17" s="154"/>
      <c r="J17" s="154"/>
    </row>
    <row r="18" spans="2:10">
      <c r="B18" s="147" t="s">
        <v>94</v>
      </c>
      <c r="C18" s="146" t="s">
        <v>95</v>
      </c>
      <c r="D18" s="146" t="s">
        <v>118</v>
      </c>
      <c r="E18" s="147" t="s">
        <v>119</v>
      </c>
      <c r="F18" s="153" t="s">
        <v>28</v>
      </c>
      <c r="G18" s="153" t="s">
        <v>98</v>
      </c>
      <c r="H18" s="153" t="s">
        <v>29</v>
      </c>
      <c r="I18" s="153"/>
      <c r="J18" s="153"/>
    </row>
    <row r="19" spans="2:10" ht="16.2" thickBot="1">
      <c r="B19" s="160" t="s">
        <v>120</v>
      </c>
      <c r="C19" s="160" t="s">
        <v>95</v>
      </c>
      <c r="D19" s="160" t="s">
        <v>121</v>
      </c>
      <c r="E19" s="160" t="s">
        <v>122</v>
      </c>
      <c r="F19" s="161" t="s">
        <v>28</v>
      </c>
      <c r="G19" s="161" t="s">
        <v>123</v>
      </c>
      <c r="H19" s="162" t="s">
        <v>29</v>
      </c>
      <c r="I19" s="162"/>
      <c r="J19" s="162"/>
    </row>
    <row r="21" spans="2:10">
      <c r="D21" s="84"/>
    </row>
    <row r="22" spans="2:10">
      <c r="D22" s="84"/>
    </row>
    <row r="23" spans="2:10">
      <c r="D23" s="84"/>
    </row>
    <row r="24" spans="2:10">
      <c r="B24" s="179" t="s">
        <v>124</v>
      </c>
      <c r="C24" s="179"/>
      <c r="D24" s="179"/>
    </row>
    <row r="25" spans="2:10">
      <c r="B25" s="68" t="s">
        <v>94</v>
      </c>
      <c r="C25" s="68" t="s">
        <v>125</v>
      </c>
      <c r="D25" s="68"/>
    </row>
    <row r="26" spans="2:10">
      <c r="B26" s="69" t="s">
        <v>126</v>
      </c>
      <c r="C26" s="69" t="s">
        <v>127</v>
      </c>
      <c r="D26" s="69"/>
    </row>
    <row r="27" spans="2:10">
      <c r="B27" s="68" t="s">
        <v>107</v>
      </c>
      <c r="C27" s="68" t="s">
        <v>128</v>
      </c>
      <c r="D27" s="68"/>
    </row>
    <row r="28" spans="2:10">
      <c r="B28" s="69" t="s">
        <v>120</v>
      </c>
      <c r="C28" s="69" t="s">
        <v>129</v>
      </c>
      <c r="D28" s="69"/>
    </row>
    <row r="29" spans="2:10">
      <c r="B29" s="68" t="s">
        <v>130</v>
      </c>
      <c r="C29" s="68" t="s">
        <v>131</v>
      </c>
      <c r="D29" s="68" t="s">
        <v>132</v>
      </c>
    </row>
    <row r="30" spans="2:10">
      <c r="B30" s="69" t="s">
        <v>133</v>
      </c>
      <c r="C30" s="69" t="s">
        <v>134</v>
      </c>
      <c r="D30" s="69" t="s">
        <v>135</v>
      </c>
    </row>
    <row r="31" spans="2:10">
      <c r="B31" s="68" t="s">
        <v>136</v>
      </c>
      <c r="C31" s="68" t="s">
        <v>137</v>
      </c>
      <c r="D31" s="68" t="s">
        <v>138</v>
      </c>
    </row>
    <row r="32" spans="2:10">
      <c r="B32" s="69" t="s">
        <v>139</v>
      </c>
      <c r="C32" s="69" t="s">
        <v>140</v>
      </c>
      <c r="D32" s="69" t="s">
        <v>135</v>
      </c>
    </row>
    <row r="33" spans="2:4" ht="13.8" thickBot="1">
      <c r="B33" s="70" t="s">
        <v>141</v>
      </c>
      <c r="C33" s="70" t="s">
        <v>142</v>
      </c>
      <c r="D33" s="70"/>
    </row>
    <row r="36" spans="2:4">
      <c r="B36" t="s">
        <v>94</v>
      </c>
      <c r="C36" t="s">
        <v>143</v>
      </c>
      <c r="D36" s="81" t="s">
        <v>144</v>
      </c>
    </row>
    <row r="37" spans="2:4">
      <c r="C37" t="s">
        <v>145</v>
      </c>
      <c r="D37" s="81" t="s">
        <v>146</v>
      </c>
    </row>
    <row r="38" spans="2:4">
      <c r="C38" t="s">
        <v>147</v>
      </c>
      <c r="D38" s="81" t="s">
        <v>148</v>
      </c>
    </row>
    <row r="39" spans="2:4">
      <c r="C39" t="s">
        <v>149</v>
      </c>
      <c r="D39" s="81" t="s">
        <v>150</v>
      </c>
    </row>
    <row r="40" spans="2:4">
      <c r="C40" t="s">
        <v>151</v>
      </c>
      <c r="D40" s="81" t="s">
        <v>152</v>
      </c>
    </row>
    <row r="41" spans="2:4">
      <c r="C41" t="s">
        <v>153</v>
      </c>
      <c r="D41" s="81" t="s">
        <v>154</v>
      </c>
    </row>
    <row r="42" spans="2:4">
      <c r="C42" t="s">
        <v>155</v>
      </c>
      <c r="D42" s="81" t="s">
        <v>156</v>
      </c>
    </row>
    <row r="43" spans="2:4">
      <c r="C43" t="s">
        <v>157</v>
      </c>
      <c r="D43" s="82" t="s">
        <v>158</v>
      </c>
    </row>
    <row r="44" spans="2:4">
      <c r="D44" s="82" t="s">
        <v>159</v>
      </c>
    </row>
    <row r="45" spans="2:4">
      <c r="B45" t="s">
        <v>107</v>
      </c>
      <c r="C45" t="s">
        <v>160</v>
      </c>
      <c r="D45" s="82" t="s">
        <v>161</v>
      </c>
    </row>
    <row r="46" spans="2:4">
      <c r="D46" s="82" t="s">
        <v>162</v>
      </c>
    </row>
    <row r="47" spans="2:4">
      <c r="C47" t="s">
        <v>163</v>
      </c>
      <c r="D47" s="81" t="s">
        <v>164</v>
      </c>
    </row>
    <row r="48" spans="2:4">
      <c r="D48" s="81" t="s">
        <v>165</v>
      </c>
    </row>
    <row r="49" spans="3:4">
      <c r="C49" t="s">
        <v>166</v>
      </c>
      <c r="D49" s="81" t="s">
        <v>167</v>
      </c>
    </row>
    <row r="50" spans="3:4">
      <c r="C50" t="s">
        <v>168</v>
      </c>
      <c r="D50" s="81" t="s">
        <v>169</v>
      </c>
    </row>
    <row r="51" spans="3:4">
      <c r="C51" t="s">
        <v>170</v>
      </c>
      <c r="D51" s="81" t="s">
        <v>171</v>
      </c>
    </row>
    <row r="52" spans="3:4">
      <c r="D52" s="81" t="s">
        <v>172</v>
      </c>
    </row>
    <row r="53" spans="3:4">
      <c r="D53" s="81" t="s">
        <v>173</v>
      </c>
    </row>
    <row r="54" spans="3:4">
      <c r="D54" s="81" t="s">
        <v>174</v>
      </c>
    </row>
    <row r="55" spans="3:4">
      <c r="D55" s="81" t="s">
        <v>175</v>
      </c>
    </row>
    <row r="56" spans="3:4">
      <c r="D56" s="81" t="s">
        <v>176</v>
      </c>
    </row>
    <row r="61" spans="3:4">
      <c r="C61" t="s">
        <v>177</v>
      </c>
    </row>
    <row r="64" spans="3:4">
      <c r="C64" t="s">
        <v>178</v>
      </c>
    </row>
    <row r="67" spans="2:5">
      <c r="B67" s="83">
        <v>663.6</v>
      </c>
      <c r="D67" s="84" t="s">
        <v>179</v>
      </c>
    </row>
    <row r="68" spans="2:5">
      <c r="B68" s="83">
        <v>7559.73</v>
      </c>
      <c r="C68" s="81" t="s">
        <v>146</v>
      </c>
      <c r="D68" s="84" t="s">
        <v>180</v>
      </c>
    </row>
    <row r="69" spans="2:5">
      <c r="B69" s="83">
        <v>281.32</v>
      </c>
      <c r="C69" s="85" t="s">
        <v>181</v>
      </c>
      <c r="D69" s="84"/>
    </row>
    <row r="70" spans="2:5">
      <c r="B70" s="83">
        <v>3786.34</v>
      </c>
      <c r="C70" s="85" t="s">
        <v>182</v>
      </c>
      <c r="D70" s="84" t="s">
        <v>183</v>
      </c>
      <c r="E70">
        <v>4067.6600000000003</v>
      </c>
    </row>
    <row r="71" spans="2:5">
      <c r="B71" s="83">
        <v>19008.150000000001</v>
      </c>
      <c r="C71" s="81" t="s">
        <v>150</v>
      </c>
      <c r="D71" s="84" t="s">
        <v>184</v>
      </c>
    </row>
    <row r="72" spans="2:5">
      <c r="B72" s="83">
        <v>392.54</v>
      </c>
      <c r="C72" s="85" t="s">
        <v>185</v>
      </c>
      <c r="D72" s="84" t="s">
        <v>186</v>
      </c>
    </row>
    <row r="73" spans="2:5">
      <c r="B73" s="83">
        <v>1591.21</v>
      </c>
      <c r="D73" s="84" t="s">
        <v>187</v>
      </c>
    </row>
    <row r="74" spans="2:5">
      <c r="B74" s="83">
        <v>323.01</v>
      </c>
      <c r="C74" s="82" t="s">
        <v>158</v>
      </c>
      <c r="D74" s="180" t="s">
        <v>157</v>
      </c>
      <c r="E74">
        <v>791.57999999999993</v>
      </c>
    </row>
    <row r="75" spans="2:5">
      <c r="B75" s="83">
        <v>468.57</v>
      </c>
      <c r="C75" s="82" t="s">
        <v>159</v>
      </c>
      <c r="D75" s="180"/>
    </row>
    <row r="76" spans="2:5">
      <c r="B76" s="83">
        <v>10643.2</v>
      </c>
      <c r="C76" s="81" t="s">
        <v>171</v>
      </c>
      <c r="D76" s="84" t="s">
        <v>170</v>
      </c>
    </row>
    <row r="77" spans="2:5">
      <c r="B77" s="83">
        <v>8977.73</v>
      </c>
      <c r="C77" s="81" t="s">
        <v>167</v>
      </c>
      <c r="D77" t="s">
        <v>188</v>
      </c>
    </row>
    <row r="78" spans="2:5">
      <c r="B78" s="83">
        <v>1519.6700000000055</v>
      </c>
      <c r="C78" s="81" t="s">
        <v>173</v>
      </c>
      <c r="D78" s="84" t="s">
        <v>189</v>
      </c>
    </row>
    <row r="79" spans="2:5">
      <c r="B79" s="83">
        <v>55215.07</v>
      </c>
      <c r="D79" s="84"/>
    </row>
  </sheetData>
  <mergeCells count="2">
    <mergeCell ref="B24:D24"/>
    <mergeCell ref="D74:D7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E71"/>
  <sheetViews>
    <sheetView topLeftCell="A5" zoomScale="170" zoomScaleNormal="115" workbookViewId="0">
      <selection activeCell="B20" sqref="B20"/>
    </sheetView>
  </sheetViews>
  <sheetFormatPr defaultColWidth="8.6640625" defaultRowHeight="13.2"/>
  <cols>
    <col min="1" max="1" width="2.6640625" customWidth="1"/>
    <col min="2" max="2" width="21.44140625" customWidth="1"/>
    <col min="3" max="3" width="44.33203125" customWidth="1"/>
    <col min="4" max="4" width="18.6640625" customWidth="1"/>
    <col min="5" max="5" width="20" customWidth="1"/>
    <col min="6" max="6" width="12.6640625" customWidth="1"/>
    <col min="7" max="7" width="21.33203125" customWidth="1"/>
    <col min="8" max="8" width="13.33203125" customWidth="1"/>
    <col min="9" max="9" width="12.44140625" customWidth="1"/>
    <col min="10" max="14" width="7.6640625" customWidth="1"/>
    <col min="15" max="15" width="15.6640625" customWidth="1"/>
    <col min="16" max="16" width="32" bestFit="1" customWidth="1"/>
    <col min="17" max="17" width="15" customWidth="1"/>
    <col min="18" max="18" width="13" customWidth="1"/>
    <col min="19" max="19" width="17.6640625" customWidth="1"/>
    <col min="20" max="21" width="15" customWidth="1"/>
    <col min="22" max="22" width="15.33203125" customWidth="1"/>
    <col min="25" max="25" width="12.44140625" bestFit="1" customWidth="1"/>
  </cols>
  <sheetData>
    <row r="1" spans="2:31">
      <c r="H1" s="67" t="s">
        <v>190</v>
      </c>
    </row>
    <row r="2" spans="2:31" ht="16.5" customHeight="1">
      <c r="B2" s="74" t="s">
        <v>191</v>
      </c>
      <c r="C2" s="41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R2" s="6"/>
      <c r="S2" s="7"/>
    </row>
    <row r="3" spans="2:31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R3" s="6"/>
      <c r="S3" s="7"/>
    </row>
    <row r="4" spans="2:31" ht="15.75" customHeight="1">
      <c r="E4" s="15" t="s">
        <v>192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R4" s="14"/>
      <c r="S4" s="14"/>
    </row>
    <row r="5" spans="2:31" s="3" customFormat="1" ht="26.4">
      <c r="B5" s="77" t="s">
        <v>71</v>
      </c>
      <c r="C5" s="77" t="s">
        <v>193</v>
      </c>
      <c r="D5" s="77" t="s">
        <v>194</v>
      </c>
      <c r="E5" s="77" t="s">
        <v>195</v>
      </c>
      <c r="F5" s="77" t="s">
        <v>196</v>
      </c>
      <c r="G5" s="77" t="s">
        <v>197</v>
      </c>
      <c r="H5" s="80" t="s">
        <v>198</v>
      </c>
      <c r="I5" s="80" t="s">
        <v>199</v>
      </c>
      <c r="J5" s="80" t="s">
        <v>200</v>
      </c>
      <c r="K5" s="80" t="s">
        <v>201</v>
      </c>
      <c r="L5" s="80" t="s">
        <v>202</v>
      </c>
      <c r="M5" s="80" t="s">
        <v>203</v>
      </c>
      <c r="N5" s="80" t="s">
        <v>204</v>
      </c>
      <c r="O5" s="77" t="s">
        <v>205</v>
      </c>
      <c r="P5" s="80" t="s">
        <v>206</v>
      </c>
      <c r="Q5" s="80" t="s">
        <v>207</v>
      </c>
      <c r="R5" s="77" t="s">
        <v>208</v>
      </c>
      <c r="S5" s="77" t="s">
        <v>209</v>
      </c>
      <c r="T5"/>
      <c r="U5"/>
      <c r="X5"/>
      <c r="Y5"/>
    </row>
    <row r="6" spans="2:31" ht="52.95" customHeight="1">
      <c r="B6" s="78" t="s">
        <v>210</v>
      </c>
      <c r="C6" s="78" t="s">
        <v>81</v>
      </c>
      <c r="D6" s="78" t="s">
        <v>211</v>
      </c>
      <c r="E6" s="78" t="s">
        <v>212</v>
      </c>
      <c r="F6" s="78" t="s">
        <v>213</v>
      </c>
      <c r="G6" s="78" t="s">
        <v>214</v>
      </c>
      <c r="H6" s="186" t="s">
        <v>215</v>
      </c>
      <c r="I6" s="186"/>
      <c r="J6" s="186"/>
      <c r="K6" s="186"/>
      <c r="L6" s="186"/>
      <c r="M6" s="186"/>
      <c r="N6" s="186"/>
      <c r="O6" s="78" t="s">
        <v>216</v>
      </c>
      <c r="P6" s="78" t="s">
        <v>217</v>
      </c>
      <c r="Q6" s="78" t="s">
        <v>217</v>
      </c>
      <c r="R6" s="78" t="s">
        <v>218</v>
      </c>
      <c r="S6" s="78" t="s">
        <v>219</v>
      </c>
      <c r="V6" t="s">
        <v>220</v>
      </c>
      <c r="Z6" s="34"/>
      <c r="AA6" s="2"/>
    </row>
    <row r="7" spans="2:31" ht="52.95" customHeight="1" thickBot="1">
      <c r="B7" s="79" t="s">
        <v>221</v>
      </c>
      <c r="C7" s="79" t="s">
        <v>89</v>
      </c>
      <c r="D7" s="79" t="s">
        <v>222</v>
      </c>
      <c r="E7" s="79" t="s">
        <v>223</v>
      </c>
      <c r="F7" s="79" t="s">
        <v>224</v>
      </c>
      <c r="G7" s="79" t="s">
        <v>225</v>
      </c>
      <c r="H7" s="187" t="s">
        <v>226</v>
      </c>
      <c r="I7" s="187"/>
      <c r="J7" s="187"/>
      <c r="K7" s="187"/>
      <c r="L7" s="187"/>
      <c r="M7" s="187"/>
      <c r="N7" s="187"/>
      <c r="O7" s="79" t="s">
        <v>227</v>
      </c>
      <c r="P7" s="79" t="s">
        <v>228</v>
      </c>
      <c r="Q7" s="79" t="s">
        <v>228</v>
      </c>
      <c r="R7" s="79" t="s">
        <v>229</v>
      </c>
      <c r="S7" s="79" t="s">
        <v>230</v>
      </c>
      <c r="Z7" s="34"/>
      <c r="AA7" s="2"/>
    </row>
    <row r="8" spans="2:31" ht="15.75" customHeight="1">
      <c r="B8" s="28" t="str">
        <f>SEC_Processes!D8</f>
        <v>ELE_EX_BIOM</v>
      </c>
      <c r="C8" s="28" t="str">
        <f>SEC_Processes!E8</f>
        <v>Existing Biomass Power Plants</v>
      </c>
      <c r="D8" s="25" t="str">
        <f>SEC_Comm!C12</f>
        <v>BIOM</v>
      </c>
      <c r="E8" s="25" t="str">
        <f>SEC_Comm!C8</f>
        <v>ELC</v>
      </c>
      <c r="F8" s="25">
        <v>0.39</v>
      </c>
      <c r="G8" s="25">
        <v>31.536000000000001</v>
      </c>
      <c r="H8" s="65">
        <f>663.6/1000</f>
        <v>0.66359999999999997</v>
      </c>
      <c r="I8" s="65">
        <f>$H8*1</f>
        <v>0.66359999999999997</v>
      </c>
      <c r="J8" s="65">
        <f>H8*0.8</f>
        <v>0.53088000000000002</v>
      </c>
      <c r="K8" s="65">
        <f>H8*0.6</f>
        <v>0.39815999999999996</v>
      </c>
      <c r="L8" s="65">
        <f>H8*0.4</f>
        <v>0.26544000000000001</v>
      </c>
      <c r="M8" s="65">
        <f>H8*0.2</f>
        <v>0.13272</v>
      </c>
      <c r="N8" s="65">
        <f>H8*0</f>
        <v>0</v>
      </c>
      <c r="O8" s="63">
        <v>1</v>
      </c>
      <c r="P8" s="63"/>
      <c r="Q8" s="164">
        <v>0.85</v>
      </c>
      <c r="R8" s="175">
        <v>170</v>
      </c>
      <c r="S8" s="62"/>
    </row>
    <row r="9" spans="2:31" ht="15.75" customHeight="1">
      <c r="B9" s="50" t="str">
        <f>SEC_Processes!D9</f>
        <v>ELE_EX_LIG</v>
      </c>
      <c r="C9" s="50" t="str">
        <f>SEC_Processes!E9</f>
        <v>Existing Lignite Power Plants</v>
      </c>
      <c r="D9" s="44" t="str">
        <f>SEC_Comm!C13</f>
        <v>LIG</v>
      </c>
      <c r="E9" s="44" t="str">
        <f>SEC_Comm!C8</f>
        <v>ELC</v>
      </c>
      <c r="F9" s="44">
        <v>0.39</v>
      </c>
      <c r="G9" s="44">
        <v>31.536000000000001</v>
      </c>
      <c r="H9" s="86">
        <f>7559.73/1000</f>
        <v>7.5597299999999992</v>
      </c>
      <c r="I9" s="44"/>
      <c r="J9" s="44">
        <v>6.5</v>
      </c>
      <c r="K9" s="44">
        <v>3.3370000000000002</v>
      </c>
      <c r="L9" s="44">
        <v>0.68300000000000005</v>
      </c>
      <c r="M9" s="44"/>
      <c r="N9" s="44">
        <f t="shared" ref="N9:N17" si="0">H9*0</f>
        <v>0</v>
      </c>
      <c r="O9" s="86">
        <v>1</v>
      </c>
      <c r="P9" s="44"/>
      <c r="Q9" s="133">
        <v>0.85</v>
      </c>
      <c r="R9" s="176">
        <v>100</v>
      </c>
      <c r="S9" s="126"/>
    </row>
    <row r="10" spans="2:31">
      <c r="B10" s="28" t="str">
        <f>SEC_Processes!D10</f>
        <v>ELE_EX_GAS_CCGT</v>
      </c>
      <c r="C10" s="28" t="str">
        <f>SEC_Processes!E10</f>
        <v>Existing Gas Combined Cycle Power Plants</v>
      </c>
      <c r="D10" s="25" t="str">
        <f>SEC_Comm!C14</f>
        <v>NAT_GAS</v>
      </c>
      <c r="E10" s="25" t="str">
        <f>SEC_Comm!C8</f>
        <v>ELC</v>
      </c>
      <c r="F10">
        <v>0.7</v>
      </c>
      <c r="G10" s="25">
        <v>31.536000000000001</v>
      </c>
      <c r="H10" s="65">
        <f t="shared" ref="H10:N10" si="1">4067.66/1000</f>
        <v>4.0676600000000001</v>
      </c>
      <c r="I10" s="65">
        <f t="shared" si="1"/>
        <v>4.0676600000000001</v>
      </c>
      <c r="J10" s="65">
        <f t="shared" si="1"/>
        <v>4.0676600000000001</v>
      </c>
      <c r="K10" s="65">
        <f t="shared" si="1"/>
        <v>4.0676600000000001</v>
      </c>
      <c r="L10" s="65">
        <f t="shared" si="1"/>
        <v>4.0676600000000001</v>
      </c>
      <c r="M10" s="65">
        <f t="shared" si="1"/>
        <v>4.0676600000000001</v>
      </c>
      <c r="N10" s="65">
        <f t="shared" si="1"/>
        <v>4.0676600000000001</v>
      </c>
      <c r="O10" s="65">
        <v>1</v>
      </c>
      <c r="P10" s="65"/>
      <c r="Q10" s="133">
        <v>0.85</v>
      </c>
      <c r="R10" s="176">
        <v>150</v>
      </c>
      <c r="S10" s="126"/>
    </row>
    <row r="11" spans="2:31">
      <c r="B11" s="50" t="str">
        <f>SEC_Processes!D11</f>
        <v>ELE_EX_HC</v>
      </c>
      <c r="C11" s="50" t="str">
        <f>SEC_Processes!E11</f>
        <v>Existing Hard Coal Power Plants</v>
      </c>
      <c r="D11" s="44" t="str">
        <f>SEC_Comm!C15</f>
        <v>HC</v>
      </c>
      <c r="E11" s="44" t="str">
        <f>SEC_Comm!C8</f>
        <v>ELC</v>
      </c>
      <c r="F11" s="110">
        <v>0.41</v>
      </c>
      <c r="G11" s="136">
        <v>31.536000000000001</v>
      </c>
      <c r="H11" s="86">
        <f>19008.15/1000</f>
        <v>19.008150000000001</v>
      </c>
      <c r="I11" s="86"/>
      <c r="J11" s="86">
        <v>7.3390000000000004</v>
      </c>
      <c r="K11" s="86">
        <v>5.81</v>
      </c>
      <c r="L11" s="86">
        <v>3.597</v>
      </c>
      <c r="M11" s="86"/>
      <c r="N11" s="86">
        <v>0.83299999999999996</v>
      </c>
      <c r="O11" s="86">
        <v>1</v>
      </c>
      <c r="P11" s="86"/>
      <c r="Q11" s="133">
        <v>0.85</v>
      </c>
      <c r="R11" s="176">
        <v>120</v>
      </c>
      <c r="S11" s="126"/>
    </row>
    <row r="12" spans="2:31">
      <c r="B12" s="28" t="str">
        <f>SEC_Processes!D12</f>
        <v>ELE_EX_OIL</v>
      </c>
      <c r="C12" s="28" t="str">
        <f>SEC_Processes!E12</f>
        <v>Existing Oil Power Plants</v>
      </c>
      <c r="D12" s="25" t="str">
        <f>SEC_Comm!C16</f>
        <v>OIL</v>
      </c>
      <c r="E12" s="25" t="str">
        <f>SEC_Comm!C8</f>
        <v>ELC</v>
      </c>
      <c r="F12" s="133">
        <f>F11</f>
        <v>0.41</v>
      </c>
      <c r="G12" s="25">
        <v>31.536000000000001</v>
      </c>
      <c r="H12" s="65">
        <f>392.54/1000</f>
        <v>0.39254</v>
      </c>
      <c r="I12" s="65">
        <f t="shared" ref="I12:I17" si="2">$H12*1</f>
        <v>0.39254</v>
      </c>
      <c r="J12" s="65">
        <f t="shared" ref="J12:J17" si="3">H12*0.8</f>
        <v>0.31403200000000003</v>
      </c>
      <c r="K12" s="65">
        <f t="shared" ref="K12:K17" si="4">H12*0.6</f>
        <v>0.23552399999999998</v>
      </c>
      <c r="L12" s="65">
        <f t="shared" ref="L12:L17" si="5">H12*0.4</f>
        <v>0.15701600000000002</v>
      </c>
      <c r="M12" s="65">
        <f t="shared" ref="M12:M17" si="6">H12*0.2</f>
        <v>7.8508000000000008E-2</v>
      </c>
      <c r="N12" s="65">
        <f t="shared" si="0"/>
        <v>0</v>
      </c>
      <c r="O12" s="65">
        <v>1</v>
      </c>
      <c r="P12" s="65"/>
      <c r="Q12" s="133">
        <v>0.85</v>
      </c>
      <c r="R12" s="176">
        <v>160</v>
      </c>
      <c r="S12" s="126"/>
      <c r="W12">
        <v>2022</v>
      </c>
      <c r="X12" t="s">
        <v>231</v>
      </c>
      <c r="Y12" t="s">
        <v>232</v>
      </c>
    </row>
    <row r="13" spans="2:31">
      <c r="B13" s="28" t="str">
        <f>RES!B11</f>
        <v>ELE_EX_HYD</v>
      </c>
      <c r="C13" s="50" t="str">
        <f>SEC_Processes!E14</f>
        <v>Existing Hydro Power Plants</v>
      </c>
      <c r="D13" s="44" t="str">
        <f>SEC_Comm!C17</f>
        <v>HYD</v>
      </c>
      <c r="E13" s="44" t="str">
        <f>SEC_Comm!C8</f>
        <v>ELC</v>
      </c>
      <c r="F13" s="110">
        <v>0.7</v>
      </c>
      <c r="G13" s="44">
        <v>31.536000000000001</v>
      </c>
      <c r="H13" s="86">
        <f t="shared" ref="H13:N13" si="7">791.58/1000</f>
        <v>0.79158000000000006</v>
      </c>
      <c r="I13" s="86">
        <f t="shared" si="7"/>
        <v>0.79158000000000006</v>
      </c>
      <c r="J13" s="86">
        <f t="shared" si="7"/>
        <v>0.79158000000000006</v>
      </c>
      <c r="K13" s="86">
        <f t="shared" si="7"/>
        <v>0.79158000000000006</v>
      </c>
      <c r="L13" s="86">
        <f t="shared" si="7"/>
        <v>0.79158000000000006</v>
      </c>
      <c r="M13" s="86">
        <f t="shared" si="7"/>
        <v>0.79158000000000006</v>
      </c>
      <c r="N13" s="86">
        <f t="shared" si="7"/>
        <v>0.79158000000000006</v>
      </c>
      <c r="O13" s="86">
        <v>1</v>
      </c>
      <c r="P13" s="86"/>
      <c r="Q13" s="133">
        <v>0.85</v>
      </c>
      <c r="R13" s="176">
        <v>120</v>
      </c>
      <c r="S13" s="126"/>
      <c r="W13" s="34" t="s">
        <v>233</v>
      </c>
      <c r="X13">
        <v>206.8</v>
      </c>
      <c r="Y13">
        <f>X13/3.6</f>
        <v>57.444444444444443</v>
      </c>
      <c r="Z13" s="34"/>
      <c r="AA13" s="34"/>
      <c r="AB13" s="34"/>
      <c r="AC13" s="34"/>
      <c r="AD13" s="34"/>
      <c r="AE13" s="34"/>
    </row>
    <row r="14" spans="2:31">
      <c r="B14" t="str">
        <f>RES!B8</f>
        <v>ELE_EX_PV_ROOF</v>
      </c>
      <c r="C14" s="28" t="str">
        <f>SEC_Processes!E15</f>
        <v>Existing Photovoltaic Rooftop</v>
      </c>
      <c r="D14" s="25" t="str">
        <f>SEC_Comm!C18</f>
        <v>SOLAR</v>
      </c>
      <c r="E14" s="25" t="str">
        <f>SEC_Comm!C8</f>
        <v>ELC</v>
      </c>
      <c r="F14">
        <v>1</v>
      </c>
      <c r="G14" s="25">
        <v>31.536000000000001</v>
      </c>
      <c r="H14" s="65">
        <f t="shared" ref="H14:N14" si="8">7982.4/1000</f>
        <v>7.9823999999999993</v>
      </c>
      <c r="I14" s="65">
        <f t="shared" si="8"/>
        <v>7.9823999999999993</v>
      </c>
      <c r="J14" s="65">
        <f t="shared" si="8"/>
        <v>7.9823999999999993</v>
      </c>
      <c r="K14" s="65">
        <f t="shared" si="8"/>
        <v>7.9823999999999993</v>
      </c>
      <c r="L14" s="65">
        <f t="shared" si="8"/>
        <v>7.9823999999999993</v>
      </c>
      <c r="M14" s="65">
        <f t="shared" si="8"/>
        <v>7.9823999999999993</v>
      </c>
      <c r="N14" s="65">
        <f t="shared" si="8"/>
        <v>7.9823999999999993</v>
      </c>
      <c r="O14" s="65">
        <v>1</v>
      </c>
      <c r="P14" s="65"/>
      <c r="Q14" s="25"/>
      <c r="R14" s="177">
        <v>80</v>
      </c>
      <c r="S14" s="165"/>
      <c r="U14">
        <f>S14/3.6</f>
        <v>0</v>
      </c>
      <c r="W14" s="34" t="s">
        <v>234</v>
      </c>
      <c r="X14">
        <v>86</v>
      </c>
      <c r="Y14">
        <f>X14/3.6</f>
        <v>23.888888888888889</v>
      </c>
      <c r="Z14" s="34"/>
      <c r="AA14" s="34"/>
      <c r="AB14" s="34"/>
      <c r="AC14" s="34"/>
      <c r="AD14" s="34"/>
      <c r="AE14" s="34"/>
    </row>
    <row r="15" spans="2:31">
      <c r="B15" s="28" t="str">
        <f>RES!B9</f>
        <v>ELE_EX_PV_UTI</v>
      </c>
      <c r="C15" s="50" t="str">
        <f>SEC_Processes!E16</f>
        <v>Existing Photovoltaics Utility</v>
      </c>
      <c r="D15" s="44" t="str">
        <f>SEC_Comm!C18</f>
        <v>SOLAR</v>
      </c>
      <c r="E15" s="44" t="str">
        <f>SEC_Comm!C8</f>
        <v>ELC</v>
      </c>
      <c r="F15" s="110">
        <v>1</v>
      </c>
      <c r="G15" s="44">
        <v>31.536000000000001</v>
      </c>
      <c r="H15" s="86">
        <f t="shared" ref="H15:N15" si="9">2660.8/1000</f>
        <v>2.6608000000000001</v>
      </c>
      <c r="I15" s="86">
        <f t="shared" si="9"/>
        <v>2.6608000000000001</v>
      </c>
      <c r="J15" s="86">
        <f t="shared" si="9"/>
        <v>2.6608000000000001</v>
      </c>
      <c r="K15" s="86">
        <f t="shared" si="9"/>
        <v>2.6608000000000001</v>
      </c>
      <c r="L15" s="86">
        <f t="shared" si="9"/>
        <v>2.6608000000000001</v>
      </c>
      <c r="M15" s="86">
        <f t="shared" si="9"/>
        <v>2.6608000000000001</v>
      </c>
      <c r="N15" s="86">
        <f t="shared" si="9"/>
        <v>2.6608000000000001</v>
      </c>
      <c r="O15" s="86">
        <v>1</v>
      </c>
      <c r="P15" s="44"/>
      <c r="Q15" s="44"/>
      <c r="R15" s="177">
        <v>70</v>
      </c>
      <c r="S15" s="165"/>
      <c r="T15" s="2"/>
      <c r="U15" s="2"/>
      <c r="V15" s="2"/>
      <c r="W15" s="56"/>
      <c r="Z15" s="35"/>
      <c r="AA15" s="35"/>
      <c r="AB15" s="36"/>
      <c r="AC15" s="2"/>
      <c r="AD15" s="2"/>
      <c r="AE15" s="37"/>
    </row>
    <row r="16" spans="2:31">
      <c r="B16" s="28" t="str">
        <f>RES!B10</f>
        <v>ELE_EX_WIND_ON</v>
      </c>
      <c r="C16" s="28" t="str">
        <f>SEC_Processes!E17</f>
        <v>Existing Onshore Wind Turbines</v>
      </c>
      <c r="D16" s="28" t="s">
        <v>55</v>
      </c>
      <c r="E16" s="25" t="str">
        <f>SEC_Comm!C8</f>
        <v>ELC</v>
      </c>
      <c r="F16">
        <v>1</v>
      </c>
      <c r="G16" s="25">
        <v>31.536000000000001</v>
      </c>
      <c r="H16" s="65">
        <f t="shared" ref="H16:N16" si="10">8977.73/1000</f>
        <v>8.9777299999999993</v>
      </c>
      <c r="I16" s="65">
        <f t="shared" si="10"/>
        <v>8.9777299999999993</v>
      </c>
      <c r="J16" s="65">
        <f t="shared" si="10"/>
        <v>8.9777299999999993</v>
      </c>
      <c r="K16" s="65">
        <f t="shared" si="10"/>
        <v>8.9777299999999993</v>
      </c>
      <c r="L16" s="65">
        <f t="shared" si="10"/>
        <v>8.9777299999999993</v>
      </c>
      <c r="M16" s="65">
        <f t="shared" si="10"/>
        <v>8.9777299999999993</v>
      </c>
      <c r="N16" s="65">
        <f t="shared" si="10"/>
        <v>8.9777299999999993</v>
      </c>
      <c r="O16" s="65">
        <v>1</v>
      </c>
      <c r="P16" s="25"/>
      <c r="Q16" s="25"/>
      <c r="R16" s="177">
        <v>60</v>
      </c>
      <c r="S16" s="165"/>
      <c r="T16" s="2"/>
      <c r="U16" s="2"/>
      <c r="V16" s="2"/>
      <c r="W16" s="35"/>
      <c r="Z16" s="35"/>
      <c r="AA16" s="35"/>
      <c r="AB16" s="36"/>
      <c r="AC16" s="2"/>
      <c r="AD16" s="2"/>
      <c r="AE16" s="37"/>
    </row>
    <row r="17" spans="2:31">
      <c r="B17" s="50" t="str">
        <f>SEC_Processes!D18</f>
        <v>ELE_EX_OTH</v>
      </c>
      <c r="C17" s="50" t="str">
        <f>SEC_Processes!E18</f>
        <v>Existing Others Power Plants</v>
      </c>
      <c r="D17" s="44" t="str">
        <f>SEC_Comm!C20</f>
        <v>OTH</v>
      </c>
      <c r="E17" s="44" t="str">
        <f>SEC_Comm!C8</f>
        <v>ELC</v>
      </c>
      <c r="F17" s="133">
        <f>F11</f>
        <v>0.41</v>
      </c>
      <c r="G17" s="44">
        <v>31.536000000000001</v>
      </c>
      <c r="H17" s="86">
        <f>1519.67000000001/1000</f>
        <v>1.5196700000000101</v>
      </c>
      <c r="I17" s="86">
        <f t="shared" si="2"/>
        <v>1.5196700000000101</v>
      </c>
      <c r="J17" s="86">
        <f t="shared" si="3"/>
        <v>1.2157360000000081</v>
      </c>
      <c r="K17" s="86">
        <f t="shared" si="4"/>
        <v>0.911802000000006</v>
      </c>
      <c r="L17" s="86">
        <f t="shared" si="5"/>
        <v>0.60786800000000407</v>
      </c>
      <c r="M17" s="86">
        <f t="shared" si="6"/>
        <v>0.30393400000000204</v>
      </c>
      <c r="N17" s="86">
        <f t="shared" si="0"/>
        <v>0</v>
      </c>
      <c r="O17" s="86">
        <v>1</v>
      </c>
      <c r="P17" s="44"/>
      <c r="Q17" s="133">
        <v>0.85</v>
      </c>
      <c r="R17" s="44"/>
      <c r="S17" s="44"/>
      <c r="T17" s="2"/>
      <c r="U17" s="2"/>
      <c r="V17" s="2"/>
      <c r="Z17" s="35"/>
      <c r="AA17" s="35"/>
      <c r="AE17" s="38"/>
    </row>
    <row r="18" spans="2:31">
      <c r="D18" s="25"/>
      <c r="E18" s="25"/>
      <c r="F18" s="25"/>
      <c r="G18" s="25"/>
      <c r="H18" s="25"/>
      <c r="V18" s="2"/>
      <c r="Z18" s="35"/>
      <c r="AA18" s="35"/>
      <c r="AE18" s="38"/>
    </row>
    <row r="20" spans="2:31">
      <c r="H20" s="38"/>
    </row>
    <row r="21" spans="2:31">
      <c r="I21" s="30"/>
      <c r="J21" s="30"/>
      <c r="K21" s="30"/>
      <c r="L21" s="30"/>
      <c r="M21" s="30"/>
      <c r="N21" s="30"/>
    </row>
    <row r="25" spans="2:31">
      <c r="I25" s="102" t="s">
        <v>235</v>
      </c>
      <c r="J25" s="30"/>
      <c r="K25" s="30"/>
      <c r="L25" s="30"/>
      <c r="M25" s="30"/>
      <c r="N25" s="30"/>
    </row>
    <row r="26" spans="2:31" ht="12.45" customHeight="1">
      <c r="P26" s="184" t="s">
        <v>236</v>
      </c>
      <c r="Q26" s="184" t="s">
        <v>237</v>
      </c>
      <c r="R26" s="184" t="s">
        <v>238</v>
      </c>
      <c r="S26" s="181" t="s">
        <v>239</v>
      </c>
      <c r="T26" s="182"/>
      <c r="U26" s="183"/>
      <c r="V26" s="184" t="s">
        <v>240</v>
      </c>
      <c r="W26" s="184" t="s">
        <v>241</v>
      </c>
      <c r="X26" s="184" t="s">
        <v>242</v>
      </c>
    </row>
    <row r="27" spans="2:31">
      <c r="P27" s="188"/>
      <c r="Q27" s="188"/>
      <c r="R27" s="185"/>
      <c r="S27" s="129" t="s">
        <v>243</v>
      </c>
      <c r="T27" s="129"/>
      <c r="U27" s="129" t="s">
        <v>244</v>
      </c>
      <c r="V27" s="185"/>
      <c r="W27" s="185"/>
      <c r="X27" s="185"/>
    </row>
    <row r="28" spans="2:31">
      <c r="P28" s="185"/>
      <c r="Q28" s="185"/>
      <c r="R28" s="129" t="s">
        <v>245</v>
      </c>
      <c r="S28" s="129" t="s">
        <v>245</v>
      </c>
      <c r="T28" s="129"/>
      <c r="U28" s="129" t="s">
        <v>246</v>
      </c>
      <c r="V28" s="129" t="s">
        <v>247</v>
      </c>
      <c r="W28" s="129" t="s">
        <v>248</v>
      </c>
      <c r="X28" s="129" t="s">
        <v>249</v>
      </c>
    </row>
    <row r="29" spans="2:31">
      <c r="H29" s="2"/>
      <c r="P29" s="130" t="s">
        <v>250</v>
      </c>
      <c r="Q29" s="132" t="s">
        <v>251</v>
      </c>
      <c r="R29" s="130">
        <v>2000</v>
      </c>
      <c r="S29" s="130">
        <v>53</v>
      </c>
      <c r="T29" s="130"/>
      <c r="U29" s="130">
        <v>3.8</v>
      </c>
      <c r="V29" s="130">
        <v>44</v>
      </c>
      <c r="W29" s="130">
        <v>40</v>
      </c>
      <c r="X29" s="130">
        <v>110</v>
      </c>
    </row>
    <row r="30" spans="2:31">
      <c r="F30" t="s">
        <v>53</v>
      </c>
      <c r="G30" s="44">
        <v>10643.2</v>
      </c>
      <c r="P30" s="130" t="s">
        <v>252</v>
      </c>
      <c r="Q30" s="132" t="s">
        <v>253</v>
      </c>
      <c r="R30" s="130">
        <v>3600</v>
      </c>
      <c r="S30" s="130">
        <v>80</v>
      </c>
      <c r="T30" s="130"/>
      <c r="U30" s="130" t="s">
        <v>254</v>
      </c>
      <c r="V30" s="130">
        <v>38</v>
      </c>
      <c r="W30" s="130">
        <v>40</v>
      </c>
      <c r="X30" s="130" t="s">
        <v>255</v>
      </c>
    </row>
    <row r="31" spans="2:31">
      <c r="F31" t="s">
        <v>256</v>
      </c>
      <c r="G31">
        <f>0.75*G30</f>
        <v>7982.4000000000005</v>
      </c>
      <c r="H31" s="2"/>
      <c r="I31" s="30"/>
      <c r="J31" s="30"/>
      <c r="K31" s="30"/>
      <c r="L31" s="30"/>
      <c r="M31" s="30"/>
      <c r="N31" s="30"/>
      <c r="P31" s="130" t="s">
        <v>257</v>
      </c>
      <c r="Q31" s="132" t="s">
        <v>251</v>
      </c>
      <c r="R31" s="130">
        <v>2275</v>
      </c>
      <c r="S31" s="130">
        <v>56</v>
      </c>
      <c r="T31" s="130"/>
      <c r="U31" s="130">
        <v>3.8</v>
      </c>
      <c r="V31" s="130">
        <v>40</v>
      </c>
      <c r="W31" s="130">
        <v>40</v>
      </c>
      <c r="X31" s="130">
        <v>106</v>
      </c>
    </row>
    <row r="32" spans="2:31">
      <c r="F32" t="s">
        <v>258</v>
      </c>
      <c r="G32">
        <f>0.25*G30</f>
        <v>2660.8</v>
      </c>
      <c r="P32" s="130" t="s">
        <v>259</v>
      </c>
      <c r="Q32" s="132" t="s">
        <v>251</v>
      </c>
      <c r="R32" s="130">
        <v>1850</v>
      </c>
      <c r="S32" s="130">
        <v>49</v>
      </c>
      <c r="T32" s="130"/>
      <c r="U32" s="130">
        <v>3.6</v>
      </c>
      <c r="V32" s="130">
        <v>46</v>
      </c>
      <c r="W32" s="130">
        <v>40</v>
      </c>
      <c r="X32" s="130">
        <v>94</v>
      </c>
    </row>
    <row r="33" spans="3:24">
      <c r="P33" s="130" t="s">
        <v>260</v>
      </c>
      <c r="Q33" s="132" t="s">
        <v>261</v>
      </c>
      <c r="R33" s="130">
        <v>2500</v>
      </c>
      <c r="S33" s="130">
        <v>64</v>
      </c>
      <c r="T33" s="130"/>
      <c r="U33" s="130">
        <v>7.8</v>
      </c>
      <c r="V33" s="130">
        <v>48</v>
      </c>
      <c r="W33" s="130">
        <v>40</v>
      </c>
      <c r="X33" s="130">
        <v>94</v>
      </c>
    </row>
    <row r="34" spans="3:24" ht="39.6">
      <c r="C34" s="123" t="s">
        <v>262</v>
      </c>
      <c r="D34" s="124" t="s">
        <v>263</v>
      </c>
      <c r="E34" s="124" t="s">
        <v>264</v>
      </c>
      <c r="F34" s="124" t="s">
        <v>265</v>
      </c>
      <c r="G34" s="124" t="s">
        <v>266</v>
      </c>
      <c r="H34" s="124" t="s">
        <v>267</v>
      </c>
      <c r="I34" s="137" t="s">
        <v>213</v>
      </c>
      <c r="P34" s="130" t="s">
        <v>268</v>
      </c>
      <c r="Q34" s="132" t="s">
        <v>253</v>
      </c>
      <c r="R34" s="130">
        <v>3650</v>
      </c>
      <c r="S34" s="130">
        <v>87</v>
      </c>
      <c r="T34" s="130"/>
      <c r="U34" s="130" t="s">
        <v>269</v>
      </c>
      <c r="V34" s="130">
        <v>40</v>
      </c>
      <c r="W34" s="130">
        <v>40</v>
      </c>
      <c r="X34" s="130" t="s">
        <v>270</v>
      </c>
    </row>
    <row r="35" spans="3:24">
      <c r="C35" s="138" t="s">
        <v>97</v>
      </c>
      <c r="D35" s="123"/>
      <c r="E35" s="123"/>
      <c r="F35" s="125">
        <v>25339</v>
      </c>
      <c r="G35" s="125">
        <v>2713</v>
      </c>
      <c r="H35" s="123">
        <f>G35*3.6</f>
        <v>9766.8000000000011</v>
      </c>
      <c r="I35" s="139">
        <f>H35/F35</f>
        <v>0.38544536090611314</v>
      </c>
      <c r="P35" s="130" t="s">
        <v>271</v>
      </c>
      <c r="Q35" s="132" t="s">
        <v>251</v>
      </c>
      <c r="R35" s="130">
        <v>2500</v>
      </c>
      <c r="S35" s="130">
        <v>53</v>
      </c>
      <c r="T35" s="130"/>
      <c r="U35" s="130">
        <v>3.6</v>
      </c>
      <c r="V35" s="130" t="s">
        <v>272</v>
      </c>
      <c r="W35" s="130">
        <v>40</v>
      </c>
      <c r="X35" s="130">
        <v>94</v>
      </c>
    </row>
    <row r="36" spans="3:24">
      <c r="C36" s="138" t="s">
        <v>100</v>
      </c>
      <c r="D36" s="125">
        <v>53873</v>
      </c>
      <c r="E36" s="125">
        <v>8118</v>
      </c>
      <c r="F36" s="125">
        <f>(D36*10^6)*E36*10^-9</f>
        <v>437341.01400000002</v>
      </c>
      <c r="G36" s="125">
        <v>47204</v>
      </c>
      <c r="H36" s="123">
        <f>G36*3.6</f>
        <v>169934.4</v>
      </c>
      <c r="I36" s="139">
        <f>H36/F36</f>
        <v>0.38856268806291283</v>
      </c>
      <c r="P36" s="130" t="s">
        <v>273</v>
      </c>
      <c r="Q36" s="132" t="s">
        <v>253</v>
      </c>
      <c r="R36" s="130">
        <v>3885</v>
      </c>
      <c r="S36" s="130">
        <v>84</v>
      </c>
      <c r="T36" s="130"/>
      <c r="U36" s="130">
        <v>13.3</v>
      </c>
      <c r="V36" s="130" t="s">
        <v>274</v>
      </c>
      <c r="W36" s="130">
        <v>40</v>
      </c>
      <c r="X36" s="130">
        <v>12</v>
      </c>
    </row>
    <row r="37" spans="3:24">
      <c r="C37" s="138" t="s">
        <v>102</v>
      </c>
      <c r="D37" s="125">
        <v>975</v>
      </c>
      <c r="E37" s="125">
        <v>31204</v>
      </c>
      <c r="F37" s="125">
        <f>(D37*10^6)*E37*10^-9</f>
        <v>30423.9</v>
      </c>
      <c r="G37" s="125">
        <v>5926</v>
      </c>
      <c r="H37" s="123">
        <f>G37*3.6</f>
        <v>21333.600000000002</v>
      </c>
      <c r="I37" s="139">
        <f>H37/F37</f>
        <v>0.70121187618944325</v>
      </c>
      <c r="P37" s="130" t="s">
        <v>275</v>
      </c>
      <c r="Q37" s="132" t="s">
        <v>251</v>
      </c>
      <c r="R37" s="130">
        <v>835</v>
      </c>
      <c r="S37" s="130">
        <v>20</v>
      </c>
      <c r="T37" s="130"/>
      <c r="U37" s="130">
        <v>2</v>
      </c>
      <c r="V37" s="130" t="s">
        <v>276</v>
      </c>
      <c r="W37" s="130">
        <v>30</v>
      </c>
      <c r="X37" s="130">
        <v>56</v>
      </c>
    </row>
    <row r="38" spans="3:24">
      <c r="C38" s="138" t="s">
        <v>104</v>
      </c>
      <c r="D38" s="125">
        <v>25892</v>
      </c>
      <c r="E38" s="125">
        <v>21112</v>
      </c>
      <c r="F38" s="125">
        <f>(D38*10^6)*E38*10^-9</f>
        <v>546631.90399999998</v>
      </c>
      <c r="G38" s="125">
        <v>61721</v>
      </c>
      <c r="H38" s="123">
        <f>G38*3.6</f>
        <v>222195.6</v>
      </c>
      <c r="I38" s="139">
        <f>H38/F38</f>
        <v>0.40648121409320453</v>
      </c>
      <c r="P38" s="130" t="s">
        <v>277</v>
      </c>
      <c r="Q38" s="132" t="s">
        <v>253</v>
      </c>
      <c r="R38" s="130">
        <v>1500</v>
      </c>
      <c r="S38" s="130">
        <v>42</v>
      </c>
      <c r="T38" s="130"/>
      <c r="U38" s="130" t="s">
        <v>278</v>
      </c>
      <c r="V38" s="130" t="s">
        <v>279</v>
      </c>
      <c r="W38" s="130">
        <v>30</v>
      </c>
      <c r="X38" s="130" t="s">
        <v>280</v>
      </c>
    </row>
    <row r="39" spans="3:24">
      <c r="C39" s="138" t="s">
        <v>106</v>
      </c>
      <c r="D39" s="139" t="s">
        <v>281</v>
      </c>
      <c r="E39" s="139"/>
      <c r="F39" s="139"/>
      <c r="G39" s="139"/>
      <c r="H39" s="139"/>
      <c r="I39" s="139"/>
      <c r="P39" s="130" t="s">
        <v>282</v>
      </c>
      <c r="Q39" s="132" t="s">
        <v>251</v>
      </c>
      <c r="R39" s="130">
        <v>1055</v>
      </c>
      <c r="S39" s="130">
        <v>22</v>
      </c>
      <c r="T39" s="130"/>
      <c r="U39" s="130">
        <v>2.2000000000000002</v>
      </c>
      <c r="V39" s="130" t="s">
        <v>283</v>
      </c>
      <c r="W39" s="130">
        <v>30</v>
      </c>
      <c r="X39" s="130">
        <v>56</v>
      </c>
    </row>
    <row r="40" spans="3:24">
      <c r="P40" s="130" t="s">
        <v>284</v>
      </c>
      <c r="Q40" s="132" t="s">
        <v>261</v>
      </c>
      <c r="R40" s="130">
        <v>500</v>
      </c>
      <c r="S40" s="130">
        <v>18</v>
      </c>
      <c r="T40" s="130"/>
      <c r="U40" s="130">
        <v>6.7</v>
      </c>
      <c r="V40" s="130">
        <v>40</v>
      </c>
      <c r="W40" s="130">
        <v>30</v>
      </c>
      <c r="X40" s="130">
        <v>56</v>
      </c>
    </row>
    <row r="41" spans="3:24" ht="39.6">
      <c r="C41" s="124" t="s">
        <v>285</v>
      </c>
      <c r="D41" s="123" t="s">
        <v>213</v>
      </c>
      <c r="E41" s="140">
        <v>0.69950000000000001</v>
      </c>
      <c r="P41" s="130" t="s">
        <v>286</v>
      </c>
      <c r="Q41" s="132" t="s">
        <v>251</v>
      </c>
      <c r="R41" s="130">
        <v>2610</v>
      </c>
      <c r="S41" s="130">
        <v>108</v>
      </c>
      <c r="T41" s="131"/>
      <c r="U41" s="131" t="s">
        <v>287</v>
      </c>
      <c r="V41" s="130" t="s">
        <v>288</v>
      </c>
      <c r="W41" s="130">
        <v>25</v>
      </c>
      <c r="X41" s="130">
        <v>56</v>
      </c>
    </row>
    <row r="42" spans="3:24">
      <c r="P42" s="130" t="s">
        <v>289</v>
      </c>
      <c r="Q42" s="132" t="s">
        <v>253</v>
      </c>
      <c r="R42" s="130">
        <v>4750</v>
      </c>
      <c r="S42" s="130">
        <v>115</v>
      </c>
      <c r="T42" s="130"/>
      <c r="U42" s="130">
        <v>3</v>
      </c>
      <c r="V42" s="130">
        <v>36</v>
      </c>
      <c r="W42" s="130">
        <v>60</v>
      </c>
      <c r="X42" s="130">
        <v>0</v>
      </c>
    </row>
    <row r="43" spans="3:24">
      <c r="P43" s="130" t="s">
        <v>290</v>
      </c>
      <c r="Q43" s="132" t="s">
        <v>253</v>
      </c>
      <c r="R43" s="130" t="s">
        <v>291</v>
      </c>
      <c r="S43" s="130">
        <v>115</v>
      </c>
      <c r="T43" s="130"/>
      <c r="U43" s="130">
        <v>4</v>
      </c>
      <c r="V43" s="130">
        <v>36</v>
      </c>
      <c r="W43" s="130">
        <v>60</v>
      </c>
      <c r="X43" s="130">
        <v>0</v>
      </c>
    </row>
    <row r="44" spans="3:24">
      <c r="P44" s="130" t="s">
        <v>292</v>
      </c>
      <c r="Q44" s="132" t="s">
        <v>251</v>
      </c>
      <c r="R44" s="130" t="s">
        <v>293</v>
      </c>
      <c r="S44" s="130">
        <v>56</v>
      </c>
      <c r="T44" s="131"/>
      <c r="U44" s="131" t="s">
        <v>287</v>
      </c>
      <c r="V44" s="131" t="s">
        <v>287</v>
      </c>
      <c r="W44" s="130">
        <v>25</v>
      </c>
      <c r="X44" s="130">
        <v>0</v>
      </c>
    </row>
    <row r="45" spans="3:24">
      <c r="P45" s="130" t="s">
        <v>294</v>
      </c>
      <c r="Q45" s="132" t="s">
        <v>295</v>
      </c>
      <c r="R45" s="130" t="s">
        <v>296</v>
      </c>
      <c r="S45" s="130">
        <v>100</v>
      </c>
      <c r="T45" s="131"/>
      <c r="U45" s="131" t="s">
        <v>287</v>
      </c>
      <c r="V45" s="131" t="s">
        <v>287</v>
      </c>
      <c r="W45" s="130">
        <v>25</v>
      </c>
      <c r="X45" s="130">
        <v>0</v>
      </c>
    </row>
    <row r="46" spans="3:24">
      <c r="P46" s="130" t="s">
        <v>297</v>
      </c>
      <c r="Q46" s="132" t="s">
        <v>298</v>
      </c>
      <c r="R46" s="130" t="s">
        <v>299</v>
      </c>
      <c r="S46" s="130">
        <v>100</v>
      </c>
      <c r="T46" s="131"/>
      <c r="U46" s="131" t="s">
        <v>287</v>
      </c>
      <c r="V46" s="131" t="s">
        <v>287</v>
      </c>
      <c r="W46" s="130">
        <v>25</v>
      </c>
      <c r="X46" s="130">
        <v>0</v>
      </c>
    </row>
    <row r="47" spans="3:24">
      <c r="P47" s="130" t="s">
        <v>300</v>
      </c>
      <c r="Q47" s="132" t="s">
        <v>251</v>
      </c>
      <c r="R47" s="130">
        <v>3100</v>
      </c>
      <c r="S47" s="130">
        <v>39</v>
      </c>
      <c r="T47" s="131"/>
      <c r="U47" s="131" t="s">
        <v>287</v>
      </c>
      <c r="V47" s="131" t="s">
        <v>287</v>
      </c>
      <c r="W47" s="130">
        <v>60</v>
      </c>
      <c r="X47" s="130">
        <v>0</v>
      </c>
    </row>
    <row r="48" spans="3:24">
      <c r="P48" s="130" t="s">
        <v>301</v>
      </c>
      <c r="Q48" s="132" t="s">
        <v>251</v>
      </c>
      <c r="R48" s="130">
        <v>2850</v>
      </c>
      <c r="S48" s="130">
        <v>83</v>
      </c>
      <c r="T48" s="131"/>
      <c r="U48" s="131" t="s">
        <v>287</v>
      </c>
      <c r="V48" s="131" t="s">
        <v>287</v>
      </c>
      <c r="W48" s="130">
        <v>60</v>
      </c>
      <c r="X48" s="130">
        <v>0</v>
      </c>
    </row>
    <row r="49" spans="16:24">
      <c r="P49" s="130" t="s">
        <v>302</v>
      </c>
      <c r="Q49" s="132" t="s">
        <v>251</v>
      </c>
      <c r="R49" s="130" t="s">
        <v>303</v>
      </c>
      <c r="S49" s="130">
        <v>178</v>
      </c>
      <c r="T49" s="131"/>
      <c r="U49" s="131" t="s">
        <v>287</v>
      </c>
      <c r="V49" s="130">
        <v>9</v>
      </c>
      <c r="W49" s="130">
        <v>30</v>
      </c>
      <c r="X49" s="130">
        <v>0</v>
      </c>
    </row>
    <row r="50" spans="16:24">
      <c r="P50" s="130" t="s">
        <v>304</v>
      </c>
      <c r="Q50" s="132" t="s">
        <v>251</v>
      </c>
      <c r="R50" s="130" t="s">
        <v>305</v>
      </c>
      <c r="S50" s="130">
        <v>18</v>
      </c>
      <c r="T50" s="131"/>
      <c r="U50" s="131" t="s">
        <v>287</v>
      </c>
      <c r="V50" s="131" t="s">
        <v>287</v>
      </c>
      <c r="W50" s="130">
        <v>25</v>
      </c>
      <c r="X50" s="130">
        <v>0</v>
      </c>
    </row>
    <row r="51" spans="16:24">
      <c r="P51" s="130" t="s">
        <v>306</v>
      </c>
      <c r="Q51" s="132" t="s">
        <v>251</v>
      </c>
      <c r="R51" s="130" t="s">
        <v>307</v>
      </c>
      <c r="S51" s="130">
        <v>22</v>
      </c>
      <c r="T51" s="131"/>
      <c r="U51" s="131" t="s">
        <v>287</v>
      </c>
      <c r="V51" s="131" t="s">
        <v>287</v>
      </c>
      <c r="W51" s="130">
        <v>25</v>
      </c>
      <c r="X51" s="130">
        <v>0</v>
      </c>
    </row>
    <row r="52" spans="16:24">
      <c r="P52" s="130" t="s">
        <v>308</v>
      </c>
      <c r="Q52" s="132" t="s">
        <v>251</v>
      </c>
      <c r="R52" s="130" t="s">
        <v>309</v>
      </c>
      <c r="S52" s="130">
        <v>244</v>
      </c>
      <c r="T52" s="131"/>
      <c r="U52" s="131" t="s">
        <v>287</v>
      </c>
      <c r="V52" s="130" t="s">
        <v>310</v>
      </c>
      <c r="W52" s="130">
        <v>25</v>
      </c>
      <c r="X52" s="130">
        <v>0</v>
      </c>
    </row>
    <row r="53" spans="16:24">
      <c r="P53" s="130" t="s">
        <v>311</v>
      </c>
      <c r="Q53" s="132" t="s">
        <v>251</v>
      </c>
      <c r="R53" s="130">
        <v>3900</v>
      </c>
      <c r="S53" s="130">
        <v>150</v>
      </c>
      <c r="T53" s="131"/>
      <c r="U53" s="131" t="s">
        <v>287</v>
      </c>
      <c r="V53" s="130" t="s">
        <v>312</v>
      </c>
      <c r="W53" s="130">
        <v>25</v>
      </c>
      <c r="X53" s="130">
        <v>0</v>
      </c>
    </row>
    <row r="54" spans="16:24">
      <c r="P54" s="130" t="s">
        <v>313</v>
      </c>
      <c r="Q54" s="132" t="s">
        <v>251</v>
      </c>
      <c r="R54" s="130">
        <v>2000</v>
      </c>
      <c r="S54" s="130">
        <v>89</v>
      </c>
      <c r="T54" s="131"/>
      <c r="U54" s="131" t="s">
        <v>287</v>
      </c>
      <c r="V54" s="130" t="s">
        <v>314</v>
      </c>
      <c r="W54" s="130">
        <v>25</v>
      </c>
      <c r="X54" s="130">
        <v>0</v>
      </c>
    </row>
    <row r="55" spans="16:24">
      <c r="P55" s="130" t="s">
        <v>315</v>
      </c>
      <c r="Q55" s="132" t="s">
        <v>251</v>
      </c>
      <c r="R55" s="130" t="s">
        <v>316</v>
      </c>
      <c r="S55" s="130">
        <v>133</v>
      </c>
      <c r="T55" s="131"/>
      <c r="U55" s="131" t="s">
        <v>287</v>
      </c>
      <c r="V55" s="130" t="s">
        <v>272</v>
      </c>
      <c r="W55" s="130">
        <v>30</v>
      </c>
      <c r="X55" s="130">
        <v>0</v>
      </c>
    </row>
    <row r="56" spans="16:24">
      <c r="P56" s="130" t="s">
        <v>317</v>
      </c>
      <c r="Q56" s="132" t="s">
        <v>251</v>
      </c>
      <c r="R56" s="130">
        <v>1350</v>
      </c>
      <c r="S56" s="130">
        <v>44</v>
      </c>
      <c r="T56" s="131"/>
      <c r="U56" s="131" t="s">
        <v>287</v>
      </c>
      <c r="V56" s="130">
        <v>80</v>
      </c>
      <c r="W56" s="130">
        <v>60</v>
      </c>
      <c r="X56" s="130">
        <v>0</v>
      </c>
    </row>
    <row r="57" spans="16:24">
      <c r="P57" s="130" t="s">
        <v>318</v>
      </c>
      <c r="Q57" s="132" t="s">
        <v>261</v>
      </c>
      <c r="R57" s="130" t="s">
        <v>319</v>
      </c>
      <c r="S57" s="130">
        <v>22</v>
      </c>
      <c r="T57" s="131"/>
      <c r="U57" s="131" t="s">
        <v>287</v>
      </c>
      <c r="V57" s="130">
        <v>90</v>
      </c>
      <c r="W57" s="130">
        <v>15</v>
      </c>
      <c r="X57" s="130">
        <v>0</v>
      </c>
    </row>
    <row r="58" spans="16:24">
      <c r="P58" s="130" t="s">
        <v>320</v>
      </c>
      <c r="Q58" s="132" t="s">
        <v>251</v>
      </c>
      <c r="R58" s="130" t="s">
        <v>321</v>
      </c>
      <c r="S58" s="130" t="s">
        <v>322</v>
      </c>
      <c r="T58" s="131"/>
      <c r="U58" s="131" t="s">
        <v>287</v>
      </c>
      <c r="V58" s="130" t="s">
        <v>323</v>
      </c>
      <c r="W58" s="130">
        <v>30</v>
      </c>
      <c r="X58" s="130">
        <v>0</v>
      </c>
    </row>
    <row r="59" spans="16:24">
      <c r="P59" s="130" t="s">
        <v>324</v>
      </c>
      <c r="Q59" s="132" t="s">
        <v>251</v>
      </c>
      <c r="R59" s="130">
        <v>350</v>
      </c>
      <c r="S59" s="130">
        <v>1.5</v>
      </c>
      <c r="T59" s="130"/>
      <c r="U59" s="130">
        <v>1.4</v>
      </c>
      <c r="V59" s="130">
        <v>90</v>
      </c>
      <c r="W59" s="130">
        <v>30</v>
      </c>
      <c r="X59" s="130">
        <v>94</v>
      </c>
    </row>
    <row r="60" spans="16:24">
      <c r="P60" s="130" t="s">
        <v>325</v>
      </c>
      <c r="Q60" s="132" t="s">
        <v>251</v>
      </c>
      <c r="R60" s="130">
        <v>150</v>
      </c>
      <c r="S60" s="130">
        <v>1.3</v>
      </c>
      <c r="T60" s="130"/>
      <c r="U60" s="130">
        <v>0.4</v>
      </c>
      <c r="V60" s="130">
        <v>96</v>
      </c>
      <c r="W60" s="130">
        <v>30</v>
      </c>
      <c r="X60" s="130">
        <v>56</v>
      </c>
    </row>
    <row r="61" spans="16:24">
      <c r="P61" s="130" t="s">
        <v>326</v>
      </c>
      <c r="Q61" s="132" t="s">
        <v>251</v>
      </c>
      <c r="R61" s="130">
        <v>200</v>
      </c>
      <c r="S61" s="130">
        <v>1.4</v>
      </c>
      <c r="T61" s="130"/>
      <c r="U61" s="130">
        <v>0.5</v>
      </c>
      <c r="V61" s="130">
        <v>95</v>
      </c>
      <c r="W61" s="130">
        <v>30</v>
      </c>
      <c r="X61" s="130">
        <v>74</v>
      </c>
    </row>
    <row r="62" spans="16:24">
      <c r="P62" s="130" t="s">
        <v>327</v>
      </c>
      <c r="Q62" s="132" t="s">
        <v>251</v>
      </c>
      <c r="R62" s="130">
        <v>500</v>
      </c>
      <c r="S62" s="130">
        <v>1.5</v>
      </c>
      <c r="T62" s="130"/>
      <c r="U62" s="130">
        <v>1.4</v>
      </c>
      <c r="V62" s="130">
        <v>90</v>
      </c>
      <c r="W62" s="130">
        <v>30</v>
      </c>
      <c r="X62" s="130">
        <v>0</v>
      </c>
    </row>
    <row r="63" spans="16:24">
      <c r="P63" s="130" t="s">
        <v>328</v>
      </c>
      <c r="Q63" s="132" t="s">
        <v>251</v>
      </c>
      <c r="R63" s="130">
        <v>150</v>
      </c>
      <c r="S63" s="130">
        <v>1.3</v>
      </c>
      <c r="T63" s="130"/>
      <c r="U63" s="130">
        <v>0.4</v>
      </c>
      <c r="V63" s="130">
        <v>95</v>
      </c>
      <c r="W63" s="130">
        <v>30</v>
      </c>
      <c r="X63" s="130">
        <v>0</v>
      </c>
    </row>
    <row r="64" spans="16:24">
      <c r="P64" s="130" t="s">
        <v>329</v>
      </c>
      <c r="Q64" s="132" t="s">
        <v>251</v>
      </c>
      <c r="R64" s="130">
        <v>450</v>
      </c>
      <c r="S64" s="130">
        <v>1.1000000000000001</v>
      </c>
      <c r="T64" s="130"/>
      <c r="U64" s="130">
        <v>0.5</v>
      </c>
      <c r="V64" s="130">
        <v>99</v>
      </c>
      <c r="W64" s="130">
        <v>30</v>
      </c>
      <c r="X64" s="130">
        <v>0</v>
      </c>
    </row>
    <row r="65" spans="16:24">
      <c r="P65" s="130" t="s">
        <v>330</v>
      </c>
      <c r="Q65" s="132" t="s">
        <v>251</v>
      </c>
      <c r="R65" s="130" t="s">
        <v>331</v>
      </c>
      <c r="S65" s="130">
        <v>26</v>
      </c>
      <c r="T65" s="130"/>
      <c r="U65" s="130">
        <v>4.4000000000000004</v>
      </c>
      <c r="V65" s="130">
        <v>10</v>
      </c>
      <c r="W65" s="130">
        <v>30</v>
      </c>
      <c r="X65" s="130">
        <v>0</v>
      </c>
    </row>
    <row r="66" spans="16:24">
      <c r="P66" s="130" t="s">
        <v>332</v>
      </c>
      <c r="Q66" s="132" t="s">
        <v>251</v>
      </c>
      <c r="R66" s="130" t="s">
        <v>333</v>
      </c>
      <c r="S66" s="130">
        <v>2</v>
      </c>
      <c r="T66" s="130"/>
      <c r="U66" s="130">
        <v>1.8</v>
      </c>
      <c r="V66" s="130">
        <v>300</v>
      </c>
      <c r="W66" s="130">
        <v>25</v>
      </c>
      <c r="X66" s="130">
        <v>0</v>
      </c>
    </row>
    <row r="67" spans="16:24">
      <c r="P67" s="130" t="s">
        <v>334</v>
      </c>
      <c r="Q67" s="132" t="s">
        <v>335</v>
      </c>
      <c r="R67" s="130" t="s">
        <v>335</v>
      </c>
      <c r="S67" s="130" t="s">
        <v>335</v>
      </c>
      <c r="T67" s="130"/>
      <c r="U67" s="130" t="s">
        <v>335</v>
      </c>
      <c r="V67" s="130" t="s">
        <v>335</v>
      </c>
      <c r="W67" s="130" t="s">
        <v>335</v>
      </c>
      <c r="X67" s="130" t="s">
        <v>335</v>
      </c>
    </row>
    <row r="68" spans="16:24">
      <c r="P68" s="130" t="s">
        <v>336</v>
      </c>
      <c r="Q68" s="132" t="s">
        <v>251</v>
      </c>
      <c r="R68" s="130">
        <v>250</v>
      </c>
      <c r="S68" s="130" t="s">
        <v>335</v>
      </c>
      <c r="T68" s="130"/>
      <c r="U68" s="130" t="s">
        <v>335</v>
      </c>
      <c r="V68" s="130" t="s">
        <v>335</v>
      </c>
      <c r="W68" s="130" t="s">
        <v>335</v>
      </c>
      <c r="X68" s="130" t="s">
        <v>335</v>
      </c>
    </row>
    <row r="69" spans="16:24">
      <c r="P69" s="130" t="s">
        <v>337</v>
      </c>
      <c r="Q69" s="132" t="s">
        <v>251</v>
      </c>
      <c r="R69" s="130">
        <v>350</v>
      </c>
      <c r="S69" s="130" t="s">
        <v>335</v>
      </c>
      <c r="T69" s="130"/>
      <c r="U69" s="130" t="s">
        <v>335</v>
      </c>
      <c r="V69" s="130" t="s">
        <v>335</v>
      </c>
      <c r="W69" s="130" t="s">
        <v>335</v>
      </c>
      <c r="X69" s="130" t="s">
        <v>335</v>
      </c>
    </row>
    <row r="70" spans="16:24">
      <c r="P70" s="130" t="s">
        <v>338</v>
      </c>
      <c r="Q70" s="132" t="s">
        <v>251</v>
      </c>
      <c r="R70" s="130">
        <v>750</v>
      </c>
      <c r="S70" s="130" t="s">
        <v>335</v>
      </c>
      <c r="T70" s="130"/>
      <c r="U70" s="130" t="s">
        <v>335</v>
      </c>
      <c r="V70" s="130" t="s">
        <v>335</v>
      </c>
      <c r="W70" s="130" t="s">
        <v>335</v>
      </c>
      <c r="X70" s="130" t="s">
        <v>335</v>
      </c>
    </row>
    <row r="71" spans="16:24">
      <c r="P71" s="130" t="s">
        <v>339</v>
      </c>
      <c r="Q71" s="132" t="s">
        <v>251</v>
      </c>
      <c r="R71" s="130" t="s">
        <v>340</v>
      </c>
      <c r="S71" s="130" t="s">
        <v>335</v>
      </c>
      <c r="T71" s="130"/>
      <c r="U71" s="130" t="s">
        <v>335</v>
      </c>
      <c r="V71" s="130" t="s">
        <v>335</v>
      </c>
      <c r="W71" s="130" t="s">
        <v>335</v>
      </c>
      <c r="X71" s="130" t="s">
        <v>335</v>
      </c>
    </row>
  </sheetData>
  <mergeCells count="9">
    <mergeCell ref="S26:U26"/>
    <mergeCell ref="V26:V27"/>
    <mergeCell ref="W26:W27"/>
    <mergeCell ref="X26:X27"/>
    <mergeCell ref="H6:N6"/>
    <mergeCell ref="H7:N7"/>
    <mergeCell ref="P26:P28"/>
    <mergeCell ref="Q26:Q28"/>
    <mergeCell ref="R26:R27"/>
  </mergeCells>
  <phoneticPr fontId="0" type="noConversion"/>
  <hyperlinks>
    <hyperlink ref="I25" r:id="rId1" xr:uid="{9B283548-28AB-4CA8-8A38-068CC37C93DF}"/>
  </hyperlinks>
  <pageMargins left="0.75" right="0.75" top="1" bottom="1" header="0.5" footer="0.5"/>
  <pageSetup orientation="portrait" horizontalDpi="4294967292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AF38"/>
  <sheetViews>
    <sheetView zoomScaleNormal="100" workbookViewId="0">
      <selection activeCell="C26" sqref="C26"/>
    </sheetView>
  </sheetViews>
  <sheetFormatPr defaultColWidth="8.6640625" defaultRowHeight="13.2"/>
  <cols>
    <col min="1" max="1" width="2.6640625" customWidth="1"/>
    <col min="2" max="2" width="20.33203125" customWidth="1"/>
    <col min="3" max="3" width="39.44140625" customWidth="1"/>
    <col min="4" max="5" width="11.44140625" customWidth="1"/>
    <col min="6" max="6" width="10.33203125" customWidth="1"/>
    <col min="7" max="7" width="21.44140625" customWidth="1"/>
    <col min="8" max="14" width="7.44140625" customWidth="1"/>
    <col min="15" max="15" width="16.33203125" customWidth="1"/>
    <col min="16" max="16" width="13.6640625" customWidth="1"/>
    <col min="17" max="18" width="15.44140625" customWidth="1"/>
    <col min="19" max="19" width="11.44140625" customWidth="1"/>
    <col min="20" max="20" width="12.6640625" customWidth="1"/>
    <col min="22" max="22" width="23.6640625" customWidth="1"/>
  </cols>
  <sheetData>
    <row r="1" spans="2:21">
      <c r="H1" s="143" t="s">
        <v>190</v>
      </c>
    </row>
    <row r="2" spans="2:21" ht="17.399999999999999">
      <c r="B2" s="74" t="s">
        <v>341</v>
      </c>
      <c r="C2" s="20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  <c r="S2" s="7"/>
    </row>
    <row r="3" spans="2:21">
      <c r="B3" s="55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  <c r="S3" s="7"/>
    </row>
    <row r="4" spans="2:21" ht="15.75" customHeight="1">
      <c r="E4" s="15" t="s">
        <v>192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21" s="3" customFormat="1" ht="26.4">
      <c r="B5" s="77" t="s">
        <v>71</v>
      </c>
      <c r="C5" s="77" t="s">
        <v>342</v>
      </c>
      <c r="D5" s="77" t="s">
        <v>194</v>
      </c>
      <c r="E5" s="77" t="s">
        <v>195</v>
      </c>
      <c r="F5" s="77" t="s">
        <v>196</v>
      </c>
      <c r="G5" s="77" t="s">
        <v>197</v>
      </c>
      <c r="H5" s="80" t="s">
        <v>198</v>
      </c>
      <c r="I5" s="80" t="s">
        <v>199</v>
      </c>
      <c r="J5" s="80" t="s">
        <v>200</v>
      </c>
      <c r="K5" s="80" t="s">
        <v>201</v>
      </c>
      <c r="L5" s="80" t="s">
        <v>202</v>
      </c>
      <c r="M5" s="80" t="s">
        <v>203</v>
      </c>
      <c r="N5" s="80" t="s">
        <v>204</v>
      </c>
      <c r="O5" s="77" t="s">
        <v>205</v>
      </c>
      <c r="P5" s="77" t="s">
        <v>207</v>
      </c>
      <c r="Q5" s="77" t="s">
        <v>208</v>
      </c>
      <c r="R5" s="77" t="s">
        <v>209</v>
      </c>
      <c r="S5"/>
    </row>
    <row r="6" spans="2:21" ht="39.6">
      <c r="B6" s="78" t="s">
        <v>210</v>
      </c>
      <c r="C6" s="78" t="s">
        <v>81</v>
      </c>
      <c r="D6" s="78" t="s">
        <v>211</v>
      </c>
      <c r="E6" s="78" t="s">
        <v>212</v>
      </c>
      <c r="F6" s="78" t="s">
        <v>213</v>
      </c>
      <c r="G6" s="78" t="s">
        <v>214</v>
      </c>
      <c r="H6" s="186" t="s">
        <v>215</v>
      </c>
      <c r="I6" s="186"/>
      <c r="J6" s="186"/>
      <c r="K6" s="186"/>
      <c r="L6" s="186"/>
      <c r="M6" s="186"/>
      <c r="N6" s="186"/>
      <c r="O6" s="78" t="s">
        <v>216</v>
      </c>
      <c r="P6" s="78" t="s">
        <v>217</v>
      </c>
      <c r="Q6" s="78" t="s">
        <v>343</v>
      </c>
      <c r="R6" s="78" t="s">
        <v>344</v>
      </c>
      <c r="U6" s="134"/>
    </row>
    <row r="7" spans="2:21" ht="66">
      <c r="B7" s="79" t="s">
        <v>221</v>
      </c>
      <c r="C7" s="79" t="s">
        <v>89</v>
      </c>
      <c r="D7" s="79" t="s">
        <v>222</v>
      </c>
      <c r="E7" s="79" t="s">
        <v>223</v>
      </c>
      <c r="F7" s="79" t="s">
        <v>224</v>
      </c>
      <c r="G7" s="79" t="s">
        <v>225</v>
      </c>
      <c r="H7" s="187" t="s">
        <v>226</v>
      </c>
      <c r="I7" s="187"/>
      <c r="J7" s="187"/>
      <c r="K7" s="187"/>
      <c r="L7" s="187"/>
      <c r="M7" s="187"/>
      <c r="N7" s="187"/>
      <c r="O7" s="79" t="s">
        <v>227</v>
      </c>
      <c r="P7" s="79" t="s">
        <v>228</v>
      </c>
      <c r="Q7" s="79" t="s">
        <v>345</v>
      </c>
      <c r="R7" s="79" t="s">
        <v>346</v>
      </c>
    </row>
    <row r="8" spans="2:21">
      <c r="B8" s="50" t="str">
        <f>SEC_Processes!D15</f>
        <v>ELE_EX_PV_ROOF</v>
      </c>
      <c r="C8" s="50" t="str">
        <f>SEC_Processes!E15</f>
        <v>Existing Photovoltaic Rooftop</v>
      </c>
      <c r="D8" s="44" t="str">
        <f>SEC_Comm!C18</f>
        <v>SOLAR</v>
      </c>
      <c r="E8" s="44" t="str">
        <f>SEC_Comm!C8</f>
        <v>ELC</v>
      </c>
      <c r="F8" s="44">
        <v>1</v>
      </c>
      <c r="G8" s="44">
        <v>31.536000000000001</v>
      </c>
      <c r="H8" s="44">
        <v>7.9824000000000002</v>
      </c>
      <c r="I8" s="44">
        <v>7.9824000000000002</v>
      </c>
      <c r="J8" s="44">
        <v>7.9824000000000002</v>
      </c>
      <c r="K8" s="44">
        <v>7.9824000000000002</v>
      </c>
      <c r="L8" s="44">
        <v>7.9824000000000002</v>
      </c>
      <c r="M8" s="44">
        <v>7.9824000000000002</v>
      </c>
      <c r="N8" s="44">
        <v>7.9824000000000002</v>
      </c>
      <c r="O8" s="50"/>
      <c r="P8" s="50"/>
      <c r="Q8" s="135">
        <f>X23/1000*U8</f>
        <v>48.15</v>
      </c>
      <c r="R8" s="135"/>
      <c r="T8" t="s">
        <v>347</v>
      </c>
      <c r="U8">
        <v>4.5</v>
      </c>
    </row>
    <row r="9" spans="2:21">
      <c r="B9" s="28" t="str">
        <f>SEC_Processes!D16</f>
        <v>ELE_EX_PV_UTI</v>
      </c>
      <c r="C9" s="28" t="str">
        <f>SEC_Processes!E16</f>
        <v>Existing Photovoltaics Utility</v>
      </c>
      <c r="D9" s="25" t="str">
        <f>SEC_Comm!C18</f>
        <v>SOLAR</v>
      </c>
      <c r="E9" s="25" t="str">
        <f>SEC_Comm!C8</f>
        <v>ELC</v>
      </c>
      <c r="F9" s="25">
        <v>1</v>
      </c>
      <c r="G9" s="25">
        <v>31.536000000000001</v>
      </c>
      <c r="H9" s="25">
        <v>2.6608000000000001</v>
      </c>
      <c r="I9" s="25">
        <v>2.6608000000000001</v>
      </c>
      <c r="J9" s="25">
        <v>2.6608000000000001</v>
      </c>
      <c r="K9" s="25">
        <v>2.6608000000000001</v>
      </c>
      <c r="L9" s="25">
        <v>2.6608000000000001</v>
      </c>
      <c r="M9" s="25">
        <v>2.6608000000000001</v>
      </c>
      <c r="N9" s="25">
        <v>2.6608000000000001</v>
      </c>
      <c r="O9" s="28"/>
      <c r="P9" s="28"/>
      <c r="Q9" s="135">
        <f>X26/1000*U8</f>
        <v>42.322499999999998</v>
      </c>
      <c r="R9" s="135"/>
    </row>
    <row r="10" spans="2:21">
      <c r="B10" s="50" t="str">
        <f>SEC_Processes!D17</f>
        <v>ELE_EX_WIND_ON</v>
      </c>
      <c r="C10" s="50" t="str">
        <f>SEC_Processes!E17</f>
        <v>Existing Onshore Wind Turbines</v>
      </c>
      <c r="D10" s="44" t="str">
        <f>SEC_Comm!C19</f>
        <v>WIND_ON</v>
      </c>
      <c r="E10" s="44" t="str">
        <f>SEC_Comm!C8</f>
        <v>ELC</v>
      </c>
      <c r="F10" s="44">
        <v>1</v>
      </c>
      <c r="G10" s="44">
        <v>31.536000000000001</v>
      </c>
      <c r="H10" s="44">
        <v>8.9777299999999993</v>
      </c>
      <c r="I10" s="44">
        <v>8.9777299999999993</v>
      </c>
      <c r="J10" s="44">
        <v>8.9777299999999993</v>
      </c>
      <c r="K10" s="44">
        <v>8.9777299999999993</v>
      </c>
      <c r="L10" s="44">
        <v>8.9777299999999993</v>
      </c>
      <c r="M10" s="44">
        <v>8.9777299999999993</v>
      </c>
      <c r="N10" s="44">
        <v>8.9777299999999993</v>
      </c>
      <c r="O10" s="50"/>
      <c r="P10" s="50"/>
      <c r="Q10" s="135">
        <f>X32/1000*U8</f>
        <v>56.699999999999996</v>
      </c>
      <c r="R10" s="135"/>
    </row>
    <row r="11" spans="2:21" ht="13.8" thickBot="1">
      <c r="B11" s="166" t="str">
        <f>SEC_Processes!D14</f>
        <v>ELE_EX_HYD</v>
      </c>
      <c r="C11" s="166" t="str">
        <f>SEC_Processes!E14</f>
        <v>Existing Hydro Power Plants</v>
      </c>
      <c r="D11" s="166" t="str">
        <f>SEC_Comm!C17</f>
        <v>HYD</v>
      </c>
      <c r="E11" s="166" t="str">
        <f>SEC_Comm!C8</f>
        <v>ELC</v>
      </c>
      <c r="F11" s="166">
        <v>0.7</v>
      </c>
      <c r="G11" s="166">
        <v>31.536000000000001</v>
      </c>
      <c r="H11" s="166">
        <v>0.79158000000000006</v>
      </c>
      <c r="I11" s="166">
        <v>0.79158000000000006</v>
      </c>
      <c r="J11" s="166">
        <v>0.79158000000000006</v>
      </c>
      <c r="K11" s="166">
        <v>0.79158000000000006</v>
      </c>
      <c r="L11" s="166">
        <v>0.79158000000000006</v>
      </c>
      <c r="M11" s="166">
        <v>0.79158000000000006</v>
      </c>
      <c r="N11" s="166">
        <v>0.79158000000000006</v>
      </c>
      <c r="O11" s="166">
        <v>1</v>
      </c>
      <c r="P11" s="166">
        <v>0.85</v>
      </c>
      <c r="Q11" s="167">
        <v>23.888888888888889</v>
      </c>
      <c r="R11" s="167">
        <v>57.444444444444443</v>
      </c>
    </row>
    <row r="15" spans="2:21">
      <c r="I15" s="44"/>
      <c r="J15" s="50"/>
      <c r="K15" s="50"/>
      <c r="L15" s="50"/>
      <c r="M15" s="50"/>
      <c r="N15" s="50"/>
      <c r="O15" s="50"/>
      <c r="P15" s="50"/>
      <c r="Q15" s="50"/>
      <c r="R15" s="50"/>
    </row>
    <row r="18" spans="2:32" ht="14.4">
      <c r="H18" s="44">
        <v>7982.4000000000005</v>
      </c>
      <c r="I18">
        <f>H18/1000</f>
        <v>7.9824000000000002</v>
      </c>
      <c r="X18" s="189" t="s">
        <v>348</v>
      </c>
      <c r="Y18" s="189"/>
      <c r="Z18" s="189"/>
      <c r="AA18" s="189" t="s">
        <v>349</v>
      </c>
      <c r="AB18" s="189"/>
      <c r="AC18" s="189"/>
      <c r="AD18" s="189" t="s">
        <v>350</v>
      </c>
      <c r="AE18" s="189"/>
      <c r="AF18" s="189"/>
    </row>
    <row r="19" spans="2:32" ht="14.4">
      <c r="B19" t="s">
        <v>351</v>
      </c>
      <c r="H19" s="25">
        <v>2660.8</v>
      </c>
      <c r="I19">
        <f>H19/1000</f>
        <v>2.6608000000000001</v>
      </c>
      <c r="X19" s="87">
        <v>2030</v>
      </c>
      <c r="Y19" s="87">
        <v>2040</v>
      </c>
      <c r="Z19" s="87">
        <v>2050</v>
      </c>
      <c r="AA19" s="87">
        <v>2030</v>
      </c>
      <c r="AB19" s="87">
        <v>2040</v>
      </c>
      <c r="AC19" s="87">
        <v>2050</v>
      </c>
      <c r="AD19" s="87">
        <v>2030</v>
      </c>
      <c r="AE19" s="87">
        <v>2040</v>
      </c>
      <c r="AF19" s="87">
        <v>2050</v>
      </c>
    </row>
    <row r="20" spans="2:32" ht="14.4">
      <c r="H20" s="44">
        <v>8977.73</v>
      </c>
      <c r="I20">
        <f>H20/1000</f>
        <v>8.9777299999999993</v>
      </c>
      <c r="X20" s="88"/>
      <c r="Y20" s="88"/>
      <c r="Z20" s="88"/>
      <c r="AA20" s="89">
        <v>0.01</v>
      </c>
      <c r="AB20" s="89">
        <v>0.15</v>
      </c>
      <c r="AC20" s="89">
        <v>0.2</v>
      </c>
      <c r="AD20" s="89">
        <v>0.01</v>
      </c>
      <c r="AE20" s="89">
        <v>0.15</v>
      </c>
      <c r="AF20" s="89">
        <v>0.2</v>
      </c>
    </row>
    <row r="21" spans="2:32" ht="14.4">
      <c r="V21" s="90" t="s">
        <v>352</v>
      </c>
      <c r="W21" s="91" t="s">
        <v>335</v>
      </c>
      <c r="X21" s="91" t="s">
        <v>335</v>
      </c>
      <c r="Y21" s="91" t="s">
        <v>335</v>
      </c>
      <c r="Z21" s="91" t="s">
        <v>335</v>
      </c>
      <c r="AA21" s="91" t="s">
        <v>335</v>
      </c>
      <c r="AB21" s="91" t="s">
        <v>335</v>
      </c>
      <c r="AC21" s="91" t="s">
        <v>335</v>
      </c>
      <c r="AD21" s="91" t="s">
        <v>335</v>
      </c>
      <c r="AE21" s="91" t="s">
        <v>335</v>
      </c>
      <c r="AF21" s="91" t="s">
        <v>335</v>
      </c>
    </row>
    <row r="22" spans="2:32" ht="14.4">
      <c r="V22" s="88" t="s">
        <v>353</v>
      </c>
      <c r="W22" s="88" t="s">
        <v>354</v>
      </c>
      <c r="X22" s="92">
        <v>720000</v>
      </c>
      <c r="Y22" s="92">
        <v>580000</v>
      </c>
      <c r="Z22" s="92">
        <v>520000</v>
      </c>
      <c r="AA22" s="92">
        <v>712800</v>
      </c>
      <c r="AB22" s="92">
        <v>493000</v>
      </c>
      <c r="AC22" s="92">
        <v>416000</v>
      </c>
      <c r="AD22" s="92">
        <v>727200</v>
      </c>
      <c r="AE22" s="92">
        <v>667000</v>
      </c>
      <c r="AF22" s="92">
        <v>624000</v>
      </c>
    </row>
    <row r="23" spans="2:32" ht="14.4">
      <c r="V23" s="88" t="s">
        <v>355</v>
      </c>
      <c r="W23" s="88" t="s">
        <v>356</v>
      </c>
      <c r="X23" s="92">
        <v>10700</v>
      </c>
      <c r="Y23" s="92">
        <v>9600</v>
      </c>
      <c r="Z23" s="92">
        <v>8900</v>
      </c>
      <c r="AA23" s="92">
        <v>10593</v>
      </c>
      <c r="AB23" s="92">
        <v>8160</v>
      </c>
      <c r="AC23" s="92">
        <v>7120</v>
      </c>
      <c r="AD23" s="92">
        <v>10807</v>
      </c>
      <c r="AE23" s="92">
        <v>11040</v>
      </c>
      <c r="AF23" s="92">
        <v>10680</v>
      </c>
    </row>
    <row r="24" spans="2:32" ht="14.4">
      <c r="V24" s="93" t="s">
        <v>357</v>
      </c>
      <c r="W24" s="94" t="s">
        <v>335</v>
      </c>
      <c r="X24" s="94" t="s">
        <v>335</v>
      </c>
      <c r="Y24" s="94" t="s">
        <v>335</v>
      </c>
      <c r="Z24" s="94" t="s">
        <v>335</v>
      </c>
      <c r="AA24" s="94" t="s">
        <v>335</v>
      </c>
      <c r="AB24" s="94" t="s">
        <v>335</v>
      </c>
      <c r="AC24" s="94" t="s">
        <v>335</v>
      </c>
      <c r="AD24" s="94" t="s">
        <v>335</v>
      </c>
      <c r="AE24" s="94" t="s">
        <v>335</v>
      </c>
      <c r="AF24" s="94" t="s">
        <v>335</v>
      </c>
    </row>
    <row r="25" spans="2:32" ht="14.4">
      <c r="V25" s="88" t="s">
        <v>353</v>
      </c>
      <c r="W25" s="88" t="s">
        <v>354</v>
      </c>
      <c r="X25" s="92">
        <v>376200</v>
      </c>
      <c r="Y25" s="92">
        <v>280500</v>
      </c>
      <c r="Z25" s="92">
        <v>232000</v>
      </c>
      <c r="AA25" s="92">
        <v>376200</v>
      </c>
      <c r="AB25" s="92">
        <v>280500</v>
      </c>
      <c r="AC25" s="92">
        <v>232000</v>
      </c>
      <c r="AD25" s="92">
        <v>383800</v>
      </c>
      <c r="AE25" s="92">
        <v>379500</v>
      </c>
      <c r="AF25" s="92">
        <v>348000</v>
      </c>
    </row>
    <row r="26" spans="2:32" ht="14.4">
      <c r="V26" s="88" t="s">
        <v>355</v>
      </c>
      <c r="W26" s="88" t="s">
        <v>356</v>
      </c>
      <c r="X26" s="92">
        <v>9405</v>
      </c>
      <c r="Y26" s="92">
        <v>6885</v>
      </c>
      <c r="Z26" s="92">
        <v>5920</v>
      </c>
      <c r="AA26" s="92">
        <v>9405</v>
      </c>
      <c r="AB26" s="92">
        <v>6885</v>
      </c>
      <c r="AC26" s="92">
        <v>5920</v>
      </c>
      <c r="AD26" s="92">
        <v>9595</v>
      </c>
      <c r="AE26" s="92">
        <v>9315</v>
      </c>
      <c r="AF26" s="92">
        <v>8880</v>
      </c>
    </row>
    <row r="27" spans="2:32" ht="14.4">
      <c r="V27" s="93" t="s">
        <v>358</v>
      </c>
      <c r="W27" s="94" t="s">
        <v>335</v>
      </c>
      <c r="X27" s="94" t="s">
        <v>335</v>
      </c>
      <c r="Y27" s="94" t="s">
        <v>335</v>
      </c>
      <c r="Z27" s="94" t="s">
        <v>335</v>
      </c>
      <c r="AA27" s="94" t="s">
        <v>335</v>
      </c>
      <c r="AB27" s="94" t="s">
        <v>335</v>
      </c>
      <c r="AC27" s="94" t="s">
        <v>335</v>
      </c>
      <c r="AD27" s="94" t="s">
        <v>335</v>
      </c>
      <c r="AE27" s="94" t="s">
        <v>335</v>
      </c>
      <c r="AF27" s="94" t="s">
        <v>335</v>
      </c>
    </row>
    <row r="28" spans="2:32" ht="14.4">
      <c r="V28" s="88" t="s">
        <v>353</v>
      </c>
      <c r="W28" s="88" t="s">
        <v>354</v>
      </c>
      <c r="X28" s="92">
        <v>450000</v>
      </c>
      <c r="Y28" s="92">
        <v>390000</v>
      </c>
      <c r="Z28" s="92">
        <v>350000</v>
      </c>
      <c r="AA28" s="92">
        <v>445500</v>
      </c>
      <c r="AB28" s="92">
        <v>331500</v>
      </c>
      <c r="AC28" s="92">
        <v>280000</v>
      </c>
      <c r="AD28" s="92">
        <v>454500</v>
      </c>
      <c r="AE28" s="92">
        <v>448500</v>
      </c>
      <c r="AF28" s="92">
        <v>420000</v>
      </c>
    </row>
    <row r="29" spans="2:32" ht="14.4">
      <c r="V29" s="88" t="s">
        <v>355</v>
      </c>
      <c r="W29" s="88" t="s">
        <v>356</v>
      </c>
      <c r="X29" s="92">
        <v>10400</v>
      </c>
      <c r="Y29" s="92">
        <v>9400</v>
      </c>
      <c r="Z29" s="92">
        <v>9000</v>
      </c>
      <c r="AA29" s="92">
        <v>10296</v>
      </c>
      <c r="AB29" s="92">
        <v>7990</v>
      </c>
      <c r="AC29" s="92">
        <v>7200</v>
      </c>
      <c r="AD29" s="92">
        <v>10504</v>
      </c>
      <c r="AE29" s="92">
        <v>10810</v>
      </c>
      <c r="AF29" s="92">
        <v>10800</v>
      </c>
    </row>
    <row r="30" spans="2:32" ht="14.4">
      <c r="V30" s="95" t="s">
        <v>359</v>
      </c>
      <c r="W30" s="96" t="s">
        <v>335</v>
      </c>
      <c r="X30" s="96" t="s">
        <v>335</v>
      </c>
      <c r="Y30" s="96" t="s">
        <v>335</v>
      </c>
      <c r="Z30" s="96" t="s">
        <v>335</v>
      </c>
      <c r="AA30" s="96" t="s">
        <v>335</v>
      </c>
      <c r="AB30" s="96" t="s">
        <v>335</v>
      </c>
      <c r="AC30" s="96" t="s">
        <v>335</v>
      </c>
      <c r="AD30" s="96" t="s">
        <v>335</v>
      </c>
      <c r="AE30" s="96" t="s">
        <v>335</v>
      </c>
      <c r="AF30" s="96" t="s">
        <v>335</v>
      </c>
    </row>
    <row r="31" spans="2:32" ht="14.4">
      <c r="V31" s="88" t="s">
        <v>353</v>
      </c>
      <c r="W31" s="88" t="s">
        <v>354</v>
      </c>
      <c r="X31" s="92">
        <v>1040000</v>
      </c>
      <c r="Y31" s="92">
        <v>990000</v>
      </c>
      <c r="Z31" s="92">
        <v>970000</v>
      </c>
      <c r="AA31" s="92">
        <v>1029600</v>
      </c>
      <c r="AB31" s="92">
        <v>955350</v>
      </c>
      <c r="AC31" s="92">
        <v>920100</v>
      </c>
      <c r="AD31" s="92">
        <v>1050400</v>
      </c>
      <c r="AE31" s="97">
        <v>1024650</v>
      </c>
      <c r="AF31" s="97">
        <v>1019900</v>
      </c>
    </row>
    <row r="32" spans="2:32" ht="14.4">
      <c r="V32" s="88" t="s">
        <v>355</v>
      </c>
      <c r="W32" s="88" t="s">
        <v>356</v>
      </c>
      <c r="X32" s="92">
        <v>12600</v>
      </c>
      <c r="Y32" s="92">
        <v>11592</v>
      </c>
      <c r="Z32" s="92">
        <v>11340</v>
      </c>
      <c r="AA32" s="92">
        <v>12474</v>
      </c>
      <c r="AB32" s="92">
        <v>11186</v>
      </c>
      <c r="AC32" s="92">
        <v>10757</v>
      </c>
      <c r="AD32" s="92">
        <v>12726</v>
      </c>
      <c r="AE32" s="97">
        <v>11998</v>
      </c>
      <c r="AF32" s="97">
        <v>11923</v>
      </c>
    </row>
    <row r="33" spans="22:32" ht="14.4">
      <c r="V33" s="98" t="s">
        <v>360</v>
      </c>
      <c r="W33" s="99" t="s">
        <v>335</v>
      </c>
      <c r="X33" s="99" t="s">
        <v>335</v>
      </c>
      <c r="Y33" s="99" t="s">
        <v>335</v>
      </c>
      <c r="Z33" s="99" t="s">
        <v>335</v>
      </c>
      <c r="AA33" s="99" t="s">
        <v>335</v>
      </c>
      <c r="AB33" s="99" t="s">
        <v>335</v>
      </c>
      <c r="AC33" s="99" t="s">
        <v>335</v>
      </c>
      <c r="AD33" s="99" t="s">
        <v>335</v>
      </c>
      <c r="AE33" s="99" t="s">
        <v>335</v>
      </c>
      <c r="AF33" s="99" t="s">
        <v>335</v>
      </c>
    </row>
    <row r="34" spans="22:32" ht="14.4">
      <c r="V34" s="88" t="s">
        <v>353</v>
      </c>
      <c r="W34" s="88" t="s">
        <v>354</v>
      </c>
      <c r="X34" s="92">
        <v>1800000</v>
      </c>
      <c r="Y34" s="92">
        <v>1650000</v>
      </c>
      <c r="Z34" s="92">
        <v>1640000</v>
      </c>
      <c r="AA34" s="92">
        <v>1818000</v>
      </c>
      <c r="AB34" s="92">
        <v>1809750</v>
      </c>
      <c r="AC34" s="92">
        <v>1801600</v>
      </c>
      <c r="AD34" s="92">
        <v>1782000</v>
      </c>
      <c r="AE34" s="97">
        <v>1490250</v>
      </c>
      <c r="AF34" s="97">
        <v>1478400</v>
      </c>
    </row>
    <row r="35" spans="22:32" ht="14.4">
      <c r="V35" s="88" t="s">
        <v>355</v>
      </c>
      <c r="W35" s="88" t="s">
        <v>356</v>
      </c>
      <c r="X35" s="92">
        <v>58000</v>
      </c>
      <c r="Y35" s="92">
        <v>51000</v>
      </c>
      <c r="Z35" s="92">
        <v>49000</v>
      </c>
      <c r="AA35" s="92">
        <v>58580</v>
      </c>
      <c r="AB35" s="92">
        <v>55938</v>
      </c>
      <c r="AC35" s="92">
        <v>53828</v>
      </c>
      <c r="AD35" s="92">
        <v>57420</v>
      </c>
      <c r="AE35" s="97">
        <v>46062</v>
      </c>
      <c r="AF35" s="97">
        <v>44172</v>
      </c>
    </row>
    <row r="36" spans="22:32" ht="14.4">
      <c r="V36" s="100" t="s">
        <v>361</v>
      </c>
      <c r="W36" s="101" t="s">
        <v>335</v>
      </c>
      <c r="X36" s="101" t="s">
        <v>335</v>
      </c>
      <c r="Y36" s="101" t="s">
        <v>335</v>
      </c>
      <c r="Z36" s="101" t="s">
        <v>335</v>
      </c>
      <c r="AA36" s="101" t="s">
        <v>335</v>
      </c>
      <c r="AB36" s="101" t="s">
        <v>335</v>
      </c>
      <c r="AC36" s="101" t="s">
        <v>335</v>
      </c>
      <c r="AD36" s="101" t="s">
        <v>335</v>
      </c>
      <c r="AE36" s="101" t="s">
        <v>335</v>
      </c>
      <c r="AF36" s="101" t="s">
        <v>335</v>
      </c>
    </row>
    <row r="37" spans="22:32" ht="14.4">
      <c r="V37" s="88" t="s">
        <v>353</v>
      </c>
      <c r="W37" s="88" t="s">
        <v>354</v>
      </c>
      <c r="X37" s="92">
        <v>2470000</v>
      </c>
      <c r="Y37" s="92">
        <v>2310000</v>
      </c>
      <c r="Z37" s="92">
        <v>2290000</v>
      </c>
      <c r="AA37" s="92">
        <v>2494700</v>
      </c>
      <c r="AB37" s="92">
        <v>2483150</v>
      </c>
      <c r="AC37" s="92">
        <v>2471800</v>
      </c>
      <c r="AD37" s="92">
        <v>2445300</v>
      </c>
      <c r="AE37" s="97">
        <v>2136850</v>
      </c>
      <c r="AF37" s="97">
        <v>2108200</v>
      </c>
    </row>
    <row r="38" spans="22:32" ht="14.4">
      <c r="V38" s="88" t="s">
        <v>355</v>
      </c>
      <c r="W38" s="88" t="s">
        <v>356</v>
      </c>
      <c r="X38" s="92">
        <v>73000</v>
      </c>
      <c r="Y38" s="92">
        <v>66000</v>
      </c>
      <c r="Z38" s="92">
        <v>64000</v>
      </c>
      <c r="AA38" s="92">
        <v>73730</v>
      </c>
      <c r="AB38" s="92">
        <v>70947</v>
      </c>
      <c r="AC38" s="92">
        <v>69081</v>
      </c>
      <c r="AD38" s="92">
        <v>72270</v>
      </c>
      <c r="AE38" s="97">
        <v>61053</v>
      </c>
      <c r="AF38" s="97">
        <v>58919</v>
      </c>
    </row>
  </sheetData>
  <mergeCells count="5">
    <mergeCell ref="H6:N6"/>
    <mergeCell ref="H7:N7"/>
    <mergeCell ref="X18:Z18"/>
    <mergeCell ref="AA18:AC18"/>
    <mergeCell ref="AD18:AF18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A71D-E747-487B-8B62-A5E23468F783}">
  <dimension ref="B2:U10"/>
  <sheetViews>
    <sheetView workbookViewId="0">
      <selection activeCell="I16" sqref="I16"/>
    </sheetView>
  </sheetViews>
  <sheetFormatPr defaultColWidth="8.77734375" defaultRowHeight="13.2"/>
  <cols>
    <col min="2" max="2" width="12.6640625" bestFit="1" customWidth="1"/>
    <col min="3" max="3" width="19.44140625" bestFit="1" customWidth="1"/>
    <col min="4" max="5" width="12.33203125" customWidth="1"/>
    <col min="6" max="6" width="10.109375" customWidth="1"/>
    <col min="7" max="7" width="18.77734375" customWidth="1"/>
    <col min="8" max="14" width="8.44140625" bestFit="1" customWidth="1"/>
    <col min="15" max="15" width="15.6640625" customWidth="1"/>
    <col min="16" max="18" width="17.109375" customWidth="1"/>
    <col min="19" max="19" width="11" customWidth="1"/>
    <col min="20" max="20" width="11.33203125" customWidth="1"/>
    <col min="21" max="21" width="10.33203125" customWidth="1"/>
  </cols>
  <sheetData>
    <row r="2" spans="2:21">
      <c r="E2" s="15" t="s">
        <v>192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6"/>
      <c r="Q2" s="14"/>
      <c r="R2" s="14"/>
    </row>
    <row r="3" spans="2:21" ht="39.6">
      <c r="B3" s="77" t="s">
        <v>71</v>
      </c>
      <c r="C3" s="77" t="s">
        <v>342</v>
      </c>
      <c r="D3" s="77" t="s">
        <v>194</v>
      </c>
      <c r="E3" s="77" t="s">
        <v>195</v>
      </c>
      <c r="F3" s="168" t="s">
        <v>362</v>
      </c>
      <c r="G3" s="77" t="s">
        <v>197</v>
      </c>
      <c r="H3" s="80" t="s">
        <v>198</v>
      </c>
      <c r="I3" s="80" t="s">
        <v>199</v>
      </c>
      <c r="J3" s="80" t="s">
        <v>200</v>
      </c>
      <c r="K3" s="80" t="s">
        <v>201</v>
      </c>
      <c r="L3" s="80" t="s">
        <v>202</v>
      </c>
      <c r="M3" s="80" t="s">
        <v>203</v>
      </c>
      <c r="N3" s="80" t="s">
        <v>204</v>
      </c>
      <c r="O3" s="77" t="s">
        <v>205</v>
      </c>
      <c r="P3" s="77" t="s">
        <v>207</v>
      </c>
      <c r="Q3" s="77" t="s">
        <v>208</v>
      </c>
      <c r="R3" s="77" t="s">
        <v>209</v>
      </c>
      <c r="S3" s="77" t="s">
        <v>363</v>
      </c>
      <c r="T3" s="80" t="s">
        <v>364</v>
      </c>
      <c r="U3" s="80" t="s">
        <v>365</v>
      </c>
    </row>
    <row r="4" spans="2:21" ht="26.4">
      <c r="B4" s="78" t="s">
        <v>210</v>
      </c>
      <c r="C4" s="78" t="s">
        <v>81</v>
      </c>
      <c r="D4" s="78" t="s">
        <v>211</v>
      </c>
      <c r="E4" s="78" t="s">
        <v>212</v>
      </c>
      <c r="F4" s="78" t="s">
        <v>213</v>
      </c>
      <c r="G4" s="78" t="s">
        <v>214</v>
      </c>
      <c r="H4" s="186" t="s">
        <v>215</v>
      </c>
      <c r="I4" s="186"/>
      <c r="J4" s="186"/>
      <c r="K4" s="186"/>
      <c r="L4" s="186"/>
      <c r="M4" s="186"/>
      <c r="N4" s="186"/>
      <c r="O4" s="78" t="s">
        <v>216</v>
      </c>
      <c r="P4" s="78" t="s">
        <v>217</v>
      </c>
      <c r="Q4" s="78" t="s">
        <v>343</v>
      </c>
      <c r="R4" s="78" t="s">
        <v>344</v>
      </c>
      <c r="S4" s="78"/>
      <c r="T4" s="78"/>
      <c r="U4" s="78" t="s">
        <v>366</v>
      </c>
    </row>
    <row r="5" spans="2:21" ht="53.4" thickBot="1">
      <c r="B5" s="150" t="s">
        <v>221</v>
      </c>
      <c r="C5" s="150" t="s">
        <v>89</v>
      </c>
      <c r="D5" s="150" t="s">
        <v>222</v>
      </c>
      <c r="E5" s="150" t="s">
        <v>223</v>
      </c>
      <c r="F5" s="150" t="s">
        <v>224</v>
      </c>
      <c r="G5" s="150" t="s">
        <v>225</v>
      </c>
      <c r="H5" s="190" t="s">
        <v>226</v>
      </c>
      <c r="I5" s="190"/>
      <c r="J5" s="190"/>
      <c r="K5" s="190"/>
      <c r="L5" s="190"/>
      <c r="M5" s="190"/>
      <c r="N5" s="190"/>
      <c r="O5" s="150" t="s">
        <v>227</v>
      </c>
      <c r="P5" s="150" t="s">
        <v>228</v>
      </c>
      <c r="Q5" s="150" t="s">
        <v>345</v>
      </c>
      <c r="R5" s="150" t="s">
        <v>346</v>
      </c>
      <c r="S5" s="150"/>
      <c r="T5" s="150"/>
      <c r="U5" s="150" t="s">
        <v>366</v>
      </c>
    </row>
    <row r="6" spans="2:21">
      <c r="B6" s="159" t="str">
        <f>SEC_Processes!D13</f>
        <v>STG_EX_PHS</v>
      </c>
      <c r="C6" s="159" t="str">
        <f>SEC_Processes!E13</f>
        <v>Existing Pump Storage</v>
      </c>
      <c r="D6" s="71" t="str">
        <f>E6</f>
        <v>ELC</v>
      </c>
      <c r="E6" s="71" t="str">
        <f>SEC_Comm!C8</f>
        <v>ELC</v>
      </c>
      <c r="F6" s="169">
        <v>0.75</v>
      </c>
      <c r="G6" s="172">
        <v>31.536000000000001</v>
      </c>
      <c r="H6" s="71">
        <f>1591.21/1000</f>
        <v>1.59121</v>
      </c>
      <c r="I6" s="172">
        <f>$H6</f>
        <v>1.59121</v>
      </c>
      <c r="J6" s="172">
        <f t="shared" ref="J6:N6" si="0">$H6</f>
        <v>1.59121</v>
      </c>
      <c r="K6" s="172">
        <f t="shared" si="0"/>
        <v>1.59121</v>
      </c>
      <c r="L6" s="172">
        <f t="shared" si="0"/>
        <v>1.59121</v>
      </c>
      <c r="M6" s="172">
        <f t="shared" si="0"/>
        <v>1.59121</v>
      </c>
      <c r="N6" s="172">
        <f t="shared" si="0"/>
        <v>1.59121</v>
      </c>
      <c r="O6" s="172">
        <v>1</v>
      </c>
      <c r="P6" s="172">
        <v>1</v>
      </c>
      <c r="Q6" s="170">
        <v>0.1</v>
      </c>
      <c r="R6" s="170">
        <v>0.1</v>
      </c>
      <c r="S6" s="172"/>
      <c r="T6" s="172"/>
      <c r="U6" s="172"/>
    </row>
    <row r="7" spans="2:21"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73" t="s">
        <v>25</v>
      </c>
      <c r="T7" s="110">
        <v>1</v>
      </c>
      <c r="U7" s="110"/>
    </row>
    <row r="8" spans="2:21" ht="13.8" thickBot="1"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1" t="s">
        <v>367</v>
      </c>
      <c r="T8" s="174">
        <f>U8/168</f>
        <v>3.5714285714285712E-2</v>
      </c>
      <c r="U8" s="174">
        <v>6</v>
      </c>
    </row>
    <row r="10" spans="2:21" ht="15.6">
      <c r="H10" s="191" t="s">
        <v>368</v>
      </c>
      <c r="I10" s="191"/>
      <c r="J10" s="191"/>
      <c r="K10" s="191"/>
      <c r="L10" s="191"/>
      <c r="M10" s="191"/>
      <c r="N10" s="191"/>
    </row>
  </sheetData>
  <mergeCells count="3">
    <mergeCell ref="H4:N4"/>
    <mergeCell ref="H5:N5"/>
    <mergeCell ref="H10:N1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B4" sqref="B4"/>
    </sheetView>
  </sheetViews>
  <sheetFormatPr defaultColWidth="8.6640625" defaultRowHeight="13.2"/>
  <cols>
    <col min="1" max="1" width="2.664062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4414062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6640625" customWidth="1"/>
    <col min="22" max="22" width="29.6640625" customWidth="1"/>
    <col min="23" max="23" width="11.33203125" customWidth="1"/>
    <col min="24" max="24" width="16.6640625" customWidth="1"/>
    <col min="25" max="26" width="13.6640625" customWidth="1"/>
    <col min="27" max="28" width="11.6640625" customWidth="1"/>
    <col min="29" max="29" width="16.6640625" customWidth="1"/>
    <col min="30" max="31" width="14.44140625" customWidth="1"/>
    <col min="32" max="32" width="13" customWidth="1"/>
    <col min="33" max="33" width="13.6640625" customWidth="1"/>
    <col min="34" max="34" width="12.6640625" customWidth="1"/>
  </cols>
  <sheetData>
    <row r="2" spans="2:34" ht="17.399999999999999">
      <c r="B2" s="74" t="s">
        <v>369</v>
      </c>
      <c r="C2" s="20"/>
      <c r="E2" s="15" t="s">
        <v>192</v>
      </c>
      <c r="L2" s="27"/>
      <c r="M2" s="27"/>
      <c r="N2" s="9"/>
      <c r="O2" s="11"/>
      <c r="P2" s="6"/>
      <c r="Q2" s="7"/>
      <c r="R2" s="7"/>
    </row>
    <row r="3" spans="2:34" ht="15">
      <c r="B3" s="10"/>
      <c r="C3" s="4"/>
      <c r="E3" s="5"/>
      <c r="L3" s="8"/>
      <c r="M3" s="8"/>
      <c r="N3" s="9"/>
      <c r="O3" s="11"/>
      <c r="P3" s="6"/>
      <c r="Q3" s="7"/>
      <c r="R3" s="7"/>
      <c r="W3" s="41" t="s">
        <v>370</v>
      </c>
      <c r="X3" s="41"/>
    </row>
    <row r="4" spans="2:34" ht="15.75" customHeight="1">
      <c r="B4" s="163" t="s">
        <v>371</v>
      </c>
      <c r="F4" s="13"/>
      <c r="G4" s="13"/>
      <c r="H4" s="13"/>
      <c r="I4" s="13"/>
      <c r="J4" s="13"/>
      <c r="K4" s="13"/>
      <c r="L4" s="13"/>
      <c r="M4" s="13"/>
      <c r="N4" s="16"/>
      <c r="O4" s="14"/>
      <c r="P4" s="14"/>
      <c r="Q4" s="14"/>
      <c r="R4" s="7"/>
    </row>
    <row r="5" spans="2:34" s="3" customFormat="1" ht="26.4">
      <c r="B5" s="77" t="s">
        <v>71</v>
      </c>
      <c r="C5" s="77" t="s">
        <v>342</v>
      </c>
      <c r="D5" s="77" t="s">
        <v>194</v>
      </c>
      <c r="E5" s="77" t="s">
        <v>195</v>
      </c>
      <c r="F5" s="77" t="s">
        <v>196</v>
      </c>
      <c r="G5" s="77" t="s">
        <v>372</v>
      </c>
      <c r="H5" s="77" t="s">
        <v>373</v>
      </c>
      <c r="I5" s="77" t="s">
        <v>374</v>
      </c>
      <c r="J5" s="77" t="s">
        <v>375</v>
      </c>
      <c r="K5" s="77" t="s">
        <v>197</v>
      </c>
      <c r="L5" s="80" t="s">
        <v>376</v>
      </c>
      <c r="M5" s="80" t="s">
        <v>204</v>
      </c>
      <c r="N5" s="77" t="s">
        <v>205</v>
      </c>
      <c r="O5" s="77" t="s">
        <v>207</v>
      </c>
      <c r="P5" s="77" t="s">
        <v>208</v>
      </c>
      <c r="Q5" s="77" t="s">
        <v>209</v>
      </c>
      <c r="R5" s="77"/>
      <c r="S5"/>
      <c r="W5" s="51" t="s">
        <v>377</v>
      </c>
      <c r="X5" s="52"/>
      <c r="Y5" s="52"/>
      <c r="Z5" s="52"/>
      <c r="AA5" s="52"/>
      <c r="AB5" s="51"/>
      <c r="AC5" s="52"/>
      <c r="AD5" s="52"/>
      <c r="AE5" s="52"/>
      <c r="AF5" s="53"/>
      <c r="AG5" s="53"/>
      <c r="AH5" s="52"/>
    </row>
    <row r="6" spans="2:34" ht="42" customHeight="1">
      <c r="B6" s="78" t="s">
        <v>210</v>
      </c>
      <c r="C6" s="78" t="s">
        <v>81</v>
      </c>
      <c r="D6" s="78" t="s">
        <v>211</v>
      </c>
      <c r="E6" s="78" t="s">
        <v>212</v>
      </c>
      <c r="F6" s="78" t="s">
        <v>213</v>
      </c>
      <c r="G6" s="78" t="s">
        <v>378</v>
      </c>
      <c r="H6" s="78" t="s">
        <v>379</v>
      </c>
      <c r="I6" s="78" t="s">
        <v>380</v>
      </c>
      <c r="J6" s="78" t="s">
        <v>381</v>
      </c>
      <c r="K6" s="78" t="s">
        <v>214</v>
      </c>
      <c r="L6" s="78" t="s">
        <v>215</v>
      </c>
      <c r="M6" s="78" t="s">
        <v>215</v>
      </c>
      <c r="N6" s="78" t="s">
        <v>216</v>
      </c>
      <c r="O6" s="78" t="s">
        <v>217</v>
      </c>
      <c r="P6" s="78" t="s">
        <v>218</v>
      </c>
      <c r="Q6" s="78" t="s">
        <v>219</v>
      </c>
      <c r="R6" s="78"/>
      <c r="W6" s="54" t="s">
        <v>382</v>
      </c>
      <c r="X6" s="54" t="s">
        <v>383</v>
      </c>
      <c r="Y6" s="54" t="s">
        <v>384</v>
      </c>
      <c r="Z6" s="54" t="s">
        <v>385</v>
      </c>
      <c r="AA6" s="54" t="s">
        <v>386</v>
      </c>
      <c r="AB6" s="54" t="s">
        <v>387</v>
      </c>
      <c r="AC6" s="54" t="s">
        <v>388</v>
      </c>
      <c r="AD6" s="54" t="s">
        <v>389</v>
      </c>
      <c r="AE6" s="54" t="s">
        <v>390</v>
      </c>
      <c r="AF6" s="54" t="s">
        <v>391</v>
      </c>
      <c r="AG6" s="54" t="s">
        <v>392</v>
      </c>
      <c r="AH6" s="54" t="s">
        <v>393</v>
      </c>
    </row>
    <row r="7" spans="2:34" ht="79.8" thickBot="1">
      <c r="B7" s="79" t="s">
        <v>221</v>
      </c>
      <c r="C7" s="79" t="s">
        <v>89</v>
      </c>
      <c r="D7" s="79" t="s">
        <v>222</v>
      </c>
      <c r="E7" s="79" t="s">
        <v>223</v>
      </c>
      <c r="F7" s="79" t="s">
        <v>224</v>
      </c>
      <c r="G7" s="79" t="s">
        <v>394</v>
      </c>
      <c r="H7" s="79" t="s">
        <v>395</v>
      </c>
      <c r="I7" s="79" t="s">
        <v>396</v>
      </c>
      <c r="J7" s="79" t="s">
        <v>397</v>
      </c>
      <c r="K7" s="79" t="s">
        <v>225</v>
      </c>
      <c r="L7" s="79" t="s">
        <v>226</v>
      </c>
      <c r="M7" s="79" t="s">
        <v>226</v>
      </c>
      <c r="N7" s="79" t="s">
        <v>227</v>
      </c>
      <c r="O7" s="79" t="s">
        <v>228</v>
      </c>
      <c r="P7" s="79" t="s">
        <v>229</v>
      </c>
      <c r="Q7" s="79" t="s">
        <v>230</v>
      </c>
      <c r="R7" s="79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2:34" ht="15" customHeight="1">
      <c r="B8" s="26" t="str">
        <f>SEC_Processes!D11</f>
        <v>ELE_EX_HC</v>
      </c>
      <c r="C8" s="26" t="str">
        <f>SEC_Processes!E12</f>
        <v>Existing Oil Power Plants</v>
      </c>
      <c r="D8" s="26" t="s">
        <v>47</v>
      </c>
      <c r="E8" s="26"/>
      <c r="F8" s="57"/>
      <c r="G8" s="58"/>
      <c r="H8" s="59"/>
      <c r="I8" s="59"/>
      <c r="J8" s="59"/>
      <c r="K8" s="59">
        <v>31.536000000000001</v>
      </c>
      <c r="L8" s="57"/>
      <c r="M8" s="57"/>
      <c r="N8" s="58"/>
      <c r="O8" s="58"/>
      <c r="P8" s="58"/>
      <c r="Q8" s="58"/>
      <c r="R8" s="59"/>
      <c r="U8" s="192" t="str">
        <f>SEC_Processes!D11</f>
        <v>ELE_EX_HC</v>
      </c>
      <c r="V8" s="193" t="str">
        <f>SEC_Processes!E12</f>
        <v>Existing Oil Power Plants</v>
      </c>
      <c r="W8" s="192">
        <f>L8*K8*O8</f>
        <v>0</v>
      </c>
      <c r="X8" s="192"/>
      <c r="Y8" s="194">
        <f>L8*K8*O8/3.6</f>
        <v>0</v>
      </c>
      <c r="Z8" s="192">
        <f>Y8*3.6</f>
        <v>0</v>
      </c>
      <c r="AA8" s="192"/>
      <c r="AB8" s="192"/>
      <c r="AC8" s="194">
        <f>Z8*G8</f>
        <v>0</v>
      </c>
      <c r="AD8" s="192">
        <f>Z8+AC8</f>
        <v>0</v>
      </c>
      <c r="AE8" s="192" t="e">
        <f>Z8/AC8</f>
        <v>#DIV/0!</v>
      </c>
      <c r="AF8" s="192" t="e">
        <f>W8/F8</f>
        <v>#DIV/0!</v>
      </c>
      <c r="AG8" s="192" t="e">
        <f>AF8*10^6/(#REF!/1000)/1000</f>
        <v>#DIV/0!</v>
      </c>
      <c r="AH8" s="192" t="e">
        <f>AD8/AF8</f>
        <v>#DIV/0!</v>
      </c>
    </row>
    <row r="9" spans="2:34" ht="15" customHeight="1">
      <c r="B9" s="25"/>
      <c r="C9" s="25"/>
      <c r="D9" s="25"/>
      <c r="E9" s="26" t="str">
        <f>SEC_Comm!C8</f>
        <v>ELC</v>
      </c>
      <c r="F9" s="33"/>
      <c r="G9" s="33"/>
      <c r="H9" s="33"/>
      <c r="I9" s="33"/>
      <c r="J9" s="33"/>
      <c r="K9" s="25"/>
      <c r="L9" s="39"/>
      <c r="M9" s="39"/>
      <c r="N9" s="65"/>
      <c r="O9" s="65"/>
      <c r="P9" s="65"/>
      <c r="Q9" s="65"/>
      <c r="R9" s="25"/>
      <c r="U9" s="192"/>
      <c r="V9" s="193"/>
      <c r="W9" s="192"/>
      <c r="X9" s="192"/>
      <c r="Y9" s="194"/>
      <c r="Z9" s="192"/>
      <c r="AA9" s="192"/>
      <c r="AB9" s="192"/>
      <c r="AC9" s="194"/>
      <c r="AD9" s="192"/>
      <c r="AE9" s="192"/>
      <c r="AF9" s="192"/>
      <c r="AG9" s="192"/>
      <c r="AH9" s="192"/>
    </row>
    <row r="10" spans="2:34" ht="15" customHeight="1">
      <c r="B10" s="25"/>
      <c r="C10" s="25"/>
      <c r="D10" s="25"/>
      <c r="E10" s="26" t="e">
        <f>SEC_Comm!#REF!</f>
        <v>#REF!</v>
      </c>
      <c r="F10" s="33"/>
      <c r="G10" s="33"/>
      <c r="H10" s="33"/>
      <c r="I10" s="33"/>
      <c r="J10" s="33"/>
      <c r="K10" s="25"/>
      <c r="L10" s="39"/>
      <c r="M10" s="39"/>
      <c r="N10" s="65"/>
      <c r="O10" s="65"/>
      <c r="P10" s="65"/>
      <c r="Q10" s="65"/>
      <c r="R10" s="25"/>
      <c r="U10" s="192"/>
      <c r="V10" s="193"/>
      <c r="W10" s="192"/>
      <c r="X10" s="192"/>
      <c r="Y10" s="194"/>
      <c r="Z10" s="192"/>
      <c r="AA10" s="192"/>
      <c r="AB10" s="192"/>
      <c r="AC10" s="194"/>
      <c r="AD10" s="192"/>
      <c r="AE10" s="192"/>
      <c r="AF10" s="192"/>
      <c r="AG10" s="192"/>
      <c r="AH10" s="192"/>
    </row>
    <row r="11" spans="2:34" ht="15" customHeight="1">
      <c r="B11" s="43" t="str">
        <f>SEC_Processes!D12</f>
        <v>ELE_EX_OIL</v>
      </c>
      <c r="C11" s="43" t="str">
        <f>SEC_Processes!E13</f>
        <v>Existing Pump Storage</v>
      </c>
      <c r="D11" s="43" t="s">
        <v>46</v>
      </c>
      <c r="E11" s="43"/>
      <c r="F11" s="61"/>
      <c r="G11" s="60"/>
      <c r="H11" s="64"/>
      <c r="I11" s="64"/>
      <c r="J11" s="60"/>
      <c r="K11" s="60">
        <v>31.536000000000001</v>
      </c>
      <c r="L11" s="61"/>
      <c r="M11" s="61"/>
      <c r="N11" s="64"/>
      <c r="O11" s="64"/>
      <c r="P11" s="64"/>
      <c r="Q11" s="64"/>
      <c r="R11" s="60"/>
      <c r="U11" s="192" t="str">
        <f>SEC_Processes!D12</f>
        <v>ELE_EX_OIL</v>
      </c>
      <c r="V11" s="193" t="str">
        <f>SEC_Processes!E13</f>
        <v>Existing Pump Storage</v>
      </c>
      <c r="W11" s="192">
        <f>L11*K11*O11</f>
        <v>0</v>
      </c>
      <c r="X11" s="192">
        <f>L11*K11*O11/3.6</f>
        <v>0</v>
      </c>
      <c r="Y11" s="194" t="e">
        <f>#REF!/1000</f>
        <v>#REF!</v>
      </c>
      <c r="Z11" s="192" t="e">
        <f>Y11*3.6</f>
        <v>#REF!</v>
      </c>
      <c r="AA11" s="192" t="e">
        <f>X11-Y11</f>
        <v>#REF!</v>
      </c>
      <c r="AB11" s="192" t="e">
        <f>AA11*3.6</f>
        <v>#REF!</v>
      </c>
      <c r="AC11" s="194" t="e">
        <f>AB11/J11</f>
        <v>#REF!</v>
      </c>
      <c r="AD11" s="192" t="e">
        <f>Z11+AC11</f>
        <v>#REF!</v>
      </c>
      <c r="AE11" s="192" t="e">
        <f>Z11/AC11</f>
        <v>#REF!</v>
      </c>
      <c r="AF11" s="192" t="e">
        <f>W11/F11</f>
        <v>#DIV/0!</v>
      </c>
      <c r="AG11" s="192" t="e">
        <f>AF11*10^6/(#REF!/1000)/1000</f>
        <v>#DIV/0!</v>
      </c>
      <c r="AH11" s="192" t="e">
        <f>AD11/AF11</f>
        <v>#REF!</v>
      </c>
    </row>
    <row r="12" spans="2:34" ht="15" customHeight="1">
      <c r="B12" s="44"/>
      <c r="C12" s="44"/>
      <c r="D12" s="44"/>
      <c r="E12" s="43" t="str">
        <f>SEC_Comm!C8</f>
        <v>ELC</v>
      </c>
      <c r="F12" s="45"/>
      <c r="G12" s="45"/>
      <c r="H12" s="45"/>
      <c r="I12" s="45"/>
      <c r="J12" s="45"/>
      <c r="K12" s="44"/>
      <c r="L12" s="46"/>
      <c r="M12" s="46"/>
      <c r="N12" s="44"/>
      <c r="O12" s="44"/>
      <c r="P12" s="44"/>
      <c r="Q12" s="44"/>
      <c r="R12" s="44"/>
      <c r="U12" s="192"/>
      <c r="V12" s="193"/>
      <c r="W12" s="192"/>
      <c r="X12" s="192"/>
      <c r="Y12" s="194"/>
      <c r="Z12" s="192"/>
      <c r="AA12" s="192"/>
      <c r="AB12" s="192"/>
      <c r="AC12" s="194"/>
      <c r="AD12" s="192"/>
      <c r="AE12" s="192"/>
      <c r="AF12" s="192"/>
      <c r="AG12" s="192"/>
      <c r="AH12" s="192"/>
    </row>
    <row r="13" spans="2:34" ht="15" customHeight="1" thickBot="1">
      <c r="B13" s="47"/>
      <c r="C13" s="47"/>
      <c r="D13" s="47"/>
      <c r="E13" s="48" t="e">
        <f>SEC_Comm!#REF!</f>
        <v>#REF!</v>
      </c>
      <c r="F13" s="49"/>
      <c r="G13" s="49"/>
      <c r="H13" s="49"/>
      <c r="I13" s="49"/>
      <c r="J13" s="49"/>
      <c r="K13" s="47"/>
      <c r="L13" s="47"/>
      <c r="M13" s="47"/>
      <c r="N13" s="47"/>
      <c r="O13" s="47"/>
      <c r="P13" s="47"/>
      <c r="Q13" s="47"/>
      <c r="R13" s="47"/>
      <c r="U13" s="192"/>
      <c r="V13" s="193"/>
      <c r="W13" s="192"/>
      <c r="X13" s="192"/>
      <c r="Y13" s="194"/>
      <c r="Z13" s="192"/>
      <c r="AA13" s="192"/>
      <c r="AB13" s="192"/>
      <c r="AC13" s="194"/>
      <c r="AD13" s="192"/>
      <c r="AE13" s="192"/>
      <c r="AF13" s="192"/>
      <c r="AG13" s="192"/>
      <c r="AH13" s="192"/>
    </row>
    <row r="17" spans="5:34">
      <c r="E17" t="s">
        <v>398</v>
      </c>
    </row>
    <row r="18" spans="5:34">
      <c r="AC18" s="2"/>
      <c r="AD18" s="2"/>
      <c r="AE18" s="2"/>
      <c r="AF18" s="35"/>
      <c r="AG18" s="35"/>
      <c r="AH18" s="35"/>
    </row>
    <row r="19" spans="5:34">
      <c r="AC19" s="2"/>
      <c r="AD19" s="2"/>
      <c r="AE19" s="2"/>
      <c r="AF19" s="35"/>
      <c r="AG19" s="35"/>
      <c r="AH19" s="35"/>
    </row>
    <row r="20" spans="5:34">
      <c r="AC20" s="2"/>
      <c r="AD20" s="2"/>
      <c r="AE20" s="2"/>
      <c r="AH20" s="35"/>
    </row>
    <row r="21" spans="5:34">
      <c r="AD21" s="2"/>
      <c r="AE21" s="2"/>
      <c r="AG21" s="35"/>
      <c r="AH21" s="35"/>
    </row>
    <row r="24" spans="5:34">
      <c r="AH24" s="40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="160" zoomScaleNormal="160" workbookViewId="0">
      <selection activeCell="C12" sqref="C12"/>
    </sheetView>
  </sheetViews>
  <sheetFormatPr defaultColWidth="8.6640625" defaultRowHeight="13.2"/>
  <cols>
    <col min="1" max="1" width="2.6640625" customWidth="1"/>
    <col min="2" max="2" width="16.44140625" customWidth="1"/>
    <col min="3" max="3" width="66.33203125" customWidth="1"/>
    <col min="4" max="4" width="12.33203125" customWidth="1"/>
    <col min="5" max="5" width="13.44140625" customWidth="1"/>
    <col min="6" max="6" width="13.33203125" customWidth="1"/>
    <col min="9" max="9" width="53.33203125" customWidth="1"/>
  </cols>
  <sheetData>
    <row r="2" spans="2:9" ht="17.399999999999999">
      <c r="B2" s="74" t="s">
        <v>399</v>
      </c>
      <c r="C2" s="20"/>
      <c r="E2" s="15"/>
    </row>
    <row r="3" spans="2:9">
      <c r="B3" s="10"/>
      <c r="C3" s="4"/>
      <c r="E3" s="5"/>
    </row>
    <row r="4" spans="2:9" ht="15.75" customHeight="1">
      <c r="B4" s="15" t="s">
        <v>192</v>
      </c>
      <c r="F4" s="13"/>
    </row>
    <row r="5" spans="2:9" ht="15.75" customHeight="1">
      <c r="B5" s="77" t="s">
        <v>71</v>
      </c>
      <c r="C5" s="77" t="s">
        <v>193</v>
      </c>
      <c r="D5" s="77" t="s">
        <v>194</v>
      </c>
      <c r="E5" s="77" t="s">
        <v>195</v>
      </c>
      <c r="F5" s="77" t="s">
        <v>196</v>
      </c>
      <c r="I5" s="24"/>
    </row>
    <row r="6" spans="2:9" ht="31.95" customHeight="1">
      <c r="B6" s="78" t="s">
        <v>210</v>
      </c>
      <c r="C6" s="78" t="s">
        <v>81</v>
      </c>
      <c r="D6" s="78" t="s">
        <v>211</v>
      </c>
      <c r="E6" s="78" t="s">
        <v>212</v>
      </c>
      <c r="F6" s="78" t="s">
        <v>213</v>
      </c>
    </row>
    <row r="7" spans="2:9" ht="31.95" customHeight="1" thickBot="1">
      <c r="B7" s="79" t="s">
        <v>221</v>
      </c>
      <c r="C7" s="79" t="s">
        <v>89</v>
      </c>
      <c r="D7" s="79" t="s">
        <v>222</v>
      </c>
      <c r="E7" s="79" t="s">
        <v>223</v>
      </c>
      <c r="F7" s="79" t="s">
        <v>224</v>
      </c>
    </row>
    <row r="8" spans="2:9" ht="15.75" customHeight="1">
      <c r="B8" s="44" t="str">
        <f>SEC_Processes!D19</f>
        <v>TaD_EX_GRID</v>
      </c>
      <c r="C8" s="44" t="str">
        <f>SEC_Processes!E19</f>
        <v>Existing Grid</v>
      </c>
      <c r="D8" s="44" t="str">
        <f>SEC_Comm!C8</f>
        <v>ELC</v>
      </c>
      <c r="E8" s="44" t="str">
        <f>SEC_Comm!C9</f>
        <v>ELC_GRID</v>
      </c>
      <c r="F8" s="141">
        <v>0.95</v>
      </c>
    </row>
    <row r="9" spans="2:9" ht="15.75" customHeight="1" thickBot="1">
      <c r="B9" s="29"/>
      <c r="C9" s="29"/>
      <c r="D9" s="32"/>
      <c r="E9" s="32"/>
      <c r="F9" s="66"/>
    </row>
    <row r="14" spans="2:9">
      <c r="E14" s="2"/>
      <c r="F14" s="2"/>
    </row>
    <row r="15" spans="2:9">
      <c r="E15" s="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J25"/>
  <sheetViews>
    <sheetView tabSelected="1" topLeftCell="A3" zoomScale="115" zoomScaleNormal="115" workbookViewId="0">
      <selection activeCell="J7" sqref="J7"/>
    </sheetView>
  </sheetViews>
  <sheetFormatPr defaultColWidth="8.6640625" defaultRowHeight="13.2"/>
  <cols>
    <col min="1" max="1" width="2.6640625" customWidth="1"/>
    <col min="2" max="2" width="20.6640625" customWidth="1"/>
    <col min="3" max="3" width="13.6640625" customWidth="1"/>
    <col min="6" max="6" width="10.6640625" customWidth="1"/>
    <col min="16383" max="16384" width="9.33203125" bestFit="1" customWidth="1"/>
  </cols>
  <sheetData>
    <row r="2" spans="2:10" ht="15">
      <c r="B2" s="41" t="s">
        <v>400</v>
      </c>
      <c r="C2" s="18"/>
      <c r="D2" s="18"/>
      <c r="E2" s="18"/>
      <c r="F2" s="18"/>
      <c r="G2" s="18"/>
      <c r="H2" s="18"/>
      <c r="I2" s="18"/>
    </row>
    <row r="3" spans="2:10">
      <c r="B3" s="42"/>
      <c r="C3" s="42"/>
      <c r="D3" s="42"/>
      <c r="E3" s="42"/>
      <c r="F3" s="19"/>
      <c r="G3" s="19"/>
      <c r="H3" s="19"/>
      <c r="I3" s="19"/>
    </row>
    <row r="4" spans="2:10" ht="15.75" customHeight="1">
      <c r="B4" s="17"/>
      <c r="C4" s="15" t="s">
        <v>401</v>
      </c>
      <c r="D4" s="19"/>
      <c r="E4" s="19"/>
    </row>
    <row r="5" spans="2:10" ht="15.75" customHeight="1">
      <c r="B5" s="121" t="s">
        <v>71</v>
      </c>
      <c r="C5" s="121" t="s">
        <v>3</v>
      </c>
      <c r="D5" s="121" t="str">
        <f>SEC_Comm!C15</f>
        <v>HC</v>
      </c>
      <c r="E5" s="121" t="str">
        <f>SEC_Comm!C13</f>
        <v>LIG</v>
      </c>
      <c r="F5" s="121" t="str">
        <f>SEC_Comm!C14</f>
        <v>NAT_GAS</v>
      </c>
      <c r="G5" s="142" t="str">
        <f>SEC_Comm!C16</f>
        <v>OIL</v>
      </c>
      <c r="H5" s="142" t="str">
        <f>SEC_Comm!C20</f>
        <v>OTH</v>
      </c>
      <c r="J5" s="67" t="s">
        <v>402</v>
      </c>
    </row>
    <row r="6" spans="2:10" ht="39.6">
      <c r="B6" s="78" t="s">
        <v>210</v>
      </c>
      <c r="C6" s="78" t="s">
        <v>403</v>
      </c>
      <c r="D6" s="195" t="s">
        <v>404</v>
      </c>
      <c r="E6" s="195"/>
      <c r="F6" s="195"/>
      <c r="G6" s="195"/>
      <c r="H6" s="195"/>
    </row>
    <row r="7" spans="2:10" ht="100.5" customHeight="1" thickBot="1">
      <c r="B7" s="79" t="s">
        <v>221</v>
      </c>
      <c r="C7" s="79" t="s">
        <v>405</v>
      </c>
      <c r="D7" s="196" t="s">
        <v>406</v>
      </c>
      <c r="E7" s="196"/>
      <c r="F7" s="196"/>
      <c r="G7" s="196"/>
      <c r="H7" s="196"/>
    </row>
    <row r="8" spans="2:10" ht="15.75" customHeight="1">
      <c r="B8" s="103" t="str">
        <f>SEC_Processes!D9</f>
        <v>ELE_EX_LIG</v>
      </c>
      <c r="C8" s="112" t="s">
        <v>37</v>
      </c>
      <c r="D8" s="113"/>
      <c r="E8" s="114">
        <v>101</v>
      </c>
      <c r="F8" s="115"/>
      <c r="G8" s="116"/>
      <c r="H8" s="116"/>
      <c r="I8" s="23"/>
    </row>
    <row r="9" spans="2:10" ht="15.75" customHeight="1">
      <c r="B9" t="str">
        <f>SEC_Processes!D10</f>
        <v>ELE_EX_GAS_CCGT</v>
      </c>
      <c r="C9" s="105" t="s">
        <v>37</v>
      </c>
      <c r="E9" s="104"/>
      <c r="F9" s="104">
        <v>57</v>
      </c>
      <c r="G9" s="65"/>
      <c r="H9" s="65"/>
      <c r="I9" s="23"/>
    </row>
    <row r="10" spans="2:10" ht="15.75" customHeight="1">
      <c r="B10" t="str">
        <f>SEC_Processes!D11</f>
        <v>ELE_EX_HC</v>
      </c>
      <c r="C10" s="106" t="s">
        <v>37</v>
      </c>
      <c r="D10" s="109">
        <v>94</v>
      </c>
      <c r="E10" s="110"/>
      <c r="F10" s="109"/>
      <c r="G10" s="111"/>
      <c r="H10" s="111"/>
      <c r="I10" s="23"/>
    </row>
    <row r="11" spans="2:10" ht="15.75" customHeight="1">
      <c r="B11" t="str">
        <f>SEC_Processes!D12</f>
        <v>ELE_EX_OIL</v>
      </c>
      <c r="C11" s="107" t="s">
        <v>37</v>
      </c>
      <c r="D11" s="104"/>
      <c r="E11" s="104"/>
      <c r="F11" s="104"/>
      <c r="G11" s="65">
        <v>100</v>
      </c>
      <c r="H11" s="65"/>
      <c r="I11" s="23"/>
    </row>
    <row r="12" spans="2:10" ht="15.75" customHeight="1">
      <c r="B12" s="117" t="str">
        <f>SEC_Processes!D18</f>
        <v>ELE_EX_OTH</v>
      </c>
      <c r="C12" s="118" t="s">
        <v>37</v>
      </c>
      <c r="D12" s="120"/>
      <c r="E12" s="120"/>
      <c r="F12" s="120"/>
      <c r="G12" s="120"/>
      <c r="H12" s="122">
        <v>100</v>
      </c>
      <c r="I12" s="23"/>
    </row>
    <row r="13" spans="2:10" ht="15.75" customHeight="1">
      <c r="B13" s="3"/>
      <c r="C13" s="119"/>
      <c r="D13" s="108"/>
      <c r="E13" s="7"/>
      <c r="F13" s="7"/>
      <c r="G13" s="38"/>
      <c r="H13" s="38"/>
      <c r="I13" s="23"/>
    </row>
    <row r="14" spans="2:10">
      <c r="I14" s="23"/>
    </row>
    <row r="15" spans="2:10">
      <c r="B15" s="23"/>
      <c r="I15" s="23"/>
    </row>
    <row r="16" spans="2:10">
      <c r="B16" s="23"/>
      <c r="I16" s="23"/>
    </row>
    <row r="17" spans="2:9">
      <c r="B17" s="23"/>
      <c r="I17" s="23"/>
    </row>
    <row r="18" spans="2:9">
      <c r="B18" s="23"/>
      <c r="I18" s="23"/>
    </row>
    <row r="19" spans="2:9">
      <c r="B19" s="23"/>
      <c r="I19" s="23"/>
    </row>
    <row r="20" spans="2:9">
      <c r="B20" s="23"/>
    </row>
    <row r="21" spans="2:9">
      <c r="B21" s="23"/>
    </row>
    <row r="22" spans="2:9">
      <c r="B22" s="23"/>
    </row>
    <row r="23" spans="2:9">
      <c r="B23" s="23"/>
    </row>
    <row r="24" spans="2:9">
      <c r="B24" s="23"/>
    </row>
    <row r="25" spans="2:9">
      <c r="B25" s="23"/>
    </row>
  </sheetData>
  <mergeCells count="2">
    <mergeCell ref="D6:H6"/>
    <mergeCell ref="D7:H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95645557-b925-4e14-b9c3-bb0dccab904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66354A-CB5F-43AF-957C-D12A2AEDB6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SEC_Comm</vt:lpstr>
      <vt:lpstr>SEC_Processes</vt:lpstr>
      <vt:lpstr>PP</vt:lpstr>
      <vt:lpstr>RES</vt:lpstr>
      <vt:lpstr>STG</vt:lpstr>
      <vt:lpstr>CHP</vt:lpstr>
      <vt:lpstr>T&amp;D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2025-01-14T10:14:59Z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