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theme/themeOverride8.xml" ContentType="application/vnd.openxmlformats-officedocument.themeOverrid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theme/themeOverride10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1.xml" ContentType="application/vnd.openxmlformats-officedocument.themeOverrid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2.xml" ContentType="application/vnd.openxmlformats-officedocument.themeOverride+xml"/>
  <Override PartName="/xl/charts/chart16.xml" ContentType="application/vnd.openxmlformats-officedocument.drawingml.chart+xml"/>
  <Override PartName="/xl/theme/themeOverride13.xml" ContentType="application/vnd.openxmlformats-officedocument.themeOverride+xml"/>
  <Override PartName="/xl/charts/chart1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4.xml" ContentType="application/vnd.openxmlformats-officedocument.themeOverride+xml"/>
  <Override PartName="/xl/charts/chart18.xml" ContentType="application/vnd.openxmlformats-officedocument.drawingml.chart+xml"/>
  <Override PartName="/xl/theme/themeOverride15.xml" ContentType="application/vnd.openxmlformats-officedocument.themeOverrid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NaumovVY\Documents\GitHub\GZ\ПКМ\"/>
    </mc:Choice>
  </mc:AlternateContent>
  <xr:revisionPtr revIDLastSave="0" documentId="13_ncr:1_{5CB8C043-1BDC-44A1-B162-E2BC0D4C317F}" xr6:coauthVersionLast="47" xr6:coauthVersionMax="47" xr10:uidLastSave="{00000000-0000-0000-0000-000000000000}"/>
  <bookViews>
    <workbookView xWindow="-110" yWindow="-110" windowWidth="25820" windowHeight="14020" activeTab="4" xr2:uid="{00000000-000D-0000-FFFF-FFFF00000000}"/>
  </bookViews>
  <sheets>
    <sheet name="10x15x4" sheetId="5" r:id="rId1"/>
    <sheet name="10x15x6" sheetId="4" r:id="rId2"/>
    <sheet name="10x15x8" sheetId="2" r:id="rId3"/>
    <sheet name="Без ПКМ" sheetId="3" r:id="rId4"/>
    <sheet name="Экономика" sheetId="6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calcPr calcId="181029" iterate="1" iterateCount="1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AZ3" i="5"/>
  <c r="AY3" i="5"/>
  <c r="BL15" i="5"/>
  <c r="W9" i="6" l="1"/>
  <c r="W11" i="6" s="1"/>
  <c r="AA19" i="6" s="1"/>
  <c r="J28" i="6"/>
  <c r="S3" i="4"/>
  <c r="BL10" i="2"/>
  <c r="BL23" i="2"/>
  <c r="BL22" i="2"/>
  <c r="BL21" i="2"/>
  <c r="BL20" i="2"/>
  <c r="BL19" i="2"/>
  <c r="BL18" i="2"/>
  <c r="BL17" i="2"/>
  <c r="BL16" i="2"/>
  <c r="BL15" i="2"/>
  <c r="BL24" i="2" s="1"/>
  <c r="BL24" i="4"/>
  <c r="BL23" i="4"/>
  <c r="BL22" i="4"/>
  <c r="BL21" i="4"/>
  <c r="BL20" i="4"/>
  <c r="BL19" i="4"/>
  <c r="BL18" i="4"/>
  <c r="BL17" i="4"/>
  <c r="BL16" i="4"/>
  <c r="L28" i="6"/>
  <c r="S23" i="2"/>
  <c r="R4" i="2"/>
  <c r="R6" i="4"/>
  <c r="R8" i="5"/>
  <c r="R11" i="5"/>
  <c r="R11" i="2"/>
  <c r="R3" i="2"/>
  <c r="R5" i="4"/>
  <c r="R7" i="5"/>
  <c r="R3" i="5"/>
  <c r="R10" i="2"/>
  <c r="S23" i="4"/>
  <c r="R4" i="4"/>
  <c r="R6" i="5"/>
  <c r="R8" i="4"/>
  <c r="R9" i="2"/>
  <c r="R11" i="4"/>
  <c r="R3" i="4"/>
  <c r="R5" i="5"/>
  <c r="R7" i="2"/>
  <c r="R8" i="2"/>
  <c r="R10" i="4"/>
  <c r="S23" i="5"/>
  <c r="R4" i="5"/>
  <c r="R9" i="4"/>
  <c r="R5" i="2"/>
  <c r="R7" i="4"/>
  <c r="R9" i="5"/>
  <c r="R6" i="2"/>
  <c r="R10" i="5"/>
  <c r="AB28" i="6" l="1"/>
  <c r="Z28" i="6"/>
  <c r="Z34" i="6"/>
  <c r="Z35" i="6"/>
  <c r="Z30" i="6"/>
  <c r="Z36" i="6"/>
  <c r="Z29" i="6"/>
  <c r="Z31" i="6"/>
  <c r="Z33" i="6"/>
  <c r="Z32" i="6"/>
  <c r="BL25" i="4"/>
  <c r="BL16" i="5"/>
  <c r="BL17" i="5"/>
  <c r="BL18" i="5"/>
  <c r="BL19" i="5"/>
  <c r="BL20" i="5"/>
  <c r="BL21" i="5"/>
  <c r="BL22" i="5"/>
  <c r="BL14" i="5"/>
  <c r="I29" i="6"/>
  <c r="J29" i="6"/>
  <c r="K29" i="6"/>
  <c r="L29" i="6"/>
  <c r="I30" i="6"/>
  <c r="J30" i="6"/>
  <c r="K30" i="6"/>
  <c r="L30" i="6"/>
  <c r="I31" i="6"/>
  <c r="J31" i="6"/>
  <c r="K31" i="6"/>
  <c r="L31" i="6"/>
  <c r="I32" i="6"/>
  <c r="J32" i="6"/>
  <c r="K32" i="6"/>
  <c r="L32" i="6"/>
  <c r="I33" i="6"/>
  <c r="J33" i="6"/>
  <c r="K33" i="6"/>
  <c r="L33" i="6"/>
  <c r="I34" i="6"/>
  <c r="J34" i="6"/>
  <c r="K34" i="6"/>
  <c r="L34" i="6"/>
  <c r="I35" i="6"/>
  <c r="J35" i="6"/>
  <c r="K35" i="6"/>
  <c r="L35" i="6"/>
  <c r="I36" i="6"/>
  <c r="J36" i="6"/>
  <c r="K36" i="6"/>
  <c r="L36" i="6"/>
  <c r="Z19" i="6"/>
  <c r="BL23" i="5" l="1"/>
  <c r="M11" i="3"/>
  <c r="M10" i="3"/>
  <c r="M9" i="3"/>
  <c r="M8" i="3"/>
  <c r="M7" i="3"/>
  <c r="M6" i="3"/>
  <c r="M5" i="3"/>
  <c r="M4" i="3"/>
  <c r="M3" i="3"/>
  <c r="G4" i="3"/>
  <c r="G5" i="3"/>
  <c r="G6" i="3"/>
  <c r="G7" i="3"/>
  <c r="G8" i="3"/>
  <c r="G9" i="3"/>
  <c r="G10" i="3"/>
  <c r="G11" i="3"/>
  <c r="I28" i="6"/>
  <c r="K28" i="6"/>
  <c r="G13" i="6" l="1"/>
  <c r="E27" i="6"/>
  <c r="F27" i="6"/>
  <c r="G27" i="6"/>
  <c r="D27" i="6"/>
  <c r="C27" i="6"/>
  <c r="B27" i="6"/>
  <c r="G21" i="6"/>
  <c r="H21" i="6" s="1"/>
  <c r="C21" i="6"/>
  <c r="C13" i="6"/>
  <c r="G8" i="6"/>
  <c r="H8" i="6" s="1"/>
  <c r="C8" i="6"/>
  <c r="D8" i="6" s="1"/>
  <c r="G7" i="6"/>
  <c r="G15" i="6" s="1"/>
  <c r="C7" i="6"/>
  <c r="C23" i="6" s="1"/>
  <c r="D23" i="6" s="1"/>
  <c r="G6" i="6"/>
  <c r="C6" i="6"/>
  <c r="H5" i="6"/>
  <c r="D5" i="6"/>
  <c r="C28" i="6" l="1"/>
  <c r="F36" i="6"/>
  <c r="C31" i="6"/>
  <c r="C30" i="6"/>
  <c r="F34" i="6"/>
  <c r="C29" i="6"/>
  <c r="F31" i="6"/>
  <c r="C36" i="6"/>
  <c r="G14" i="6"/>
  <c r="F33" i="6"/>
  <c r="C35" i="6"/>
  <c r="F30" i="6"/>
  <c r="C34" i="6"/>
  <c r="G16" i="6"/>
  <c r="H16" i="6" s="1"/>
  <c r="F35" i="6"/>
  <c r="C33" i="6"/>
  <c r="C14" i="6"/>
  <c r="F32" i="6"/>
  <c r="C32" i="6"/>
  <c r="F28" i="6"/>
  <c r="F29" i="6"/>
  <c r="G24" i="6"/>
  <c r="H24" i="6" s="1"/>
  <c r="H6" i="6"/>
  <c r="G22" i="6"/>
  <c r="C16" i="6"/>
  <c r="D16" i="6" s="1"/>
  <c r="G23" i="6"/>
  <c r="C22" i="6"/>
  <c r="C24" i="6"/>
  <c r="D24" i="6" s="1"/>
  <c r="D7" i="6"/>
  <c r="C15" i="6"/>
  <c r="D15" i="6" s="1"/>
  <c r="H7" i="6"/>
  <c r="D13" i="6"/>
  <c r="D6" i="6"/>
  <c r="H13" i="6"/>
  <c r="D21" i="6"/>
  <c r="E34" i="6" l="1"/>
  <c r="B28" i="6"/>
  <c r="G28" i="6"/>
  <c r="E33" i="6"/>
  <c r="D30" i="6"/>
  <c r="B34" i="6"/>
  <c r="E36" i="6"/>
  <c r="G35" i="6"/>
  <c r="G31" i="6"/>
  <c r="G29" i="6"/>
  <c r="G32" i="6"/>
  <c r="B36" i="6"/>
  <c r="D35" i="6"/>
  <c r="D33" i="6"/>
  <c r="B33" i="6"/>
  <c r="D34" i="6"/>
  <c r="B31" i="6"/>
  <c r="D36" i="6"/>
  <c r="E35" i="6"/>
  <c r="B30" i="6"/>
  <c r="E31" i="6"/>
  <c r="B29" i="6"/>
  <c r="D32" i="6"/>
  <c r="H22" i="6"/>
  <c r="G33" i="6"/>
  <c r="G36" i="6"/>
  <c r="D28" i="6"/>
  <c r="E32" i="6"/>
  <c r="E28" i="6"/>
  <c r="B35" i="6"/>
  <c r="G30" i="6"/>
  <c r="E29" i="6"/>
  <c r="E30" i="6"/>
  <c r="H3" i="6"/>
  <c r="D29" i="6"/>
  <c r="G34" i="6"/>
  <c r="D31" i="6"/>
  <c r="B32" i="6"/>
  <c r="H14" i="6"/>
  <c r="D3" i="6"/>
  <c r="H15" i="6"/>
  <c r="H23" i="6"/>
  <c r="H19" i="6" s="1"/>
  <c r="D22" i="6"/>
  <c r="D19" i="6" s="1"/>
  <c r="D14" i="6"/>
  <c r="D11" i="6" s="1"/>
  <c r="H11" i="6" l="1"/>
  <c r="AV11" i="5" l="1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C11" i="5"/>
  <c r="B11" i="5"/>
  <c r="AV10" i="5"/>
  <c r="AT10" i="5"/>
  <c r="AS10" i="5"/>
  <c r="AR10" i="5"/>
  <c r="AQ10" i="5"/>
  <c r="AP10" i="5"/>
  <c r="AO10" i="5"/>
  <c r="AN10" i="5"/>
  <c r="AM10" i="5"/>
  <c r="AL10" i="5"/>
  <c r="AK10" i="5"/>
  <c r="BA10" i="5" s="1"/>
  <c r="BJ10" i="5" s="1"/>
  <c r="AJ10" i="5"/>
  <c r="AI10" i="5"/>
  <c r="AH10" i="5"/>
  <c r="AG10" i="5"/>
  <c r="AF10" i="5"/>
  <c r="Q10" i="5"/>
  <c r="P10" i="5"/>
  <c r="O10" i="5"/>
  <c r="M10" i="5"/>
  <c r="L10" i="5"/>
  <c r="K10" i="5"/>
  <c r="J10" i="5"/>
  <c r="I10" i="5"/>
  <c r="H10" i="5"/>
  <c r="G10" i="5"/>
  <c r="F10" i="5"/>
  <c r="E10" i="5"/>
  <c r="D10" i="5"/>
  <c r="C10" i="5"/>
  <c r="B10" i="5"/>
  <c r="AV9" i="5"/>
  <c r="AT9" i="5"/>
  <c r="AS9" i="5"/>
  <c r="AR9" i="5"/>
  <c r="AQ9" i="5"/>
  <c r="AP9" i="5"/>
  <c r="AO9" i="5"/>
  <c r="AN9" i="5"/>
  <c r="AM9" i="5"/>
  <c r="AL9" i="5"/>
  <c r="AK9" i="5"/>
  <c r="BA9" i="5" s="1"/>
  <c r="BJ9" i="5" s="1"/>
  <c r="AJ9" i="5"/>
  <c r="AI9" i="5"/>
  <c r="AH9" i="5"/>
  <c r="AG9" i="5"/>
  <c r="AF9" i="5"/>
  <c r="Q9" i="5"/>
  <c r="P9" i="5"/>
  <c r="O9" i="5"/>
  <c r="M9" i="5"/>
  <c r="L9" i="5"/>
  <c r="K9" i="5"/>
  <c r="J9" i="5"/>
  <c r="I9" i="5"/>
  <c r="H9" i="5"/>
  <c r="G9" i="5"/>
  <c r="F9" i="5"/>
  <c r="E9" i="5"/>
  <c r="D9" i="5"/>
  <c r="C9" i="5"/>
  <c r="B9" i="5"/>
  <c r="AV8" i="5"/>
  <c r="AT8" i="5"/>
  <c r="AS8" i="5"/>
  <c r="AR8" i="5"/>
  <c r="AQ8" i="5"/>
  <c r="AP8" i="5"/>
  <c r="AO8" i="5"/>
  <c r="AN8" i="5"/>
  <c r="AM8" i="5"/>
  <c r="AL8" i="5"/>
  <c r="AK8" i="5"/>
  <c r="BA8" i="5" s="1"/>
  <c r="BJ8" i="5" s="1"/>
  <c r="AJ8" i="5"/>
  <c r="AI8" i="5"/>
  <c r="AH8" i="5"/>
  <c r="AG8" i="5"/>
  <c r="AF8" i="5"/>
  <c r="Q8" i="5"/>
  <c r="P8" i="5"/>
  <c r="O8" i="5"/>
  <c r="M8" i="5"/>
  <c r="L8" i="5"/>
  <c r="K8" i="5"/>
  <c r="J8" i="5"/>
  <c r="I8" i="5"/>
  <c r="H8" i="5"/>
  <c r="G8" i="5"/>
  <c r="F8" i="5"/>
  <c r="E8" i="5"/>
  <c r="D8" i="5"/>
  <c r="C8" i="5"/>
  <c r="B8" i="5"/>
  <c r="AV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BB7" i="5" s="1"/>
  <c r="AF7" i="5"/>
  <c r="Q7" i="5"/>
  <c r="P7" i="5"/>
  <c r="O7" i="5"/>
  <c r="M7" i="5"/>
  <c r="L7" i="5"/>
  <c r="K7" i="5"/>
  <c r="J7" i="5"/>
  <c r="I7" i="5"/>
  <c r="H7" i="5"/>
  <c r="G7" i="5"/>
  <c r="F7" i="5"/>
  <c r="E7" i="5"/>
  <c r="D7" i="5"/>
  <c r="C7" i="5"/>
  <c r="B7" i="5"/>
  <c r="AV6" i="5"/>
  <c r="AT6" i="5"/>
  <c r="AS6" i="5"/>
  <c r="AR6" i="5"/>
  <c r="AQ6" i="5"/>
  <c r="AP6" i="5"/>
  <c r="AO6" i="5"/>
  <c r="AN6" i="5"/>
  <c r="AM6" i="5"/>
  <c r="AL6" i="5"/>
  <c r="AK6" i="5"/>
  <c r="BA6" i="5" s="1"/>
  <c r="BJ6" i="5" s="1"/>
  <c r="AJ6" i="5"/>
  <c r="AI6" i="5"/>
  <c r="AH6" i="5"/>
  <c r="AG6" i="5"/>
  <c r="AF6" i="5"/>
  <c r="Q6" i="5"/>
  <c r="P6" i="5"/>
  <c r="O6" i="5"/>
  <c r="M6" i="5"/>
  <c r="L6" i="5"/>
  <c r="K6" i="5"/>
  <c r="J6" i="5"/>
  <c r="I6" i="5"/>
  <c r="H6" i="5"/>
  <c r="G6" i="5"/>
  <c r="F6" i="5"/>
  <c r="E6" i="5"/>
  <c r="D6" i="5"/>
  <c r="C6" i="5"/>
  <c r="B6" i="5"/>
  <c r="AV5" i="5"/>
  <c r="AT5" i="5"/>
  <c r="AS5" i="5"/>
  <c r="AR5" i="5"/>
  <c r="AQ5" i="5"/>
  <c r="AP5" i="5"/>
  <c r="AO5" i="5"/>
  <c r="AN5" i="5"/>
  <c r="AM5" i="5"/>
  <c r="AL5" i="5"/>
  <c r="AK5" i="5"/>
  <c r="BA5" i="5" s="1"/>
  <c r="BJ5" i="5" s="1"/>
  <c r="AJ5" i="5"/>
  <c r="AI5" i="5"/>
  <c r="AH5" i="5"/>
  <c r="AG5" i="5"/>
  <c r="BB5" i="5" s="1"/>
  <c r="AF5" i="5"/>
  <c r="Q5" i="5"/>
  <c r="P5" i="5"/>
  <c r="O5" i="5"/>
  <c r="M5" i="5"/>
  <c r="L5" i="5"/>
  <c r="K5" i="5"/>
  <c r="J5" i="5"/>
  <c r="I5" i="5"/>
  <c r="H5" i="5"/>
  <c r="G5" i="5"/>
  <c r="F5" i="5"/>
  <c r="E5" i="5"/>
  <c r="D5" i="5"/>
  <c r="C5" i="5"/>
  <c r="B5" i="5"/>
  <c r="AV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Q4" i="5"/>
  <c r="P4" i="5"/>
  <c r="O4" i="5"/>
  <c r="M4" i="5"/>
  <c r="L4" i="5"/>
  <c r="K4" i="5"/>
  <c r="J4" i="5"/>
  <c r="I4" i="5"/>
  <c r="H4" i="5"/>
  <c r="G4" i="5"/>
  <c r="F4" i="5"/>
  <c r="E4" i="5"/>
  <c r="D4" i="5"/>
  <c r="C4" i="5"/>
  <c r="B4" i="5"/>
  <c r="AV3" i="5"/>
  <c r="AT3" i="5"/>
  <c r="AS3" i="5"/>
  <c r="AR3" i="5"/>
  <c r="AQ3" i="5"/>
  <c r="AP3" i="5"/>
  <c r="AX3" i="5" s="1"/>
  <c r="AO3" i="5"/>
  <c r="AN3" i="5"/>
  <c r="AM3" i="5"/>
  <c r="AL3" i="5"/>
  <c r="AK3" i="5"/>
  <c r="AJ3" i="5"/>
  <c r="AI3" i="5"/>
  <c r="AH3" i="5"/>
  <c r="AG3" i="5"/>
  <c r="AF3" i="5"/>
  <c r="Q3" i="5"/>
  <c r="P3" i="5"/>
  <c r="O3" i="5"/>
  <c r="M3" i="5"/>
  <c r="L3" i="5"/>
  <c r="K3" i="5"/>
  <c r="J3" i="5"/>
  <c r="I3" i="5"/>
  <c r="H3" i="5"/>
  <c r="G3" i="5"/>
  <c r="F3" i="5"/>
  <c r="E3" i="5"/>
  <c r="D3" i="5"/>
  <c r="C3" i="5"/>
  <c r="B3" i="5"/>
  <c r="W3" i="5" s="1"/>
  <c r="R14" i="5"/>
  <c r="W4" i="5" s="1"/>
  <c r="AV11" i="4"/>
  <c r="AT11" i="4"/>
  <c r="AS11" i="4"/>
  <c r="AR11" i="4"/>
  <c r="AQ11" i="4"/>
  <c r="AP11" i="4"/>
  <c r="AO11" i="4"/>
  <c r="AN11" i="4"/>
  <c r="AM11" i="4"/>
  <c r="AL11" i="4"/>
  <c r="AK11" i="4"/>
  <c r="BA11" i="4" s="1"/>
  <c r="BJ11" i="4" s="1"/>
  <c r="AJ11" i="4"/>
  <c r="AI11" i="4"/>
  <c r="AH11" i="4"/>
  <c r="AG11" i="4"/>
  <c r="AF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C11" i="4"/>
  <c r="B11" i="4"/>
  <c r="AV10" i="4"/>
  <c r="AT10" i="4"/>
  <c r="AS10" i="4"/>
  <c r="AR10" i="4"/>
  <c r="AQ10" i="4"/>
  <c r="AP10" i="4"/>
  <c r="AO10" i="4"/>
  <c r="AN10" i="4"/>
  <c r="AM10" i="4"/>
  <c r="AL10" i="4"/>
  <c r="AK10" i="4"/>
  <c r="BA10" i="4" s="1"/>
  <c r="BJ10" i="4" s="1"/>
  <c r="AJ10" i="4"/>
  <c r="AI10" i="4"/>
  <c r="AH10" i="4"/>
  <c r="AG10" i="4"/>
  <c r="AF10" i="4"/>
  <c r="Q10" i="4"/>
  <c r="P10" i="4"/>
  <c r="O10" i="4"/>
  <c r="M10" i="4"/>
  <c r="L10" i="4"/>
  <c r="K10" i="4"/>
  <c r="N10" i="4" s="1"/>
  <c r="U10" i="4" s="1"/>
  <c r="J10" i="4"/>
  <c r="I10" i="4"/>
  <c r="H10" i="4"/>
  <c r="G10" i="4"/>
  <c r="F10" i="4"/>
  <c r="E10" i="4"/>
  <c r="D10" i="4"/>
  <c r="C10" i="4"/>
  <c r="B10" i="4"/>
  <c r="AV9" i="4"/>
  <c r="AT9" i="4"/>
  <c r="AS9" i="4"/>
  <c r="AR9" i="4"/>
  <c r="AQ9" i="4"/>
  <c r="AP9" i="4"/>
  <c r="AO9" i="4"/>
  <c r="AN9" i="4"/>
  <c r="AM9" i="4"/>
  <c r="AL9" i="4"/>
  <c r="AK9" i="4"/>
  <c r="BA9" i="4" s="1"/>
  <c r="BJ9" i="4" s="1"/>
  <c r="AJ9" i="4"/>
  <c r="AI9" i="4"/>
  <c r="AH9" i="4"/>
  <c r="AG9" i="4"/>
  <c r="BB9" i="4" s="1"/>
  <c r="AF9" i="4"/>
  <c r="Q9" i="4"/>
  <c r="P9" i="4"/>
  <c r="O9" i="4"/>
  <c r="M9" i="4"/>
  <c r="L9" i="4"/>
  <c r="K9" i="4"/>
  <c r="J9" i="4"/>
  <c r="I9" i="4"/>
  <c r="H9" i="4"/>
  <c r="G9" i="4"/>
  <c r="F9" i="4"/>
  <c r="E9" i="4"/>
  <c r="D9" i="4"/>
  <c r="C9" i="4"/>
  <c r="B9" i="4"/>
  <c r="AV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Q8" i="4"/>
  <c r="P8" i="4"/>
  <c r="O8" i="4"/>
  <c r="M8" i="4"/>
  <c r="L8" i="4"/>
  <c r="K8" i="4"/>
  <c r="J8" i="4"/>
  <c r="I8" i="4"/>
  <c r="H8" i="4"/>
  <c r="G8" i="4"/>
  <c r="F8" i="4"/>
  <c r="E8" i="4"/>
  <c r="D8" i="4"/>
  <c r="C8" i="4"/>
  <c r="B8" i="4"/>
  <c r="AV7" i="4"/>
  <c r="AT7" i="4"/>
  <c r="AS7" i="4"/>
  <c r="AR7" i="4"/>
  <c r="AQ7" i="4"/>
  <c r="AP7" i="4"/>
  <c r="AX7" i="4" s="1"/>
  <c r="AO7" i="4"/>
  <c r="AN7" i="4"/>
  <c r="AM7" i="4"/>
  <c r="AL7" i="4"/>
  <c r="AK7" i="4"/>
  <c r="AJ7" i="4"/>
  <c r="AI7" i="4"/>
  <c r="AH7" i="4"/>
  <c r="AG7" i="4"/>
  <c r="AF7" i="4"/>
  <c r="Q7" i="4"/>
  <c r="P7" i="4"/>
  <c r="O7" i="4"/>
  <c r="M7" i="4"/>
  <c r="L7" i="4"/>
  <c r="K7" i="4"/>
  <c r="J7" i="4"/>
  <c r="I7" i="4"/>
  <c r="H7" i="4"/>
  <c r="G7" i="4"/>
  <c r="F7" i="4"/>
  <c r="E7" i="4"/>
  <c r="D7" i="4"/>
  <c r="C7" i="4"/>
  <c r="B7" i="4"/>
  <c r="AV6" i="4"/>
  <c r="AT6" i="4"/>
  <c r="AS6" i="4"/>
  <c r="AR6" i="4"/>
  <c r="AQ6" i="4"/>
  <c r="AP6" i="4"/>
  <c r="AO6" i="4"/>
  <c r="AN6" i="4"/>
  <c r="AM6" i="4"/>
  <c r="AL6" i="4"/>
  <c r="AK6" i="4"/>
  <c r="BA6" i="4" s="1"/>
  <c r="BJ6" i="4" s="1"/>
  <c r="AJ6" i="4"/>
  <c r="AI6" i="4"/>
  <c r="AH6" i="4"/>
  <c r="AG6" i="4"/>
  <c r="BB6" i="4" s="1"/>
  <c r="AF6" i="4"/>
  <c r="Q6" i="4"/>
  <c r="P6" i="4"/>
  <c r="O6" i="4"/>
  <c r="M6" i="4"/>
  <c r="L6" i="4"/>
  <c r="K6" i="4"/>
  <c r="J6" i="4"/>
  <c r="I6" i="4"/>
  <c r="H6" i="4"/>
  <c r="G6" i="4"/>
  <c r="F6" i="4"/>
  <c r="E6" i="4"/>
  <c r="D6" i="4"/>
  <c r="C6" i="4"/>
  <c r="B6" i="4"/>
  <c r="AV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Q5" i="4"/>
  <c r="P5" i="4"/>
  <c r="O5" i="4"/>
  <c r="M5" i="4"/>
  <c r="L5" i="4"/>
  <c r="K5" i="4"/>
  <c r="J5" i="4"/>
  <c r="I5" i="4"/>
  <c r="H5" i="4"/>
  <c r="G5" i="4"/>
  <c r="F5" i="4"/>
  <c r="E5" i="4"/>
  <c r="D5" i="4"/>
  <c r="C5" i="4"/>
  <c r="B5" i="4"/>
  <c r="AV4" i="4"/>
  <c r="AT4" i="4"/>
  <c r="AS4" i="4"/>
  <c r="AR4" i="4"/>
  <c r="AQ4" i="4"/>
  <c r="AX4" i="4" s="1"/>
  <c r="AP4" i="4"/>
  <c r="AO4" i="4"/>
  <c r="AN4" i="4"/>
  <c r="AM4" i="4"/>
  <c r="AL4" i="4"/>
  <c r="AK4" i="4"/>
  <c r="AJ4" i="4"/>
  <c r="AI4" i="4"/>
  <c r="AH4" i="4"/>
  <c r="AG4" i="4"/>
  <c r="AF4" i="4"/>
  <c r="Q4" i="4"/>
  <c r="P4" i="4"/>
  <c r="O4" i="4"/>
  <c r="M4" i="4"/>
  <c r="L4" i="4"/>
  <c r="K4" i="4"/>
  <c r="J4" i="4"/>
  <c r="I4" i="4"/>
  <c r="H4" i="4"/>
  <c r="G4" i="4"/>
  <c r="F4" i="4"/>
  <c r="E4" i="4"/>
  <c r="D4" i="4"/>
  <c r="C4" i="4"/>
  <c r="B4" i="4"/>
  <c r="AV3" i="4"/>
  <c r="AT3" i="4"/>
  <c r="AS3" i="4"/>
  <c r="AR3" i="4"/>
  <c r="AQ3" i="4"/>
  <c r="AP3" i="4"/>
  <c r="AO3" i="4"/>
  <c r="AN3" i="4"/>
  <c r="AM3" i="4"/>
  <c r="AL3" i="4"/>
  <c r="AK3" i="4"/>
  <c r="BA3" i="4" s="1"/>
  <c r="BJ3" i="4" s="1"/>
  <c r="AJ3" i="4"/>
  <c r="AI3" i="4"/>
  <c r="AH3" i="4"/>
  <c r="AG3" i="4"/>
  <c r="AF3" i="4"/>
  <c r="Q3" i="4"/>
  <c r="P3" i="4"/>
  <c r="O3" i="4"/>
  <c r="M3" i="4"/>
  <c r="L3" i="4"/>
  <c r="K3" i="4"/>
  <c r="J3" i="4"/>
  <c r="I3" i="4"/>
  <c r="H3" i="4"/>
  <c r="G3" i="4"/>
  <c r="F3" i="4"/>
  <c r="E3" i="4"/>
  <c r="D3" i="4"/>
  <c r="C3" i="4"/>
  <c r="B3" i="4"/>
  <c r="R14" i="4"/>
  <c r="W5" i="4"/>
  <c r="J4" i="3"/>
  <c r="J5" i="3"/>
  <c r="J6" i="3"/>
  <c r="J7" i="3"/>
  <c r="J8" i="3"/>
  <c r="J9" i="3"/>
  <c r="J10" i="3"/>
  <c r="J11" i="3"/>
  <c r="J3" i="3"/>
  <c r="O3" i="3" s="1"/>
  <c r="D4" i="3"/>
  <c r="D5" i="3"/>
  <c r="D6" i="3"/>
  <c r="D7" i="3"/>
  <c r="D8" i="3"/>
  <c r="D9" i="3"/>
  <c r="D10" i="3"/>
  <c r="D11" i="3"/>
  <c r="D3" i="3"/>
  <c r="O10" i="3" l="1"/>
  <c r="BA8" i="4"/>
  <c r="BJ8" i="4" s="1"/>
  <c r="O9" i="3"/>
  <c r="BA7" i="4"/>
  <c r="BJ7" i="4" s="1"/>
  <c r="BA7" i="5"/>
  <c r="BJ7" i="5" s="1"/>
  <c r="O8" i="3"/>
  <c r="O7" i="3"/>
  <c r="AW5" i="4"/>
  <c r="BA5" i="4"/>
  <c r="BJ5" i="4" s="1"/>
  <c r="O6" i="3"/>
  <c r="BA4" i="4"/>
  <c r="BJ4" i="4" s="1"/>
  <c r="BA4" i="5"/>
  <c r="BJ4" i="5" s="1"/>
  <c r="O5" i="3"/>
  <c r="O12" i="3" s="1"/>
  <c r="BA3" i="5"/>
  <c r="BJ3" i="5" s="1"/>
  <c r="AW3" i="5"/>
  <c r="BA11" i="5"/>
  <c r="BJ11" i="5" s="1"/>
  <c r="O4" i="3"/>
  <c r="O11" i="3"/>
  <c r="AU5" i="5"/>
  <c r="BB10" i="5"/>
  <c r="BB4" i="4"/>
  <c r="BG4" i="4" s="1"/>
  <c r="AX9" i="5"/>
  <c r="AX5" i="4"/>
  <c r="AU11" i="5"/>
  <c r="AX8" i="5"/>
  <c r="AX5" i="5"/>
  <c r="BF5" i="5" s="1"/>
  <c r="AU9" i="4"/>
  <c r="AZ9" i="4" s="1"/>
  <c r="AX7" i="5"/>
  <c r="BG7" i="5" s="1"/>
  <c r="AX6" i="4"/>
  <c r="W3" i="4"/>
  <c r="V3" i="4"/>
  <c r="N3" i="5"/>
  <c r="U3" i="5" s="1"/>
  <c r="S4" i="5"/>
  <c r="V10" i="4"/>
  <c r="AX10" i="4"/>
  <c r="AX6" i="5"/>
  <c r="AU9" i="5"/>
  <c r="AZ9" i="5" s="1"/>
  <c r="V3" i="5"/>
  <c r="AD5" i="4"/>
  <c r="AE5" i="4" s="1"/>
  <c r="R30" i="6" s="1"/>
  <c r="W9" i="4"/>
  <c r="N4" i="4"/>
  <c r="U4" i="4" s="1"/>
  <c r="BK7" i="4"/>
  <c r="T32" i="6" s="1"/>
  <c r="AU6" i="4"/>
  <c r="AZ6" i="4" s="1"/>
  <c r="AX3" i="4"/>
  <c r="BF3" i="4" s="1"/>
  <c r="AU5" i="4"/>
  <c r="AZ5" i="4" s="1"/>
  <c r="V11" i="4"/>
  <c r="N5" i="4"/>
  <c r="AU7" i="4"/>
  <c r="AX11" i="4"/>
  <c r="BB3" i="4"/>
  <c r="BB11" i="4"/>
  <c r="AD4" i="4"/>
  <c r="AE4" i="4" s="1"/>
  <c r="R29" i="6" s="1"/>
  <c r="W8" i="4"/>
  <c r="V9" i="4"/>
  <c r="W6" i="4"/>
  <c r="V7" i="4"/>
  <c r="AX4" i="5"/>
  <c r="AD7" i="5"/>
  <c r="AE7" i="5" s="1"/>
  <c r="N32" i="6" s="1"/>
  <c r="BK7" i="5"/>
  <c r="P32" i="6" s="1"/>
  <c r="W10" i="5"/>
  <c r="V11" i="5"/>
  <c r="AZ11" i="5"/>
  <c r="V10" i="5"/>
  <c r="AX10" i="5"/>
  <c r="BK8" i="5"/>
  <c r="P33" i="6" s="1"/>
  <c r="AD3" i="4"/>
  <c r="AE3" i="4" s="1"/>
  <c r="R28" i="6" s="1"/>
  <c r="AU3" i="4"/>
  <c r="AZ3" i="4" s="1"/>
  <c r="AU4" i="4"/>
  <c r="AZ4" i="4" s="1"/>
  <c r="BL4" i="4" s="1"/>
  <c r="AW6" i="4"/>
  <c r="AY6" i="4" s="1"/>
  <c r="S31" i="6" s="1"/>
  <c r="W7" i="4"/>
  <c r="BB7" i="4"/>
  <c r="V8" i="4"/>
  <c r="N8" i="4"/>
  <c r="U8" i="4" s="1"/>
  <c r="BB8" i="4"/>
  <c r="AX8" i="4"/>
  <c r="BG8" i="4" s="1"/>
  <c r="AX9" i="4"/>
  <c r="BF9" i="4" s="1"/>
  <c r="AU10" i="4"/>
  <c r="AZ10" i="4" s="1"/>
  <c r="BL10" i="4" s="1"/>
  <c r="AD11" i="4"/>
  <c r="AE11" i="4" s="1"/>
  <c r="R36" i="6" s="1"/>
  <c r="AU11" i="4"/>
  <c r="AZ11" i="4" s="1"/>
  <c r="AD10" i="4"/>
  <c r="AE10" i="4" s="1"/>
  <c r="R35" i="6" s="1"/>
  <c r="BK4" i="4"/>
  <c r="T29" i="6" s="1"/>
  <c r="V6" i="4"/>
  <c r="AD9" i="4"/>
  <c r="AE9" i="4" s="1"/>
  <c r="R34" i="6" s="1"/>
  <c r="W4" i="4"/>
  <c r="V5" i="4"/>
  <c r="AD8" i="4"/>
  <c r="AE8" i="4" s="1"/>
  <c r="R33" i="6" s="1"/>
  <c r="AU8" i="4"/>
  <c r="AZ8" i="4" s="1"/>
  <c r="T10" i="4"/>
  <c r="V4" i="4"/>
  <c r="AD7" i="4"/>
  <c r="AE7" i="4" s="1"/>
  <c r="R32" i="6" s="1"/>
  <c r="W11" i="4"/>
  <c r="AD6" i="4"/>
  <c r="AE6" i="4" s="1"/>
  <c r="R31" i="6" s="1"/>
  <c r="W10" i="4"/>
  <c r="W8" i="5"/>
  <c r="T6" i="5"/>
  <c r="M31" i="6" s="1"/>
  <c r="AD6" i="5"/>
  <c r="AE6" i="5" s="1"/>
  <c r="N31" i="6" s="1"/>
  <c r="AU7" i="5"/>
  <c r="AZ7" i="5" s="1"/>
  <c r="T8" i="5"/>
  <c r="M33" i="6" s="1"/>
  <c r="AD5" i="5"/>
  <c r="AE5" i="5" s="1"/>
  <c r="N30" i="6" s="1"/>
  <c r="W9" i="5"/>
  <c r="BB9" i="5"/>
  <c r="BG9" i="5" s="1"/>
  <c r="BK10" i="5"/>
  <c r="P35" i="6" s="1"/>
  <c r="AD4" i="5"/>
  <c r="AE4" i="5" s="1"/>
  <c r="N29" i="6" s="1"/>
  <c r="AD3" i="5"/>
  <c r="AE3" i="5" s="1"/>
  <c r="N28" i="6" s="1"/>
  <c r="AU3" i="5"/>
  <c r="AU4" i="5"/>
  <c r="AZ4" i="5" s="1"/>
  <c r="W7" i="5"/>
  <c r="V8" i="5"/>
  <c r="T11" i="5"/>
  <c r="M36" i="6" s="1"/>
  <c r="AD11" i="5"/>
  <c r="AE11" i="5" s="1"/>
  <c r="N36" i="6" s="1"/>
  <c r="AD10" i="5"/>
  <c r="AE10" i="5" s="1"/>
  <c r="N35" i="6" s="1"/>
  <c r="N4" i="5"/>
  <c r="U4" i="5" s="1"/>
  <c r="BL4" i="5" s="1"/>
  <c r="W5" i="5"/>
  <c r="T5" i="5"/>
  <c r="M30" i="6" s="1"/>
  <c r="N6" i="5"/>
  <c r="AU8" i="5"/>
  <c r="AZ8" i="5" s="1"/>
  <c r="AD9" i="5"/>
  <c r="AE9" i="5" s="1"/>
  <c r="N34" i="6" s="1"/>
  <c r="AU6" i="5"/>
  <c r="AZ6" i="5" s="1"/>
  <c r="BB4" i="5"/>
  <c r="AD8" i="5"/>
  <c r="AE8" i="5" s="1"/>
  <c r="N33" i="6" s="1"/>
  <c r="V9" i="5"/>
  <c r="W6" i="5"/>
  <c r="W11" i="5"/>
  <c r="V7" i="5"/>
  <c r="V6" i="5"/>
  <c r="T9" i="5"/>
  <c r="M34" i="6" s="1"/>
  <c r="AU10" i="5"/>
  <c r="AZ10" i="5" s="1"/>
  <c r="V5" i="5"/>
  <c r="V4" i="5"/>
  <c r="T3" i="5"/>
  <c r="M28" i="6" s="1"/>
  <c r="AW3" i="4"/>
  <c r="T4" i="4"/>
  <c r="U5" i="4"/>
  <c r="AZ7" i="4"/>
  <c r="T9" i="4"/>
  <c r="Q34" i="6" s="1"/>
  <c r="AW11" i="4"/>
  <c r="BC11" i="4" s="1"/>
  <c r="BK3" i="5"/>
  <c r="P28" i="6" s="1"/>
  <c r="BK4" i="5"/>
  <c r="P29" i="6" s="1"/>
  <c r="AZ5" i="5"/>
  <c r="BK6" i="5"/>
  <c r="P31" i="6" s="1"/>
  <c r="T7" i="5"/>
  <c r="AW7" i="5"/>
  <c r="BK9" i="5"/>
  <c r="P34" i="6" s="1"/>
  <c r="T10" i="5"/>
  <c r="M35" i="6" s="1"/>
  <c r="AW10" i="5"/>
  <c r="N11" i="5"/>
  <c r="U11" i="5" s="1"/>
  <c r="AX11" i="5"/>
  <c r="BK10" i="4"/>
  <c r="T35" i="6" s="1"/>
  <c r="N3" i="4"/>
  <c r="U3" i="4" s="1"/>
  <c r="N11" i="4"/>
  <c r="U11" i="4" s="1"/>
  <c r="BL11" i="4" s="1"/>
  <c r="N8" i="5"/>
  <c r="U8" i="5" s="1"/>
  <c r="AC8" i="5" s="1"/>
  <c r="AW7" i="4"/>
  <c r="N9" i="4"/>
  <c r="U9" i="4" s="1"/>
  <c r="BB6" i="5"/>
  <c r="BF6" i="5" s="1"/>
  <c r="N7" i="5"/>
  <c r="U7" i="5" s="1"/>
  <c r="BK5" i="4"/>
  <c r="T30" i="6" s="1"/>
  <c r="T6" i="4"/>
  <c r="Q31" i="6" s="1"/>
  <c r="N7" i="4"/>
  <c r="U7" i="4" s="1"/>
  <c r="N5" i="5"/>
  <c r="U5" i="5" s="1"/>
  <c r="AW4" i="4"/>
  <c r="T5" i="4"/>
  <c r="Q30" i="6" s="1"/>
  <c r="BB5" i="4"/>
  <c r="BG5" i="4" s="1"/>
  <c r="N6" i="4"/>
  <c r="U6" i="4" s="1"/>
  <c r="BL6" i="4" s="1"/>
  <c r="BB3" i="5"/>
  <c r="BB11" i="5"/>
  <c r="BF11" i="5" s="1"/>
  <c r="AW11" i="5"/>
  <c r="AY11" i="5" s="1"/>
  <c r="O36" i="6" s="1"/>
  <c r="T3" i="4"/>
  <c r="Q28" i="6" s="1"/>
  <c r="AW10" i="4"/>
  <c r="BC10" i="4" s="1"/>
  <c r="T11" i="4"/>
  <c r="Q36" i="6" s="1"/>
  <c r="N10" i="5"/>
  <c r="U10" i="5" s="1"/>
  <c r="AW9" i="4"/>
  <c r="BB8" i="5"/>
  <c r="BF8" i="5" s="1"/>
  <c r="AW8" i="5"/>
  <c r="N9" i="5"/>
  <c r="U9" i="5" s="1"/>
  <c r="AC9" i="5" s="1"/>
  <c r="BK8" i="4"/>
  <c r="T33" i="6" s="1"/>
  <c r="AW8" i="4"/>
  <c r="T8" i="4"/>
  <c r="Q33" i="6" s="1"/>
  <c r="AW4" i="5"/>
  <c r="BD4" i="5" s="1"/>
  <c r="AW6" i="5"/>
  <c r="BD6" i="5" s="1"/>
  <c r="T7" i="4"/>
  <c r="Q32" i="6" s="1"/>
  <c r="O28" i="6"/>
  <c r="T4" i="5"/>
  <c r="AW5" i="5"/>
  <c r="S3" i="5"/>
  <c r="S11" i="5"/>
  <c r="S8" i="5"/>
  <c r="AA8" i="5" s="1"/>
  <c r="S5" i="5"/>
  <c r="Y5" i="5" s="1"/>
  <c r="S10" i="5"/>
  <c r="S6" i="5"/>
  <c r="S7" i="5"/>
  <c r="S9" i="5"/>
  <c r="BG5" i="5"/>
  <c r="BG8" i="5"/>
  <c r="X3" i="5"/>
  <c r="BM3" i="5"/>
  <c r="BM7" i="5"/>
  <c r="BM6" i="5"/>
  <c r="BM8" i="5"/>
  <c r="BC11" i="5"/>
  <c r="BF3" i="5"/>
  <c r="BG3" i="5"/>
  <c r="AW9" i="5"/>
  <c r="BK9" i="4"/>
  <c r="T34" i="6" s="1"/>
  <c r="S6" i="4"/>
  <c r="AA6" i="4" s="1"/>
  <c r="S8" i="4"/>
  <c r="S5" i="4"/>
  <c r="S10" i="4"/>
  <c r="S11" i="4"/>
  <c r="S7" i="4"/>
  <c r="S4" i="4"/>
  <c r="S9" i="4"/>
  <c r="AY5" i="4"/>
  <c r="S30" i="6" s="1"/>
  <c r="AY10" i="4"/>
  <c r="S35" i="6" s="1"/>
  <c r="BD10" i="4"/>
  <c r="BM8" i="4"/>
  <c r="BG7" i="4"/>
  <c r="BF7" i="4"/>
  <c r="BG3" i="4"/>
  <c r="BG6" i="4"/>
  <c r="BF6" i="4"/>
  <c r="BK6" i="4"/>
  <c r="T31" i="6" s="1"/>
  <c r="BK11" i="4"/>
  <c r="T36" i="6" s="1"/>
  <c r="BK3" i="4"/>
  <c r="T28" i="6" s="1"/>
  <c r="X9" i="4"/>
  <c r="BB10" i="4"/>
  <c r="R14" i="2"/>
  <c r="B3" i="2"/>
  <c r="B4" i="2"/>
  <c r="B5" i="2"/>
  <c r="B6" i="2"/>
  <c r="B7" i="2"/>
  <c r="B8" i="2"/>
  <c r="B9" i="2"/>
  <c r="B10" i="2"/>
  <c r="B11" i="2"/>
  <c r="AV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Q3" i="2"/>
  <c r="P3" i="2"/>
  <c r="O3" i="2"/>
  <c r="M3" i="2"/>
  <c r="L3" i="2"/>
  <c r="K3" i="2"/>
  <c r="J3" i="2"/>
  <c r="I3" i="2"/>
  <c r="H3" i="2"/>
  <c r="G3" i="2"/>
  <c r="F3" i="2"/>
  <c r="E3" i="2"/>
  <c r="D3" i="2"/>
  <c r="C3" i="2"/>
  <c r="AV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Q4" i="2"/>
  <c r="P4" i="2"/>
  <c r="O4" i="2"/>
  <c r="M4" i="2"/>
  <c r="L4" i="2"/>
  <c r="K4" i="2"/>
  <c r="J4" i="2"/>
  <c r="I4" i="2"/>
  <c r="H4" i="2"/>
  <c r="G4" i="2"/>
  <c r="F4" i="2"/>
  <c r="E4" i="2"/>
  <c r="D4" i="2"/>
  <c r="C4" i="2"/>
  <c r="AV5" i="2"/>
  <c r="AT5" i="2"/>
  <c r="AS5" i="2"/>
  <c r="AR5" i="2"/>
  <c r="AQ5" i="2"/>
  <c r="AP5" i="2"/>
  <c r="AO5" i="2"/>
  <c r="AN5" i="2"/>
  <c r="AM5" i="2"/>
  <c r="AL5" i="2"/>
  <c r="AK5" i="2"/>
  <c r="BA5" i="2" s="1"/>
  <c r="BJ5" i="2" s="1"/>
  <c r="AJ5" i="2"/>
  <c r="AI5" i="2"/>
  <c r="AH5" i="2"/>
  <c r="AG5" i="2"/>
  <c r="AF5" i="2"/>
  <c r="Q5" i="2"/>
  <c r="P5" i="2"/>
  <c r="O5" i="2"/>
  <c r="M5" i="2"/>
  <c r="L5" i="2"/>
  <c r="K5" i="2"/>
  <c r="J5" i="2"/>
  <c r="I5" i="2"/>
  <c r="H5" i="2"/>
  <c r="G5" i="2"/>
  <c r="F5" i="2"/>
  <c r="E5" i="2"/>
  <c r="D5" i="2"/>
  <c r="C5" i="2"/>
  <c r="AV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Q6" i="2"/>
  <c r="P6" i="2"/>
  <c r="O6" i="2"/>
  <c r="M6" i="2"/>
  <c r="L6" i="2"/>
  <c r="K6" i="2"/>
  <c r="J6" i="2"/>
  <c r="I6" i="2"/>
  <c r="H6" i="2"/>
  <c r="G6" i="2"/>
  <c r="F6" i="2"/>
  <c r="E6" i="2"/>
  <c r="D6" i="2"/>
  <c r="C6" i="2"/>
  <c r="AV7" i="2"/>
  <c r="AT7" i="2"/>
  <c r="AS7" i="2"/>
  <c r="AR7" i="2"/>
  <c r="AQ7" i="2"/>
  <c r="AP7" i="2"/>
  <c r="AO7" i="2"/>
  <c r="AN7" i="2"/>
  <c r="AM7" i="2"/>
  <c r="AL7" i="2"/>
  <c r="AK7" i="2"/>
  <c r="BA7" i="2" s="1"/>
  <c r="BJ7" i="2" s="1"/>
  <c r="AJ7" i="2"/>
  <c r="AI7" i="2"/>
  <c r="AH7" i="2"/>
  <c r="AG7" i="2"/>
  <c r="AF7" i="2"/>
  <c r="Q7" i="2"/>
  <c r="P7" i="2"/>
  <c r="O7" i="2"/>
  <c r="M7" i="2"/>
  <c r="L7" i="2"/>
  <c r="K7" i="2"/>
  <c r="J7" i="2"/>
  <c r="I7" i="2"/>
  <c r="H7" i="2"/>
  <c r="G7" i="2"/>
  <c r="F7" i="2"/>
  <c r="E7" i="2"/>
  <c r="D7" i="2"/>
  <c r="C7" i="2"/>
  <c r="AV8" i="2"/>
  <c r="AT8" i="2"/>
  <c r="AS8" i="2"/>
  <c r="AR8" i="2"/>
  <c r="AQ8" i="2"/>
  <c r="AP8" i="2"/>
  <c r="AO8" i="2"/>
  <c r="AN8" i="2"/>
  <c r="AM8" i="2"/>
  <c r="AL8" i="2"/>
  <c r="AK8" i="2"/>
  <c r="BA8" i="2" s="1"/>
  <c r="BJ8" i="2" s="1"/>
  <c r="AJ8" i="2"/>
  <c r="AI8" i="2"/>
  <c r="AH8" i="2"/>
  <c r="AG8" i="2"/>
  <c r="AF8" i="2"/>
  <c r="Q8" i="2"/>
  <c r="P8" i="2"/>
  <c r="O8" i="2"/>
  <c r="M8" i="2"/>
  <c r="L8" i="2"/>
  <c r="K8" i="2"/>
  <c r="J8" i="2"/>
  <c r="I8" i="2"/>
  <c r="H8" i="2"/>
  <c r="G8" i="2"/>
  <c r="F8" i="2"/>
  <c r="E8" i="2"/>
  <c r="D8" i="2"/>
  <c r="C8" i="2"/>
  <c r="V8" i="2" s="1"/>
  <c r="AV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Q9" i="2"/>
  <c r="P9" i="2"/>
  <c r="O9" i="2"/>
  <c r="M9" i="2"/>
  <c r="L9" i="2"/>
  <c r="K9" i="2"/>
  <c r="J9" i="2"/>
  <c r="I9" i="2"/>
  <c r="H9" i="2"/>
  <c r="G9" i="2"/>
  <c r="F9" i="2"/>
  <c r="E9" i="2"/>
  <c r="D9" i="2"/>
  <c r="C9" i="2"/>
  <c r="AV10" i="2"/>
  <c r="AT10" i="2"/>
  <c r="AS10" i="2"/>
  <c r="AR10" i="2"/>
  <c r="AQ10" i="2"/>
  <c r="AP10" i="2"/>
  <c r="AO10" i="2"/>
  <c r="AN10" i="2"/>
  <c r="AM10" i="2"/>
  <c r="AL10" i="2"/>
  <c r="AK10" i="2"/>
  <c r="BA10" i="2" s="1"/>
  <c r="BJ10" i="2" s="1"/>
  <c r="AJ10" i="2"/>
  <c r="AI10" i="2"/>
  <c r="AH10" i="2"/>
  <c r="AG10" i="2"/>
  <c r="AF10" i="2"/>
  <c r="Q10" i="2"/>
  <c r="P10" i="2"/>
  <c r="O10" i="2"/>
  <c r="M10" i="2"/>
  <c r="L10" i="2"/>
  <c r="K10" i="2"/>
  <c r="J10" i="2"/>
  <c r="I10" i="2"/>
  <c r="H10" i="2"/>
  <c r="G10" i="2"/>
  <c r="F10" i="2"/>
  <c r="E10" i="2"/>
  <c r="D10" i="2"/>
  <c r="C10" i="2"/>
  <c r="AV11" i="2"/>
  <c r="O11" i="2"/>
  <c r="P11" i="2"/>
  <c r="AT11" i="2"/>
  <c r="AS11" i="2"/>
  <c r="AR11" i="2"/>
  <c r="AJ11" i="2"/>
  <c r="AQ11" i="2"/>
  <c r="AP11" i="2"/>
  <c r="AO11" i="2"/>
  <c r="AN11" i="2"/>
  <c r="AM11" i="2"/>
  <c r="AL11" i="2"/>
  <c r="AK11" i="2"/>
  <c r="BA11" i="2" s="1"/>
  <c r="BJ11" i="2" s="1"/>
  <c r="AI11" i="2"/>
  <c r="AH11" i="2"/>
  <c r="AG11" i="2"/>
  <c r="AF11" i="2"/>
  <c r="M11" i="2"/>
  <c r="L11" i="2"/>
  <c r="K11" i="2"/>
  <c r="E11" i="2"/>
  <c r="J11" i="2"/>
  <c r="I11" i="2"/>
  <c r="H11" i="2"/>
  <c r="G11" i="2"/>
  <c r="F11" i="2"/>
  <c r="D11" i="2"/>
  <c r="Q11" i="2"/>
  <c r="C11" i="2"/>
  <c r="BA3" i="2" l="1"/>
  <c r="BJ3" i="2" s="1"/>
  <c r="AW3" i="2"/>
  <c r="AA3" i="4"/>
  <c r="Y3" i="4"/>
  <c r="BL10" i="5"/>
  <c r="BA4" i="2"/>
  <c r="BJ4" i="2" s="1"/>
  <c r="M29" i="6"/>
  <c r="Y4" i="5"/>
  <c r="AC7" i="4"/>
  <c r="BC3" i="5"/>
  <c r="BD3" i="5"/>
  <c r="M32" i="6"/>
  <c r="Z7" i="5"/>
  <c r="BL5" i="4"/>
  <c r="BA9" i="2"/>
  <c r="BJ9" i="2" s="1"/>
  <c r="AC4" i="4"/>
  <c r="Q29" i="6"/>
  <c r="BL9" i="4"/>
  <c r="BA6" i="2"/>
  <c r="BJ6" i="2" s="1"/>
  <c r="BL7" i="5"/>
  <c r="BF11" i="4"/>
  <c r="AB10" i="4"/>
  <c r="Q35" i="6"/>
  <c r="AG35" i="6"/>
  <c r="AI35" i="6"/>
  <c r="AF35" i="6"/>
  <c r="AH35" i="6"/>
  <c r="AE35" i="6"/>
  <c r="AF30" i="6"/>
  <c r="AH30" i="6"/>
  <c r="AE30" i="6"/>
  <c r="AI30" i="6"/>
  <c r="AG30" i="6"/>
  <c r="AG31" i="6"/>
  <c r="AH31" i="6"/>
  <c r="AF31" i="6"/>
  <c r="AE31" i="6"/>
  <c r="AI31" i="6"/>
  <c r="BG11" i="5"/>
  <c r="BE5" i="5"/>
  <c r="BF10" i="5"/>
  <c r="AC11" i="5"/>
  <c r="AB7" i="5"/>
  <c r="BF4" i="5"/>
  <c r="AD28" i="6"/>
  <c r="AC28" i="6"/>
  <c r="AA28" i="6"/>
  <c r="BG9" i="4"/>
  <c r="BC4" i="4"/>
  <c r="AC5" i="5"/>
  <c r="BG10" i="5"/>
  <c r="AY10" i="5"/>
  <c r="O35" i="6" s="1"/>
  <c r="BF9" i="5"/>
  <c r="X7" i="5"/>
  <c r="AA9" i="5"/>
  <c r="BL11" i="5"/>
  <c r="BD5" i="4"/>
  <c r="BM10" i="4"/>
  <c r="AB5" i="5"/>
  <c r="AY4" i="5"/>
  <c r="O29" i="6" s="1"/>
  <c r="BE7" i="5"/>
  <c r="BG6" i="5"/>
  <c r="AY3" i="4"/>
  <c r="S28" i="6" s="1"/>
  <c r="AE28" i="6" s="1"/>
  <c r="BM3" i="4"/>
  <c r="BM5" i="4"/>
  <c r="BD7" i="5"/>
  <c r="BM5" i="5"/>
  <c r="AA7" i="5"/>
  <c r="BC6" i="4"/>
  <c r="BF4" i="4"/>
  <c r="AC10" i="4"/>
  <c r="BF7" i="5"/>
  <c r="BC10" i="5"/>
  <c r="BE4" i="5"/>
  <c r="BG4" i="5"/>
  <c r="AA5" i="5"/>
  <c r="BC5" i="4"/>
  <c r="AB11" i="5"/>
  <c r="BD7" i="4"/>
  <c r="BE3" i="5"/>
  <c r="AY7" i="5"/>
  <c r="O32" i="6" s="1"/>
  <c r="AB32" i="6" s="1"/>
  <c r="BF5" i="4"/>
  <c r="AA9" i="4"/>
  <c r="BC7" i="5"/>
  <c r="BE8" i="5"/>
  <c r="BB3" i="2"/>
  <c r="Y4" i="4"/>
  <c r="AY5" i="5"/>
  <c r="O30" i="6" s="1"/>
  <c r="AA30" i="6" s="1"/>
  <c r="AC9" i="4"/>
  <c r="AB4" i="5"/>
  <c r="X10" i="4"/>
  <c r="BM6" i="4"/>
  <c r="BD8" i="5"/>
  <c r="BM4" i="4"/>
  <c r="AY6" i="5"/>
  <c r="O31" i="6" s="1"/>
  <c r="AD31" i="6" s="1"/>
  <c r="AC7" i="5"/>
  <c r="BG11" i="4"/>
  <c r="AA3" i="5"/>
  <c r="BE10" i="4"/>
  <c r="AY8" i="5"/>
  <c r="O33" i="6" s="1"/>
  <c r="AD33" i="6" s="1"/>
  <c r="BC4" i="5"/>
  <c r="AA11" i="5"/>
  <c r="BG10" i="4"/>
  <c r="BC5" i="5"/>
  <c r="BC8" i="5"/>
  <c r="Y3" i="5"/>
  <c r="BE8" i="4"/>
  <c r="AB4" i="4"/>
  <c r="BM11" i="5"/>
  <c r="AD10" i="2"/>
  <c r="AE10" i="2" s="1"/>
  <c r="V35" i="6" s="1"/>
  <c r="AD6" i="2"/>
  <c r="AE6" i="2" s="1"/>
  <c r="V31" i="6" s="1"/>
  <c r="AY4" i="4"/>
  <c r="S29" i="6" s="1"/>
  <c r="AI29" i="6" s="1"/>
  <c r="X4" i="4"/>
  <c r="AA5" i="4"/>
  <c r="X11" i="5"/>
  <c r="BK3" i="2"/>
  <c r="X28" i="6" s="1"/>
  <c r="BL3" i="5"/>
  <c r="BM9" i="4"/>
  <c r="Z10" i="4"/>
  <c r="AB9" i="4"/>
  <c r="BM9" i="5"/>
  <c r="AA10" i="5"/>
  <c r="BE11" i="5"/>
  <c r="BK11" i="5"/>
  <c r="P36" i="6" s="1"/>
  <c r="BD10" i="5"/>
  <c r="BC6" i="5"/>
  <c r="BE6" i="5"/>
  <c r="Y6" i="5"/>
  <c r="X6" i="5"/>
  <c r="BD5" i="5"/>
  <c r="BK5" i="5"/>
  <c r="P30" i="6" s="1"/>
  <c r="AC3" i="5"/>
  <c r="BE10" i="5"/>
  <c r="Z9" i="4"/>
  <c r="AB7" i="4"/>
  <c r="Y7" i="4"/>
  <c r="AA11" i="4"/>
  <c r="AA4" i="4"/>
  <c r="BC7" i="4"/>
  <c r="BE9" i="4"/>
  <c r="AB3" i="4"/>
  <c r="BL7" i="4"/>
  <c r="BE7" i="4"/>
  <c r="BM7" i="4"/>
  <c r="BF8" i="4"/>
  <c r="AY7" i="4"/>
  <c r="S32" i="6" s="1"/>
  <c r="AF32" i="6" s="1"/>
  <c r="X7" i="4"/>
  <c r="BC3" i="4"/>
  <c r="BL5" i="5"/>
  <c r="X9" i="5"/>
  <c r="BL9" i="5"/>
  <c r="AB3" i="5"/>
  <c r="U6" i="5"/>
  <c r="X5" i="5"/>
  <c r="AB10" i="5"/>
  <c r="Y9" i="5"/>
  <c r="BM10" i="5"/>
  <c r="AC10" i="5"/>
  <c r="AB9" i="5"/>
  <c r="Z5" i="5"/>
  <c r="Y9" i="4"/>
  <c r="BL3" i="4"/>
  <c r="BE5" i="4"/>
  <c r="BE4" i="4"/>
  <c r="BE6" i="4"/>
  <c r="AB6" i="4"/>
  <c r="BE3" i="4"/>
  <c r="AY9" i="4"/>
  <c r="S34" i="6" s="1"/>
  <c r="AI34" i="6" s="1"/>
  <c r="BK8" i="2"/>
  <c r="X33" i="6" s="1"/>
  <c r="AD11" i="2"/>
  <c r="AE11" i="2" s="1"/>
  <c r="V36" i="6" s="1"/>
  <c r="AD7" i="2"/>
  <c r="AE7" i="2" s="1"/>
  <c r="V32" i="6" s="1"/>
  <c r="AD3" i="2"/>
  <c r="AE3" i="2" s="1"/>
  <c r="V28" i="6" s="1"/>
  <c r="AD8" i="2"/>
  <c r="AE8" i="2" s="1"/>
  <c r="V33" i="6" s="1"/>
  <c r="AD4" i="2"/>
  <c r="AE4" i="2" s="1"/>
  <c r="V29" i="6" s="1"/>
  <c r="AD9" i="2"/>
  <c r="AE9" i="2" s="1"/>
  <c r="V34" i="6" s="1"/>
  <c r="AD5" i="2"/>
  <c r="AE5" i="2" s="1"/>
  <c r="V30" i="6" s="1"/>
  <c r="BD4" i="4"/>
  <c r="AC3" i="4"/>
  <c r="AC8" i="4"/>
  <c r="BC9" i="4"/>
  <c r="BD9" i="4"/>
  <c r="X3" i="4"/>
  <c r="AC4" i="5"/>
  <c r="Y11" i="5"/>
  <c r="Z11" i="5"/>
  <c r="X8" i="4"/>
  <c r="AB8" i="5"/>
  <c r="AA10" i="4"/>
  <c r="AY11" i="4"/>
  <c r="BE11" i="4"/>
  <c r="Y10" i="4"/>
  <c r="Z8" i="4"/>
  <c r="AB8" i="4"/>
  <c r="X11" i="4"/>
  <c r="Z5" i="4"/>
  <c r="Z4" i="4"/>
  <c r="BL8" i="5"/>
  <c r="Y7" i="5"/>
  <c r="Z10" i="5"/>
  <c r="X6" i="4"/>
  <c r="Y8" i="5"/>
  <c r="AC6" i="4"/>
  <c r="BM4" i="5"/>
  <c r="Z8" i="5"/>
  <c r="Z6" i="4"/>
  <c r="Y6" i="4"/>
  <c r="X4" i="5"/>
  <c r="X8" i="5"/>
  <c r="X10" i="5"/>
  <c r="AA6" i="5"/>
  <c r="Z6" i="5"/>
  <c r="AC11" i="4"/>
  <c r="Z7" i="4"/>
  <c r="AB5" i="4"/>
  <c r="AY8" i="4"/>
  <c r="S33" i="6" s="1"/>
  <c r="AH33" i="6" s="1"/>
  <c r="AA7" i="4"/>
  <c r="X5" i="4"/>
  <c r="AC5" i="4"/>
  <c r="BC8" i="4"/>
  <c r="Y11" i="4"/>
  <c r="BB5" i="2"/>
  <c r="BD8" i="4"/>
  <c r="Z11" i="4"/>
  <c r="BL8" i="4"/>
  <c r="AB11" i="4"/>
  <c r="BM11" i="4"/>
  <c r="Y5" i="4"/>
  <c r="Z9" i="5"/>
  <c r="Z3" i="5"/>
  <c r="BN10" i="5"/>
  <c r="BD11" i="5"/>
  <c r="BI4" i="5"/>
  <c r="BH4" i="5"/>
  <c r="BN4" i="5"/>
  <c r="BH6" i="5"/>
  <c r="BN6" i="5"/>
  <c r="AA4" i="5"/>
  <c r="Z4" i="5"/>
  <c r="BN3" i="5"/>
  <c r="BI3" i="5"/>
  <c r="BH3" i="5"/>
  <c r="Y10" i="5"/>
  <c r="BN5" i="5"/>
  <c r="BI5" i="5"/>
  <c r="BH5" i="5"/>
  <c r="BI7" i="5"/>
  <c r="BH7" i="5"/>
  <c r="AY9" i="5"/>
  <c r="O34" i="6" s="1"/>
  <c r="AA34" i="6" s="1"/>
  <c r="BE9" i="5"/>
  <c r="BD9" i="5"/>
  <c r="BC9" i="5"/>
  <c r="BN11" i="5"/>
  <c r="BI11" i="5"/>
  <c r="BH11" i="5"/>
  <c r="AA8" i="4"/>
  <c r="Y8" i="4"/>
  <c r="BD11" i="4"/>
  <c r="BI4" i="4"/>
  <c r="BI10" i="4"/>
  <c r="BH10" i="4"/>
  <c r="BN10" i="4"/>
  <c r="BF10" i="4"/>
  <c r="BN5" i="4"/>
  <c r="BI5" i="4"/>
  <c r="BH5" i="4"/>
  <c r="Z3" i="4"/>
  <c r="BH9" i="4"/>
  <c r="BI3" i="4"/>
  <c r="BH3" i="4"/>
  <c r="BN3" i="4"/>
  <c r="BD6" i="4"/>
  <c r="BD3" i="4"/>
  <c r="BN6" i="4"/>
  <c r="BI6" i="4"/>
  <c r="BH6" i="4"/>
  <c r="BB9" i="2"/>
  <c r="W8" i="2"/>
  <c r="BB7" i="2"/>
  <c r="BK4" i="2"/>
  <c r="X29" i="6" s="1"/>
  <c r="BB8" i="2"/>
  <c r="BB4" i="2"/>
  <c r="BB11" i="2"/>
  <c r="BB10" i="2"/>
  <c r="BB6" i="2"/>
  <c r="BK9" i="2"/>
  <c r="X34" i="6" s="1"/>
  <c r="BK5" i="2"/>
  <c r="X30" i="6" s="1"/>
  <c r="BK11" i="2"/>
  <c r="X36" i="6" s="1"/>
  <c r="BK10" i="2"/>
  <c r="X35" i="6" s="1"/>
  <c r="BK6" i="2"/>
  <c r="X31" i="6" s="1"/>
  <c r="BK7" i="2"/>
  <c r="X32" i="6" s="1"/>
  <c r="W6" i="2"/>
  <c r="V9" i="2"/>
  <c r="V5" i="2"/>
  <c r="W5" i="2"/>
  <c r="V4" i="2"/>
  <c r="W7" i="2"/>
  <c r="W4" i="2"/>
  <c r="V10" i="2"/>
  <c r="V6" i="2"/>
  <c r="W11" i="2"/>
  <c r="V11" i="2"/>
  <c r="V7" i="2"/>
  <c r="N5" i="2"/>
  <c r="U5" i="2" s="1"/>
  <c r="AU4" i="2"/>
  <c r="AZ4" i="2" s="1"/>
  <c r="W3" i="2"/>
  <c r="W9" i="2"/>
  <c r="W10" i="2"/>
  <c r="AU9" i="2"/>
  <c r="AZ9" i="2" s="1"/>
  <c r="N6" i="2"/>
  <c r="U6" i="2" s="1"/>
  <c r="AX5" i="2"/>
  <c r="N4" i="2"/>
  <c r="U4" i="2" s="1"/>
  <c r="V3" i="2"/>
  <c r="N10" i="2"/>
  <c r="U10" i="2" s="1"/>
  <c r="AX6" i="2"/>
  <c r="AU5" i="2"/>
  <c r="AZ5" i="2" s="1"/>
  <c r="N9" i="2"/>
  <c r="U9" i="2" s="1"/>
  <c r="AX9" i="2"/>
  <c r="T10" i="2"/>
  <c r="U35" i="6" s="1"/>
  <c r="AX8" i="2"/>
  <c r="AU10" i="2"/>
  <c r="AZ10" i="2" s="1"/>
  <c r="AX7" i="2"/>
  <c r="AX3" i="2"/>
  <c r="AX4" i="2"/>
  <c r="AW6" i="2"/>
  <c r="AU3" i="2"/>
  <c r="AZ3" i="2" s="1"/>
  <c r="AU8" i="2"/>
  <c r="AZ8" i="2" s="1"/>
  <c r="AW9" i="2"/>
  <c r="T8" i="2"/>
  <c r="U33" i="6" s="1"/>
  <c r="T7" i="2"/>
  <c r="U32" i="6" s="1"/>
  <c r="AW4" i="2"/>
  <c r="T3" i="2"/>
  <c r="U28" i="6" s="1"/>
  <c r="AX10" i="2"/>
  <c r="AW8" i="2"/>
  <c r="T9" i="2"/>
  <c r="U34" i="6" s="1"/>
  <c r="T6" i="2"/>
  <c r="U31" i="6" s="1"/>
  <c r="N3" i="2"/>
  <c r="U3" i="2" s="1"/>
  <c r="N7" i="2"/>
  <c r="U7" i="2" s="1"/>
  <c r="AU6" i="2"/>
  <c r="AZ6" i="2" s="1"/>
  <c r="T5" i="2"/>
  <c r="U30" i="6" s="1"/>
  <c r="N8" i="2"/>
  <c r="U8" i="2" s="1"/>
  <c r="AW5" i="2"/>
  <c r="T4" i="2"/>
  <c r="U29" i="6" s="1"/>
  <c r="AW10" i="2"/>
  <c r="AW7" i="2"/>
  <c r="AU7" i="2"/>
  <c r="AZ7" i="2" s="1"/>
  <c r="S9" i="2"/>
  <c r="S8" i="2"/>
  <c r="S3" i="2"/>
  <c r="S4" i="2"/>
  <c r="S10" i="2"/>
  <c r="S7" i="2"/>
  <c r="S5" i="2"/>
  <c r="S6" i="2"/>
  <c r="S11" i="2"/>
  <c r="AG28" i="6" l="1"/>
  <c r="AG33" i="6"/>
  <c r="AH29" i="6"/>
  <c r="AC35" i="6"/>
  <c r="AI28" i="6"/>
  <c r="AE33" i="6"/>
  <c r="AF29" i="6"/>
  <c r="BH11" i="4"/>
  <c r="S36" i="6"/>
  <c r="AB33" i="6"/>
  <c r="AF28" i="6"/>
  <c r="AI32" i="6"/>
  <c r="AE29" i="6"/>
  <c r="AH28" i="6"/>
  <c r="AE32" i="6"/>
  <c r="AG29" i="6"/>
  <c r="AG34" i="6"/>
  <c r="AA29" i="6"/>
  <c r="AG32" i="6"/>
  <c r="AH34" i="6"/>
  <c r="AI33" i="6"/>
  <c r="AH32" i="6"/>
  <c r="AE34" i="6"/>
  <c r="AB34" i="6"/>
  <c r="AF33" i="6"/>
  <c r="AF34" i="6"/>
  <c r="AA32" i="6"/>
  <c r="AC32" i="6"/>
  <c r="AA31" i="6"/>
  <c r="AA35" i="6"/>
  <c r="AD35" i="6"/>
  <c r="AC30" i="6"/>
  <c r="AD36" i="6"/>
  <c r="AA36" i="6"/>
  <c r="AC36" i="6"/>
  <c r="AD30" i="6"/>
  <c r="AD32" i="6"/>
  <c r="AB35" i="6"/>
  <c r="AB30" i="6"/>
  <c r="AC29" i="6"/>
  <c r="AD29" i="6"/>
  <c r="AC34" i="6"/>
  <c r="AC31" i="6"/>
  <c r="AA33" i="6"/>
  <c r="AB29" i="6"/>
  <c r="AD34" i="6"/>
  <c r="AB31" i="6"/>
  <c r="AC33" i="6"/>
  <c r="AB36" i="6"/>
  <c r="BN9" i="4"/>
  <c r="BH10" i="5"/>
  <c r="BI11" i="4"/>
  <c r="BI10" i="5"/>
  <c r="BN7" i="5"/>
  <c r="BI6" i="5"/>
  <c r="BN8" i="4"/>
  <c r="BN11" i="4"/>
  <c r="BI7" i="4"/>
  <c r="BN7" i="4"/>
  <c r="BN4" i="4"/>
  <c r="BH7" i="4"/>
  <c r="AB9" i="2"/>
  <c r="BI9" i="4"/>
  <c r="BH4" i="4"/>
  <c r="BH8" i="5"/>
  <c r="BI8" i="5"/>
  <c r="BN8" i="5"/>
  <c r="AB6" i="5"/>
  <c r="BL6" i="5"/>
  <c r="AC6" i="5"/>
  <c r="BH8" i="4"/>
  <c r="BI8" i="4"/>
  <c r="AB8" i="2"/>
  <c r="AA3" i="2"/>
  <c r="BH9" i="5"/>
  <c r="BI9" i="5"/>
  <c r="BN9" i="5"/>
  <c r="BM6" i="2"/>
  <c r="AB6" i="2"/>
  <c r="BM10" i="2"/>
  <c r="AB10" i="2"/>
  <c r="AB5" i="2"/>
  <c r="AB3" i="2"/>
  <c r="AB4" i="2"/>
  <c r="AB7" i="2"/>
  <c r="AA7" i="2"/>
  <c r="AA8" i="2"/>
  <c r="BC3" i="2"/>
  <c r="BD3" i="2"/>
  <c r="BE3" i="2"/>
  <c r="BC5" i="2"/>
  <c r="BE5" i="2"/>
  <c r="BD5" i="2"/>
  <c r="BC8" i="2"/>
  <c r="BE8" i="2"/>
  <c r="BD8" i="2"/>
  <c r="BF9" i="2"/>
  <c r="BG9" i="2"/>
  <c r="AA9" i="2"/>
  <c r="BG10" i="2"/>
  <c r="BF10" i="2"/>
  <c r="BC6" i="2"/>
  <c r="BE6" i="2"/>
  <c r="BD6" i="2"/>
  <c r="BG4" i="2"/>
  <c r="BF4" i="2"/>
  <c r="BG3" i="2"/>
  <c r="BF3" i="2"/>
  <c r="BG6" i="2"/>
  <c r="BF6" i="2"/>
  <c r="BE4" i="2"/>
  <c r="BD4" i="2"/>
  <c r="BG7" i="2"/>
  <c r="BF7" i="2"/>
  <c r="AA10" i="2"/>
  <c r="BC7" i="2"/>
  <c r="BE7" i="2"/>
  <c r="BD7" i="2"/>
  <c r="BC10" i="2"/>
  <c r="BE10" i="2"/>
  <c r="BD10" i="2"/>
  <c r="BG8" i="2"/>
  <c r="BF8" i="2"/>
  <c r="BE9" i="2"/>
  <c r="BD9" i="2"/>
  <c r="BG5" i="2"/>
  <c r="BF5" i="2"/>
  <c r="AA11" i="2"/>
  <c r="AA4" i="2"/>
  <c r="Z4" i="2"/>
  <c r="BC4" i="2"/>
  <c r="BC9" i="2"/>
  <c r="AC9" i="2"/>
  <c r="AC5" i="2"/>
  <c r="Y5" i="2"/>
  <c r="AC7" i="2"/>
  <c r="AY5" i="2"/>
  <c r="W30" i="6" s="1"/>
  <c r="AK30" i="6" s="1"/>
  <c r="AC6" i="2"/>
  <c r="Z7" i="2"/>
  <c r="AC3" i="2"/>
  <c r="Z8" i="2"/>
  <c r="AC10" i="2"/>
  <c r="AY3" i="2"/>
  <c r="W28" i="6" s="1"/>
  <c r="AN28" i="6" s="1"/>
  <c r="X3" i="2"/>
  <c r="Z3" i="2"/>
  <c r="Z10" i="2"/>
  <c r="X10" i="2"/>
  <c r="BM5" i="2"/>
  <c r="Z5" i="2"/>
  <c r="AC8" i="2"/>
  <c r="AC4" i="2"/>
  <c r="Z6" i="2"/>
  <c r="Y6" i="2"/>
  <c r="X9" i="2"/>
  <c r="Z9" i="2"/>
  <c r="AA5" i="2"/>
  <c r="X5" i="2"/>
  <c r="BL9" i="2"/>
  <c r="BL3" i="2"/>
  <c r="BM7" i="2"/>
  <c r="X7" i="2"/>
  <c r="AA6" i="2"/>
  <c r="X4" i="2"/>
  <c r="X6" i="2"/>
  <c r="BM8" i="2"/>
  <c r="X8" i="2"/>
  <c r="BL4" i="2"/>
  <c r="BL6" i="2"/>
  <c r="AY6" i="2"/>
  <c r="W31" i="6" s="1"/>
  <c r="AM31" i="6" s="1"/>
  <c r="BL8" i="2"/>
  <c r="BL5" i="2"/>
  <c r="AY10" i="2"/>
  <c r="W35" i="6" s="1"/>
  <c r="AJ35" i="6" s="1"/>
  <c r="AY9" i="2"/>
  <c r="W34" i="6" s="1"/>
  <c r="AN34" i="6" s="1"/>
  <c r="BM3" i="2"/>
  <c r="Y10" i="2"/>
  <c r="Y7" i="2"/>
  <c r="AY8" i="2"/>
  <c r="W33" i="6" s="1"/>
  <c r="AN33" i="6" s="1"/>
  <c r="BL7" i="2"/>
  <c r="AY7" i="2"/>
  <c r="W32" i="6" s="1"/>
  <c r="AN32" i="6" s="1"/>
  <c r="AY4" i="2"/>
  <c r="W29" i="6" s="1"/>
  <c r="AK29" i="6" s="1"/>
  <c r="Y3" i="2"/>
  <c r="BM4" i="2"/>
  <c r="Y4" i="2"/>
  <c r="BM9" i="2"/>
  <c r="Y8" i="2"/>
  <c r="Y9" i="2"/>
  <c r="AU11" i="2"/>
  <c r="AZ11" i="2" s="1"/>
  <c r="N11" i="2"/>
  <c r="U11" i="2" s="1"/>
  <c r="AW11" i="2"/>
  <c r="AX11" i="2"/>
  <c r="AM34" i="6" l="1"/>
  <c r="AK33" i="6"/>
  <c r="AM35" i="6"/>
  <c r="AK31" i="6"/>
  <c r="AL29" i="6"/>
  <c r="AM28" i="6"/>
  <c r="AJ34" i="6"/>
  <c r="AL33" i="6"/>
  <c r="AK35" i="6"/>
  <c r="AL31" i="6"/>
  <c r="AL28" i="6"/>
  <c r="AK34" i="6"/>
  <c r="AM33" i="6"/>
  <c r="AJ32" i="6"/>
  <c r="AJ31" i="6"/>
  <c r="AK28" i="6"/>
  <c r="AM30" i="6"/>
  <c r="AJ33" i="6"/>
  <c r="AM32" i="6"/>
  <c r="AN31" i="6"/>
  <c r="AJ28" i="6"/>
  <c r="AN30" i="6"/>
  <c r="AL32" i="6"/>
  <c r="AN29" i="6"/>
  <c r="AJ30" i="6"/>
  <c r="AL35" i="6"/>
  <c r="AK32" i="6"/>
  <c r="AM29" i="6"/>
  <c r="AL34" i="6"/>
  <c r="AL30" i="6"/>
  <c r="AN35" i="6"/>
  <c r="AJ29" i="6"/>
  <c r="AI36" i="6"/>
  <c r="AF36" i="6"/>
  <c r="AG36" i="6"/>
  <c r="AE36" i="6"/>
  <c r="AH36" i="6"/>
  <c r="BH7" i="2"/>
  <c r="BI7" i="2"/>
  <c r="BH8" i="2"/>
  <c r="BI8" i="2"/>
  <c r="BN5" i="2"/>
  <c r="BI5" i="2"/>
  <c r="BH5" i="2"/>
  <c r="BI9" i="2"/>
  <c r="BH9" i="2"/>
  <c r="BI6" i="2"/>
  <c r="BH6" i="2"/>
  <c r="BI3" i="2"/>
  <c r="BH3" i="2"/>
  <c r="BI4" i="2"/>
  <c r="BH4" i="2"/>
  <c r="BH10" i="2"/>
  <c r="BI10" i="2"/>
  <c r="BC11" i="2"/>
  <c r="BE11" i="2"/>
  <c r="BD11" i="2"/>
  <c r="BF11" i="2"/>
  <c r="BG11" i="2"/>
  <c r="BN8" i="2"/>
  <c r="BN6" i="2"/>
  <c r="BN4" i="2"/>
  <c r="BN9" i="2"/>
  <c r="BN3" i="2"/>
  <c r="BN7" i="2"/>
  <c r="BN10" i="2"/>
  <c r="BL11" i="2"/>
  <c r="AY11" i="2"/>
  <c r="W36" i="6" s="1"/>
  <c r="BI11" i="2" l="1"/>
  <c r="BH11" i="2"/>
  <c r="BN11" i="2"/>
  <c r="T11" i="2"/>
  <c r="U36" i="6" s="1"/>
  <c r="AM36" i="6" l="1"/>
  <c r="AJ36" i="6"/>
  <c r="AN36" i="6"/>
  <c r="AK36" i="6"/>
  <c r="AL36" i="6"/>
  <c r="AB11" i="2"/>
  <c r="Z11" i="2"/>
  <c r="AC11" i="2"/>
  <c r="X11" i="2"/>
  <c r="Y11" i="2"/>
  <c r="BM11" i="2"/>
</calcChain>
</file>

<file path=xl/sharedStrings.xml><?xml version="1.0" encoding="utf-8"?>
<sst xmlns="http://schemas.openxmlformats.org/spreadsheetml/2006/main" count="365" uniqueCount="107">
  <si>
    <t>T air</t>
  </si>
  <si>
    <t>n_GTU</t>
  </si>
  <si>
    <t>GTU</t>
  </si>
  <si>
    <t>Turbine</t>
  </si>
  <si>
    <t>KN</t>
  </si>
  <si>
    <t>DK</t>
  </si>
  <si>
    <t>PEN</t>
  </si>
  <si>
    <t>Заряд</t>
  </si>
  <si>
    <t>Разряд</t>
  </si>
  <si>
    <t>SGgtu_comp</t>
  </si>
  <si>
    <t>SGgtu_turb</t>
  </si>
  <si>
    <t>КПД эд</t>
  </si>
  <si>
    <t>КПД мех</t>
  </si>
  <si>
    <t>КПД эг</t>
  </si>
  <si>
    <t>N ПГУ заряд</t>
  </si>
  <si>
    <t>N ПГУ разряд</t>
  </si>
  <si>
    <t>N пиковой ГТУ</t>
  </si>
  <si>
    <t>Q теплофик</t>
  </si>
  <si>
    <t>Q СП1</t>
  </si>
  <si>
    <t>Q СП2</t>
  </si>
  <si>
    <t>Q от ПКМ</t>
  </si>
  <si>
    <t>Q ГВТО</t>
  </si>
  <si>
    <t>N разряд сумм</t>
  </si>
  <si>
    <t>dQ теплофик</t>
  </si>
  <si>
    <t>Gsg mGTU</t>
  </si>
  <si>
    <t>Gsg sgGTU</t>
  </si>
  <si>
    <t>Qnr sg</t>
  </si>
  <si>
    <t>KPD GTU</t>
  </si>
  <si>
    <t>Qnr CH4</t>
  </si>
  <si>
    <t>КПД</t>
  </si>
  <si>
    <t>N</t>
  </si>
  <si>
    <t>Минимум нагрузки</t>
  </si>
  <si>
    <t>Номинальная нагрузка</t>
  </si>
  <si>
    <t>dN зарядка</t>
  </si>
  <si>
    <t>dN разрядка</t>
  </si>
  <si>
    <t>Q турбины</t>
  </si>
  <si>
    <t>Q ОД</t>
  </si>
  <si>
    <t>Qпп</t>
  </si>
  <si>
    <t>G газ ПКМ</t>
  </si>
  <si>
    <t>dH газ ПКМ</t>
  </si>
  <si>
    <t>Состав уходящих газов ПКМ</t>
  </si>
  <si>
    <t>N2</t>
  </si>
  <si>
    <t>O2</t>
  </si>
  <si>
    <t>CO2</t>
  </si>
  <si>
    <t>H2O</t>
  </si>
  <si>
    <t>Ar</t>
  </si>
  <si>
    <t>Температура конца</t>
  </si>
  <si>
    <t>Влажность</t>
  </si>
  <si>
    <t>Q газ ПКМ</t>
  </si>
  <si>
    <t>КПД ПГУ простой</t>
  </si>
  <si>
    <t>КПД ПГУ физ метод</t>
  </si>
  <si>
    <t>КИТТ</t>
  </si>
  <si>
    <t>КИТТ ПГУ</t>
  </si>
  <si>
    <t>МДж/кг</t>
  </si>
  <si>
    <t>Теплота сгорания метана (нр)</t>
  </si>
  <si>
    <t>КПД ПКМ физ метод</t>
  </si>
  <si>
    <t>G CH4 ref comb</t>
  </si>
  <si>
    <t>G CH4 ref ПКМ</t>
  </si>
  <si>
    <t>Q ПКМ гор</t>
  </si>
  <si>
    <t>Q ПКМ риф</t>
  </si>
  <si>
    <t>КИТТ всей установки</t>
  </si>
  <si>
    <t>Q пик ГТУ</t>
  </si>
  <si>
    <t>Q осн ГТУ</t>
  </si>
  <si>
    <t>КПД пик ГТУ физ метод</t>
  </si>
  <si>
    <t>КИТТ пик ГТУ</t>
  </si>
  <si>
    <t>Номинальный режим</t>
  </si>
  <si>
    <t xml:space="preserve">Зарядка </t>
  </si>
  <si>
    <t>Разрядка</t>
  </si>
  <si>
    <t>КПД всей установки физ метод</t>
  </si>
  <si>
    <t>x</t>
  </si>
  <si>
    <t>y</t>
  </si>
  <si>
    <t>База</t>
  </si>
  <si>
    <t>Максимум</t>
  </si>
  <si>
    <t>Минимум</t>
  </si>
  <si>
    <t>Снизу</t>
  </si>
  <si>
    <t>Сверху</t>
  </si>
  <si>
    <t>сверху</t>
  </si>
  <si>
    <t>среднее</t>
  </si>
  <si>
    <t>снизу</t>
  </si>
  <si>
    <t>Температура</t>
  </si>
  <si>
    <t>10x15x4</t>
  </si>
  <si>
    <t>Базовый вариант</t>
  </si>
  <si>
    <t>Мощность</t>
  </si>
  <si>
    <t>Расход топлива</t>
  </si>
  <si>
    <t>10x15x6</t>
  </si>
  <si>
    <t>10x15x8</t>
  </si>
  <si>
    <t>Расход теплоты</t>
  </si>
  <si>
    <t>Расход метана на всю установку</t>
  </si>
  <si>
    <t>Расход природного газа на всю установку</t>
  </si>
  <si>
    <t>мин заряжаемся</t>
  </si>
  <si>
    <t>макс разряжаемся</t>
  </si>
  <si>
    <t>КПД ГТУ</t>
  </si>
  <si>
    <t>N ГТУ</t>
  </si>
  <si>
    <t>B</t>
  </si>
  <si>
    <t>макс</t>
  </si>
  <si>
    <t>мин</t>
  </si>
  <si>
    <t>ниж</t>
  </si>
  <si>
    <t>верх</t>
  </si>
  <si>
    <t>сред</t>
  </si>
  <si>
    <t>5303 руб./1000  m3</t>
  </si>
  <si>
    <t xml:space="preserve">34,7 МДж/м3 </t>
  </si>
  <si>
    <t>руб/мдж</t>
  </si>
  <si>
    <t>Цена топлива, руб/кг</t>
  </si>
  <si>
    <t>Время зар/раз, ч</t>
  </si>
  <si>
    <t>СХЕМА</t>
  </si>
  <si>
    <t>№</t>
  </si>
  <si>
    <t>Мдж/кг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</si>
</sst>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quotePrefix="1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0" xfId="0" applyNumberFormat="1" applyFont="1"/>
    <xf numFmtId="2" fontId="2" fillId="0" borderId="9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11" fontId="0" fillId="0" borderId="0" xfId="0" applyNumberFormat="1"/>
    <xf numFmtId="0" fontId="2" fillId="0" borderId="8" xfId="0" applyFont="1" applyBorder="1" applyAlignment="1">
      <alignment horizontal="center" vertical="center"/>
    </xf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2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3" borderId="6" xfId="0" applyFill="1" applyBorder="1"/>
    <xf numFmtId="0" fontId="0" fillId="0" borderId="7" xfId="0" applyBorder="1"/>
    <xf numFmtId="0" fontId="0" fillId="0" borderId="6" xfId="0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0" xfId="0" applyFont="1"/>
    <xf numFmtId="164" fontId="2" fillId="0" borderId="2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1" xfId="0" applyNumberFormat="1" applyFont="1" applyBorder="1" applyAlignment="1">
      <alignment horizontal="center" vertical="center" wrapText="1"/>
    </xf>
    <xf numFmtId="2" fontId="2" fillId="0" borderId="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1" fontId="0" fillId="0" borderId="6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29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theme" Target="theme/theme1.xml"/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'10x15x4'!$BR$1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'10x15x4'!$T$3:$T$11</c:f>
              <c:numCache>
                <c:formatCode>0.00</c:formatCode>
                <c:ptCount val="9"/>
                <c:pt idx="0">
                  <c:v>155.07887975299244</c:v>
                </c:pt>
                <c:pt idx="1">
                  <c:v>166.05273488985034</c:v>
                </c:pt>
                <c:pt idx="2">
                  <c:v>175.60794107714926</c:v>
                </c:pt>
                <c:pt idx="3">
                  <c:v>175.94626465601419</c:v>
                </c:pt>
                <c:pt idx="4">
                  <c:v>176.24309114976802</c:v>
                </c:pt>
                <c:pt idx="5">
                  <c:v>177.53567797157086</c:v>
                </c:pt>
                <c:pt idx="6">
                  <c:v>177.5163239869276</c:v>
                </c:pt>
                <c:pt idx="7">
                  <c:v>174.96286593975464</c:v>
                </c:pt>
                <c:pt idx="8">
                  <c:v>171.46631140579029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16-4536-89B2-AF0E4499834A}"/>
            </c:ext>
          </c:extLst>
        </c:ser>
        <c:ser>
          <c:idx val="1"/>
          <c:order val="1"/>
          <c:tx>
            <c:strRef>
              <c:f>'10x15x4'!$BR$2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'10x15x4'!$AY$3:$AY$11</c:f>
              <c:numCache>
                <c:formatCode>0.00</c:formatCode>
                <c:ptCount val="9"/>
                <c:pt idx="0">
                  <c:v>206.92336006577077</c:v>
                </c:pt>
                <c:pt idx="1">
                  <c:v>208.89886100317713</c:v>
                </c:pt>
                <c:pt idx="2">
                  <c:v>211.98640660088176</c:v>
                </c:pt>
                <c:pt idx="3">
                  <c:v>214.27471545401593</c:v>
                </c:pt>
                <c:pt idx="4">
                  <c:v>216.37172227158615</c:v>
                </c:pt>
                <c:pt idx="5">
                  <c:v>218.29290857278858</c:v>
                </c:pt>
                <c:pt idx="6">
                  <c:v>218.10069758265533</c:v>
                </c:pt>
                <c:pt idx="7">
                  <c:v>213.47371964808079</c:v>
                </c:pt>
                <c:pt idx="8">
                  <c:v>210.25290888585744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16-4536-89B2-AF0E4499834A}"/>
            </c:ext>
          </c:extLst>
        </c:ser>
        <c:ser>
          <c:idx val="2"/>
          <c:order val="2"/>
          <c:tx>
            <c:strRef>
              <c:f>'10x15x4'!$BR$3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ПКМ'!$H$3:$H$11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16-4536-89B2-AF0E4499834A}"/>
            </c:ext>
          </c:extLst>
        </c:ser>
        <c:ser>
          <c:idx val="3"/>
          <c:order val="3"/>
          <c:tx>
            <c:strRef>
              <c:f>'10x15x4'!$BR$4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ПКМ'!$B$3:$B$11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16-4536-89B2-AF0E44998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'10x15x6'!$BR$1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'10x15x6'!$Z$3:$Z$11</c:f>
              <c:numCache>
                <c:formatCode>0.00%</c:formatCode>
                <c:ptCount val="9"/>
                <c:pt idx="0">
                  <c:v>0.74118842100624172</c:v>
                </c:pt>
                <c:pt idx="1">
                  <c:v>0.7542601276649239</c:v>
                </c:pt>
                <c:pt idx="2">
                  <c:v>0.76098168410704603</c:v>
                </c:pt>
                <c:pt idx="3">
                  <c:v>0.76628653062987062</c:v>
                </c:pt>
                <c:pt idx="4">
                  <c:v>0.7716749494028754</c:v>
                </c:pt>
                <c:pt idx="5">
                  <c:v>0.77592548777820181</c:v>
                </c:pt>
                <c:pt idx="6">
                  <c:v>0.78161806984240567</c:v>
                </c:pt>
                <c:pt idx="7">
                  <c:v>0.78954240870748238</c:v>
                </c:pt>
                <c:pt idx="8">
                  <c:v>0.79940376882235953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82-41E9-B51C-749DB799D41F}"/>
            </c:ext>
          </c:extLst>
        </c:ser>
        <c:ser>
          <c:idx val="0"/>
          <c:order val="1"/>
          <c:tx>
            <c:strRef>
              <c:f>'10x15x6'!$BR$2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'10x15x6'!$BE$3:$BE$11</c:f>
              <c:numCache>
                <c:formatCode>0.00%</c:formatCode>
                <c:ptCount val="9"/>
                <c:pt idx="0">
                  <c:v>0.68817276837454944</c:v>
                </c:pt>
                <c:pt idx="1">
                  <c:v>0.70518141819871005</c:v>
                </c:pt>
                <c:pt idx="2">
                  <c:v>0.71993773352497203</c:v>
                </c:pt>
                <c:pt idx="3">
                  <c:v>0.72342555279810528</c:v>
                </c:pt>
                <c:pt idx="4">
                  <c:v>0.72599674542714709</c:v>
                </c:pt>
                <c:pt idx="5">
                  <c:v>0.72803961094634007</c:v>
                </c:pt>
                <c:pt idx="6">
                  <c:v>0.73098847493038488</c:v>
                </c:pt>
                <c:pt idx="7">
                  <c:v>0.73591566359435767</c:v>
                </c:pt>
                <c:pt idx="8">
                  <c:v>0.73784703059858303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82-41E9-B51C-749DB799D41F}"/>
            </c:ext>
          </c:extLst>
        </c:ser>
        <c:ser>
          <c:idx val="2"/>
          <c:order val="2"/>
          <c:tx>
            <c:strRef>
              <c:f>'10x15x6'!$BR$3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ПКМ'!$J$3:$J$11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82-41E9-B51C-749DB799D41F}"/>
            </c:ext>
          </c:extLst>
        </c:ser>
        <c:ser>
          <c:idx val="3"/>
          <c:order val="3"/>
          <c:tx>
            <c:strRef>
              <c:f>'10x15x6'!$BR$4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82-41E9-B51C-749DB799D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КИТТ ПГУ</a:t>
                </a:r>
              </a:p>
            </c:rich>
          </c:tx>
          <c:layout>
            <c:manualLayout>
              <c:xMode val="edge"/>
              <c:yMode val="edge"/>
              <c:x val="1.9374152898382763E-2"/>
              <c:y val="0.202680711868261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'10x15x6'!$BR$1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'10x15x6'!$AC$3:$AC$11</c:f>
              <c:numCache>
                <c:formatCode>0.00%</c:formatCode>
                <c:ptCount val="9"/>
                <c:pt idx="0">
                  <c:v>0.77833884581869406</c:v>
                </c:pt>
                <c:pt idx="1">
                  <c:v>0.78485487360552852</c:v>
                </c:pt>
                <c:pt idx="2">
                  <c:v>0.7941538372058633</c:v>
                </c:pt>
                <c:pt idx="3">
                  <c:v>0.79915073319501728</c:v>
                </c:pt>
                <c:pt idx="4">
                  <c:v>0.80427540200323866</c:v>
                </c:pt>
                <c:pt idx="5">
                  <c:v>0.808356742428328</c:v>
                </c:pt>
                <c:pt idx="6">
                  <c:v>0.81375312696140478</c:v>
                </c:pt>
                <c:pt idx="7">
                  <c:v>0.82118756447809571</c:v>
                </c:pt>
                <c:pt idx="8">
                  <c:v>0.8239652055489094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8-4A84-9DBC-23786D05FD3D}"/>
            </c:ext>
          </c:extLst>
        </c:ser>
        <c:ser>
          <c:idx val="1"/>
          <c:order val="1"/>
          <c:tx>
            <c:strRef>
              <c:f>'10x15x6'!$BR$2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'10x15x6'!$BI$3:$BI$11</c:f>
              <c:numCache>
                <c:formatCode>0.00%</c:formatCode>
                <c:ptCount val="9"/>
                <c:pt idx="0">
                  <c:v>0.69137793661890401</c:v>
                </c:pt>
                <c:pt idx="1">
                  <c:v>0.70716867829137176</c:v>
                </c:pt>
                <c:pt idx="2">
                  <c:v>0.72146517434865332</c:v>
                </c:pt>
                <c:pt idx="3">
                  <c:v>0.72558128980885583</c:v>
                </c:pt>
                <c:pt idx="4">
                  <c:v>0.72886946389340135</c:v>
                </c:pt>
                <c:pt idx="5">
                  <c:v>0.73167923888585684</c:v>
                </c:pt>
                <c:pt idx="6">
                  <c:v>0.73533717006813648</c:v>
                </c:pt>
                <c:pt idx="7">
                  <c:v>0.74086051518504537</c:v>
                </c:pt>
                <c:pt idx="8">
                  <c:v>0.74288128143211996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38-4A84-9DBC-23786D05FD3D}"/>
            </c:ext>
          </c:extLst>
        </c:ser>
        <c:ser>
          <c:idx val="2"/>
          <c:order val="2"/>
          <c:tx>
            <c:strRef>
              <c:f>'10x15x6'!$BR$3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ПКМ'!$J$3:$J$11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38-4A84-9DBC-23786D05FD3D}"/>
            </c:ext>
          </c:extLst>
        </c:ser>
        <c:ser>
          <c:idx val="3"/>
          <c:order val="3"/>
          <c:tx>
            <c:strRef>
              <c:f>'10x15x6'!$BR$4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38-4A84-9DBC-23786D05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КИТТ установки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28518518518515"/>
          <c:y val="0.8242666666666667"/>
          <c:w val="0.77987407407407427"/>
          <c:h val="0.15456666666666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'10x15x6'!$BR$1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'10x15x6'!$AB$3:$AB$11</c:f>
              <c:numCache>
                <c:formatCode>0.00%</c:formatCode>
                <c:ptCount val="9"/>
                <c:pt idx="0">
                  <c:v>0.57372723211363552</c:v>
                </c:pt>
                <c:pt idx="1">
                  <c:v>0.58907277548209014</c:v>
                </c:pt>
                <c:pt idx="2">
                  <c:v>0.60735037102610789</c:v>
                </c:pt>
                <c:pt idx="3">
                  <c:v>0.61531562954158259</c:v>
                </c:pt>
                <c:pt idx="4">
                  <c:v>0.62330147991337359</c:v>
                </c:pt>
                <c:pt idx="5">
                  <c:v>0.63059067815721181</c:v>
                </c:pt>
                <c:pt idx="6">
                  <c:v>0.63868094904344286</c:v>
                </c:pt>
                <c:pt idx="7">
                  <c:v>0.64840450486812495</c:v>
                </c:pt>
                <c:pt idx="8">
                  <c:v>0.65106118721528183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8E-43DA-A8AD-A0D93A052ADC}"/>
            </c:ext>
          </c:extLst>
        </c:ser>
        <c:ser>
          <c:idx val="0"/>
          <c:order val="1"/>
          <c:tx>
            <c:strRef>
              <c:f>'10x15x6'!$BR$2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'10x15x6'!$BH$3:$BH$11</c:f>
              <c:numCache>
                <c:formatCode>0.00%</c:formatCode>
                <c:ptCount val="9"/>
                <c:pt idx="0">
                  <c:v>0.56406284898032044</c:v>
                </c:pt>
                <c:pt idx="1">
                  <c:v>0.57905283307366862</c:v>
                </c:pt>
                <c:pt idx="2">
                  <c:v>0.59447893065875324</c:v>
                </c:pt>
                <c:pt idx="3">
                  <c:v>0.60068062863846938</c:v>
                </c:pt>
                <c:pt idx="4">
                  <c:v>0.60572490072272056</c:v>
                </c:pt>
                <c:pt idx="5">
                  <c:v>0.61014940460246314</c:v>
                </c:pt>
                <c:pt idx="6">
                  <c:v>0.61460642208721772</c:v>
                </c:pt>
                <c:pt idx="7">
                  <c:v>0.61930320246822812</c:v>
                </c:pt>
                <c:pt idx="8">
                  <c:v>0.6208380677147094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8E-43DA-A8AD-A0D93A052ADC}"/>
            </c:ext>
          </c:extLst>
        </c:ser>
        <c:ser>
          <c:idx val="2"/>
          <c:order val="2"/>
          <c:tx>
            <c:strRef>
              <c:f>'10x15x6'!$BR$3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ПКМ'!$I$3:$I$11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8E-43DA-A8AD-A0D93A052ADC}"/>
            </c:ext>
          </c:extLst>
        </c:ser>
        <c:ser>
          <c:idx val="3"/>
          <c:order val="3"/>
          <c:tx>
            <c:strRef>
              <c:f>'10x15x6'!$BR$4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8E-43DA-A8AD-A0D93A052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layout>
            <c:manualLayout>
              <c:xMode val="edge"/>
              <c:yMode val="edge"/>
              <c:x val="0.3482238698985351"/>
              <c:y val="0.7399008982625936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 i="0" u="none" strike="noStrike" baseline="0">
                    <a:effectLst/>
                  </a:rPr>
                  <a:t>электрический </a:t>
                </a:r>
                <a:r>
                  <a:rPr lang="ru-RU"/>
                  <a:t>КПД установки по физ. методу</a:t>
                </a:r>
              </a:p>
            </c:rich>
          </c:tx>
          <c:layout>
            <c:manualLayout>
              <c:xMode val="edge"/>
              <c:yMode val="edge"/>
              <c:x val="2.2016626804089393E-2"/>
              <c:y val="3.0221167320922558E-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'10x15x8'!$BR$1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'10x15x8'!$T$3:$T$11</c:f>
              <c:numCache>
                <c:formatCode>0.00</c:formatCode>
                <c:ptCount val="9"/>
                <c:pt idx="0">
                  <c:v>136.11913718198772</c:v>
                </c:pt>
                <c:pt idx="1">
                  <c:v>146.59766219882388</c:v>
                </c:pt>
                <c:pt idx="2">
                  <c:v>154.81180636683516</c:v>
                </c:pt>
                <c:pt idx="3">
                  <c:v>154.81121392572135</c:v>
                </c:pt>
                <c:pt idx="4">
                  <c:v>154.7667152569048</c:v>
                </c:pt>
                <c:pt idx="5">
                  <c:v>155.93411962098938</c:v>
                </c:pt>
                <c:pt idx="6">
                  <c:v>155.99045792951608</c:v>
                </c:pt>
                <c:pt idx="7">
                  <c:v>154.39243634513252</c:v>
                </c:pt>
                <c:pt idx="8">
                  <c:v>152.21061234164702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842-4D34-AE38-C1A734FEE4B6}"/>
            </c:ext>
          </c:extLst>
        </c:ser>
        <c:ser>
          <c:idx val="1"/>
          <c:order val="1"/>
          <c:tx>
            <c:strRef>
              <c:f>'10x15x8'!$BR$2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'10x15x8'!$AY$3:$AY$11</c:f>
              <c:numCache>
                <c:formatCode>0.00</c:formatCode>
                <c:ptCount val="9"/>
                <c:pt idx="0">
                  <c:v>223.1101859064951</c:v>
                </c:pt>
                <c:pt idx="1">
                  <c:v>224.97870601532102</c:v>
                </c:pt>
                <c:pt idx="2">
                  <c:v>227.89541527023917</c:v>
                </c:pt>
                <c:pt idx="3">
                  <c:v>230.13856746742599</c:v>
                </c:pt>
                <c:pt idx="4">
                  <c:v>232.17423345465349</c:v>
                </c:pt>
                <c:pt idx="5">
                  <c:v>234.26682540430795</c:v>
                </c:pt>
                <c:pt idx="6">
                  <c:v>234.0228819954965</c:v>
                </c:pt>
                <c:pt idx="7">
                  <c:v>229.68426088607919</c:v>
                </c:pt>
                <c:pt idx="8">
                  <c:v>226.79292951885699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842-4D34-AE38-C1A734FEE4B6}"/>
            </c:ext>
          </c:extLst>
        </c:ser>
        <c:ser>
          <c:idx val="2"/>
          <c:order val="2"/>
          <c:tx>
            <c:strRef>
              <c:f>'10x15x8'!$BR$3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ПКМ'!$H$3:$H$11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51-4BD7-B086-108186768773}"/>
            </c:ext>
          </c:extLst>
        </c:ser>
        <c:ser>
          <c:idx val="3"/>
          <c:order val="3"/>
          <c:tx>
            <c:strRef>
              <c:f>'10x15x8'!$BR$4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ПКМ'!$B$3:$B$11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51-4BD7-B086-108186768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'10x15x8'!$BR$1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'10x15x8'!$Y$3:$Y$11</c:f>
              <c:numCache>
                <c:formatCode>0.00%</c:formatCode>
                <c:ptCount val="9"/>
                <c:pt idx="0">
                  <c:v>0.56807271937666282</c:v>
                </c:pt>
                <c:pt idx="1">
                  <c:v>0.58785045704233818</c:v>
                </c:pt>
                <c:pt idx="2">
                  <c:v>0.59609333241281448</c:v>
                </c:pt>
                <c:pt idx="3">
                  <c:v>0.6035477167992227</c:v>
                </c:pt>
                <c:pt idx="4">
                  <c:v>0.61120053675100261</c:v>
                </c:pt>
                <c:pt idx="5">
                  <c:v>0.61809597110599723</c:v>
                </c:pt>
                <c:pt idx="6">
                  <c:v>0.62607822164391114</c:v>
                </c:pt>
                <c:pt idx="7">
                  <c:v>0.63556190975375815</c:v>
                </c:pt>
                <c:pt idx="8">
                  <c:v>0.65126199552205777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7B-4C6A-972B-7B7B961FED2F}"/>
            </c:ext>
          </c:extLst>
        </c:ser>
        <c:ser>
          <c:idx val="0"/>
          <c:order val="1"/>
          <c:tx>
            <c:strRef>
              <c:f>'10x15x8'!$BR$2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'10x15x8'!$BD$3:$BD$11</c:f>
              <c:numCache>
                <c:formatCode>0.00%</c:formatCode>
                <c:ptCount val="9"/>
                <c:pt idx="0">
                  <c:v>0.55361890963617699</c:v>
                </c:pt>
                <c:pt idx="1">
                  <c:v>0.5687000118694554</c:v>
                </c:pt>
                <c:pt idx="2">
                  <c:v>0.58346669260315043</c:v>
                </c:pt>
                <c:pt idx="3">
                  <c:v>0.58823912061305983</c:v>
                </c:pt>
                <c:pt idx="4">
                  <c:v>0.59212820247957876</c:v>
                </c:pt>
                <c:pt idx="5">
                  <c:v>0.59572619515660152</c:v>
                </c:pt>
                <c:pt idx="6">
                  <c:v>0.59886451367056626</c:v>
                </c:pt>
                <c:pt idx="7">
                  <c:v>0.60322092867908028</c:v>
                </c:pt>
                <c:pt idx="8">
                  <c:v>0.60428850537739254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7B-4C6A-972B-7B7B961FED2F}"/>
            </c:ext>
          </c:extLst>
        </c:ser>
        <c:ser>
          <c:idx val="2"/>
          <c:order val="2"/>
          <c:tx>
            <c:strRef>
              <c:f>'10x15x8'!$BR$3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ПКМ'!$I$3:$I$11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7B-4C6A-972B-7B7B961FED2F}"/>
            </c:ext>
          </c:extLst>
        </c:ser>
        <c:ser>
          <c:idx val="3"/>
          <c:order val="3"/>
          <c:tx>
            <c:strRef>
              <c:f>'10x15x8'!$BR$4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7B-4C6A-972B-7B7B961FE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 i="0" u="none" strike="noStrike" baseline="0">
                    <a:effectLst/>
                  </a:rPr>
                  <a:t>электрический </a:t>
                </a:r>
                <a:r>
                  <a:rPr lang="ru-RU"/>
                  <a:t>КПД ПГУ по физ. методу</a:t>
                </a:r>
              </a:p>
            </c:rich>
          </c:tx>
          <c:layout>
            <c:manualLayout>
              <c:xMode val="edge"/>
              <c:yMode val="edge"/>
              <c:x val="1.937415580538172E-2"/>
              <c:y val="3.0881466872495492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'10x15x8'!$BR$1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'10x15x8'!$BM$3:$BM$11</c:f>
              <c:numCache>
                <c:formatCode>0.00</c:formatCode>
                <c:ptCount val="9"/>
                <c:pt idx="0">
                  <c:v>-38.945118323126536</c:v>
                </c:pt>
                <c:pt idx="1">
                  <c:v>-40.859558472925187</c:v>
                </c:pt>
                <c:pt idx="2">
                  <c:v>-43.040220632537483</c:v>
                </c:pt>
                <c:pt idx="3">
                  <c:v>-43.67527122764389</c:v>
                </c:pt>
                <c:pt idx="4">
                  <c:v>-44.066140065870286</c:v>
                </c:pt>
                <c:pt idx="5">
                  <c:v>-43.774090305751713</c:v>
                </c:pt>
                <c:pt idx="6">
                  <c:v>-42.749020924582794</c:v>
                </c:pt>
                <c:pt idx="7">
                  <c:v>-39.900008342437928</c:v>
                </c:pt>
                <c:pt idx="8">
                  <c:v>-38.961849194089297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C1-479F-940F-47DBF71ADFC0}"/>
            </c:ext>
          </c:extLst>
        </c:ser>
        <c:ser>
          <c:idx val="1"/>
          <c:order val="1"/>
          <c:tx>
            <c:strRef>
              <c:f>'10x15x8'!$BR$2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'10x15x8'!$BN$3:$BN$11</c:f>
              <c:numCache>
                <c:formatCode>0.00</c:formatCode>
                <c:ptCount val="9"/>
                <c:pt idx="0">
                  <c:v>17.972496317584927</c:v>
                </c:pt>
                <c:pt idx="1">
                  <c:v>19.850594010706487</c:v>
                </c:pt>
                <c:pt idx="2">
                  <c:v>20.946055758894147</c:v>
                </c:pt>
                <c:pt idx="3">
                  <c:v>20.443684636889031</c:v>
                </c:pt>
                <c:pt idx="4">
                  <c:v>19.873658483276586</c:v>
                </c:pt>
                <c:pt idx="5">
                  <c:v>19.853419826158046</c:v>
                </c:pt>
                <c:pt idx="6">
                  <c:v>19.849284975156252</c:v>
                </c:pt>
                <c:pt idx="7">
                  <c:v>20.590789234723559</c:v>
                </c:pt>
                <c:pt idx="8">
                  <c:v>20.839846592084029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C1-479F-940F-47DBF71AD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50543"/>
        <c:axId val="487331103"/>
      </c:scatterChart>
      <c:valAx>
        <c:axId val="566250543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87331103"/>
        <c:crosses val="autoZero"/>
        <c:crossBetween val="midCat"/>
      </c:valAx>
      <c:valAx>
        <c:axId val="4873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Изменение мощности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66250543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'10x15x8'!$BR$1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'10x15x8'!$Z$3:$Z$11</c:f>
              <c:numCache>
                <c:formatCode>0.00%</c:formatCode>
                <c:ptCount val="9"/>
                <c:pt idx="0">
                  <c:v>0.73797582824956565</c:v>
                </c:pt>
                <c:pt idx="1">
                  <c:v>0.74989264271664446</c:v>
                </c:pt>
                <c:pt idx="2">
                  <c:v>0.75347462544935606</c:v>
                </c:pt>
                <c:pt idx="3">
                  <c:v>0.75893560503068003</c:v>
                </c:pt>
                <c:pt idx="4">
                  <c:v>0.76452712849218452</c:v>
                </c:pt>
                <c:pt idx="5">
                  <c:v>0.76876906398386469</c:v>
                </c:pt>
                <c:pt idx="6">
                  <c:v>0.77447274221422346</c:v>
                </c:pt>
                <c:pt idx="7">
                  <c:v>0.7821878350118</c:v>
                </c:pt>
                <c:pt idx="8">
                  <c:v>0.79448615440071158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7B-4C6A-972B-7B7B961FED2F}"/>
            </c:ext>
          </c:extLst>
        </c:ser>
        <c:ser>
          <c:idx val="0"/>
          <c:order val="1"/>
          <c:tx>
            <c:strRef>
              <c:f>'10x15x8'!$BR$2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'10x15x8'!$BE$3:$BE$11</c:f>
              <c:numCache>
                <c:formatCode>0.00%</c:formatCode>
                <c:ptCount val="9"/>
                <c:pt idx="0">
                  <c:v>0.66688066722238448</c:v>
                </c:pt>
                <c:pt idx="1">
                  <c:v>0.68371209908486541</c:v>
                </c:pt>
                <c:pt idx="2">
                  <c:v>0.6979298489914959</c:v>
                </c:pt>
                <c:pt idx="3">
                  <c:v>0.70057024700147807</c:v>
                </c:pt>
                <c:pt idx="4">
                  <c:v>0.7025493768094403</c:v>
                </c:pt>
                <c:pt idx="5">
                  <c:v>0.70427619459331492</c:v>
                </c:pt>
                <c:pt idx="6">
                  <c:v>0.70648808257864315</c:v>
                </c:pt>
                <c:pt idx="7">
                  <c:v>0.71127552308889019</c:v>
                </c:pt>
                <c:pt idx="8">
                  <c:v>0.71279449736582534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7B-4C6A-972B-7B7B961FED2F}"/>
            </c:ext>
          </c:extLst>
        </c:ser>
        <c:ser>
          <c:idx val="2"/>
          <c:order val="2"/>
          <c:tx>
            <c:strRef>
              <c:f>'10x15x8'!$BR$3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ПКМ'!$J$3:$J$11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7B-4C6A-972B-7B7B961FED2F}"/>
            </c:ext>
          </c:extLst>
        </c:ser>
        <c:ser>
          <c:idx val="3"/>
          <c:order val="3"/>
          <c:tx>
            <c:strRef>
              <c:f>'10x15x8'!$BR$4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7B-4C6A-972B-7B7B961FE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КИТТ ПГУ</a:t>
                </a:r>
              </a:p>
            </c:rich>
          </c:tx>
          <c:layout>
            <c:manualLayout>
              <c:xMode val="edge"/>
              <c:yMode val="edge"/>
              <c:x val="1.9374152898382763E-2"/>
              <c:y val="0.202680711868261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'10x15x8'!$BR$1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'10x15x8'!$AC$3:$AC$11</c:f>
              <c:numCache>
                <c:formatCode>0.00%</c:formatCode>
                <c:ptCount val="9"/>
                <c:pt idx="0">
                  <c:v>0.78584524809329015</c:v>
                </c:pt>
                <c:pt idx="1">
                  <c:v>0.78950448087802061</c:v>
                </c:pt>
                <c:pt idx="2">
                  <c:v>0.79697677012308477</c:v>
                </c:pt>
                <c:pt idx="3">
                  <c:v>0.80204897699889222</c:v>
                </c:pt>
                <c:pt idx="4">
                  <c:v>0.8072837027577191</c:v>
                </c:pt>
                <c:pt idx="5">
                  <c:v>0.81130872101230134</c:v>
                </c:pt>
                <c:pt idx="6">
                  <c:v>0.81659651425319935</c:v>
                </c:pt>
                <c:pt idx="7">
                  <c:v>0.82365312103968391</c:v>
                </c:pt>
                <c:pt idx="8">
                  <c:v>0.82635951156137177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CA-43FA-9F5C-0E7BD113559D}"/>
            </c:ext>
          </c:extLst>
        </c:ser>
        <c:ser>
          <c:idx val="1"/>
          <c:order val="1"/>
          <c:tx>
            <c:strRef>
              <c:f>'10x15x8'!$BR$2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'10x15x8'!$BI$3:$BI$11</c:f>
              <c:numCache>
                <c:formatCode>0.00%</c:formatCode>
                <c:ptCount val="9"/>
                <c:pt idx="0">
                  <c:v>0.67450415179655154</c:v>
                </c:pt>
                <c:pt idx="1">
                  <c:v>0.68961821861923978</c:v>
                </c:pt>
                <c:pt idx="2">
                  <c:v>0.70325135245311698</c:v>
                </c:pt>
                <c:pt idx="3">
                  <c:v>0.70690336626278294</c:v>
                </c:pt>
                <c:pt idx="4">
                  <c:v>0.70998452450665572</c:v>
                </c:pt>
                <c:pt idx="5">
                  <c:v>0.71284518509629147</c:v>
                </c:pt>
                <c:pt idx="6">
                  <c:v>0.71618813600095255</c:v>
                </c:pt>
                <c:pt idx="7">
                  <c:v>0.72190530823319965</c:v>
                </c:pt>
                <c:pt idx="8">
                  <c:v>0.72364514491147203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CA-43FA-9F5C-0E7BD113559D}"/>
            </c:ext>
          </c:extLst>
        </c:ser>
        <c:ser>
          <c:idx val="2"/>
          <c:order val="2"/>
          <c:tx>
            <c:strRef>
              <c:f>'10x15x8'!$BR$3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ПКМ'!$J$3:$J$11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CA-43FA-9F5C-0E7BD113559D}"/>
            </c:ext>
          </c:extLst>
        </c:ser>
        <c:ser>
          <c:idx val="3"/>
          <c:order val="3"/>
          <c:tx>
            <c:strRef>
              <c:f>'10x15x8'!$BR$4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CA-43FA-9F5C-0E7BD1135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КИТТ установки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28518518518515"/>
          <c:y val="0.8242666666666667"/>
          <c:w val="0.77987407407407427"/>
          <c:h val="0.15456666666666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'10x15x8'!$BR$1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'10x15x8'!$AB$3:$AB$11</c:f>
              <c:numCache>
                <c:formatCode>0.00%</c:formatCode>
                <c:ptCount val="9"/>
                <c:pt idx="0">
                  <c:v>0.55749111299036869</c:v>
                </c:pt>
                <c:pt idx="1">
                  <c:v>0.57074242025422373</c:v>
                </c:pt>
                <c:pt idx="2">
                  <c:v>0.58765218465126401</c:v>
                </c:pt>
                <c:pt idx="3">
                  <c:v>0.59542528960195196</c:v>
                </c:pt>
                <c:pt idx="4">
                  <c:v>0.60350314070988964</c:v>
                </c:pt>
                <c:pt idx="5">
                  <c:v>0.61098447735087835</c:v>
                </c:pt>
                <c:pt idx="6">
                  <c:v>0.61942422261697849</c:v>
                </c:pt>
                <c:pt idx="7">
                  <c:v>0.6292258242027684</c:v>
                </c:pt>
                <c:pt idx="8">
                  <c:v>0.63183866161787383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7B-4C6A-972B-7B7B961FED2F}"/>
            </c:ext>
          </c:extLst>
        </c:ser>
        <c:ser>
          <c:idx val="0"/>
          <c:order val="1"/>
          <c:tx>
            <c:strRef>
              <c:f>'10x15x8'!$BR$2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'10x15x8'!$BH$3:$BH$11</c:f>
              <c:numCache>
                <c:formatCode>0.00%</c:formatCode>
                <c:ptCount val="9"/>
                <c:pt idx="0">
                  <c:v>0.5486719064360176</c:v>
                </c:pt>
                <c:pt idx="1">
                  <c:v>0.56251083426730497</c:v>
                </c:pt>
                <c:pt idx="2">
                  <c:v>0.57673407088121942</c:v>
                </c:pt>
                <c:pt idx="3">
                  <c:v>0.58216084612721108</c:v>
                </c:pt>
                <c:pt idx="4">
                  <c:v>0.58681741540316856</c:v>
                </c:pt>
                <c:pt idx="5">
                  <c:v>0.59123029122272497</c:v>
                </c:pt>
                <c:pt idx="6">
                  <c:v>0.5952085069782681</c:v>
                </c:pt>
                <c:pt idx="7">
                  <c:v>0.60025327785084148</c:v>
                </c:pt>
                <c:pt idx="8">
                  <c:v>0.60145000318595043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7B-4C6A-972B-7B7B961FED2F}"/>
            </c:ext>
          </c:extLst>
        </c:ser>
        <c:ser>
          <c:idx val="2"/>
          <c:order val="2"/>
          <c:tx>
            <c:strRef>
              <c:f>'10x15x8'!$BR$3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ПКМ'!$I$3:$I$11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7B-4C6A-972B-7B7B961FED2F}"/>
            </c:ext>
          </c:extLst>
        </c:ser>
        <c:ser>
          <c:idx val="3"/>
          <c:order val="3"/>
          <c:tx>
            <c:strRef>
              <c:f>'10x15x8'!$BR$4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7B-4C6A-972B-7B7B961FE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layout>
            <c:manualLayout>
              <c:xMode val="edge"/>
              <c:yMode val="edge"/>
              <c:x val="0.3482238698985351"/>
              <c:y val="0.7399008982625936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 i="0" u="none" strike="noStrike" baseline="0">
                    <a:effectLst/>
                  </a:rPr>
                  <a:t>электрический </a:t>
                </a:r>
                <a:r>
                  <a:rPr lang="ru-RU"/>
                  <a:t>КПД установки по физ. методу</a:t>
                </a:r>
              </a:p>
            </c:rich>
          </c:tx>
          <c:layout>
            <c:manualLayout>
              <c:xMode val="edge"/>
              <c:yMode val="edge"/>
              <c:x val="2.2016626804089393E-2"/>
              <c:y val="3.0221167320922558E-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Экономика!$Z$9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Экономика!$Z$28:$Z$36</c:f>
              <c:numCache>
                <c:formatCode>General</c:formatCode>
                <c:ptCount val="9"/>
                <c:pt idx="0" formatCode="0.00E+00">
                  <c:v>-114.05716481106376</c:v>
                </c:pt>
                <c:pt idx="1">
                  <c:v>-101.79572909816268</c:v>
                </c:pt>
                <c:pt idx="2">
                  <c:v>-88.309754334460507</c:v>
                </c:pt>
                <c:pt idx="3">
                  <c:v>-89.936639229412066</c:v>
                </c:pt>
                <c:pt idx="4">
                  <c:v>-91.947953801079194</c:v>
                </c:pt>
                <c:pt idx="5">
                  <c:v>-91.829804412946174</c:v>
                </c:pt>
                <c:pt idx="6">
                  <c:v>-90.450595061361639</c:v>
                </c:pt>
                <c:pt idx="7">
                  <c:v>-86.242592090917128</c:v>
                </c:pt>
                <c:pt idx="8">
                  <c:v>-88.018361393350062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AC-4325-9A4C-EB3683781D0E}"/>
            </c:ext>
          </c:extLst>
        </c:ser>
        <c:ser>
          <c:idx val="1"/>
          <c:order val="1"/>
          <c:tx>
            <c:strRef>
              <c:f>Экономика!$Z$10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Экономика!$AA$28:$AA$36</c:f>
              <c:numCache>
                <c:formatCode>General</c:formatCode>
                <c:ptCount val="9"/>
                <c:pt idx="0">
                  <c:v>-96.320877992160632</c:v>
                </c:pt>
                <c:pt idx="1">
                  <c:v>-80.720911862459275</c:v>
                </c:pt>
                <c:pt idx="2">
                  <c:v>-65.174468780471472</c:v>
                </c:pt>
                <c:pt idx="3">
                  <c:v>-67.140760678046377</c:v>
                </c:pt>
                <c:pt idx="4">
                  <c:v>-70.054543267488654</c:v>
                </c:pt>
                <c:pt idx="5">
                  <c:v>-70.707102453243365</c:v>
                </c:pt>
                <c:pt idx="6">
                  <c:v>-69.544970605309558</c:v>
                </c:pt>
                <c:pt idx="7">
                  <c:v>-64.755644257433346</c:v>
                </c:pt>
                <c:pt idx="8">
                  <c:v>-64.565127286720752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AC-4325-9A4C-EB3683781D0E}"/>
            </c:ext>
          </c:extLst>
        </c:ser>
        <c:ser>
          <c:idx val="2"/>
          <c:order val="2"/>
          <c:tx>
            <c:strRef>
              <c:f>Экономика!$Z$11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Экономика!$AB$28:$AB$36</c:f>
              <c:numCache>
                <c:formatCode>General</c:formatCode>
                <c:ptCount val="9"/>
                <c:pt idx="0" formatCode="0.00E+00">
                  <c:v>-74.272536666008321</c:v>
                </c:pt>
                <c:pt idx="1">
                  <c:v>-56.00090280872211</c:v>
                </c:pt>
                <c:pt idx="2">
                  <c:v>-38.897843762139452</c:v>
                </c:pt>
                <c:pt idx="3">
                  <c:v>-41.151372731359004</c:v>
                </c:pt>
                <c:pt idx="4">
                  <c:v>-44.394731115465561</c:v>
                </c:pt>
                <c:pt idx="5">
                  <c:v>-45.275507290658979</c:v>
                </c:pt>
                <c:pt idx="6">
                  <c:v>-44.394715175823208</c:v>
                </c:pt>
                <c:pt idx="7">
                  <c:v>-40.253558643220678</c:v>
                </c:pt>
                <c:pt idx="8">
                  <c:v>-39.16028162838488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AC-4325-9A4C-EB3683781D0E}"/>
            </c:ext>
          </c:extLst>
        </c:ser>
        <c:ser>
          <c:idx val="3"/>
          <c:order val="3"/>
          <c:tx>
            <c:strRef>
              <c:f>Экономика!$Z$12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Экономика!$AC$28:$AC$36</c:f>
              <c:numCache>
                <c:formatCode>General</c:formatCode>
                <c:ptCount val="9"/>
                <c:pt idx="0">
                  <c:v>-111.59934796197506</c:v>
                </c:pt>
                <c:pt idx="1">
                  <c:v>-96.086488001863302</c:v>
                </c:pt>
                <c:pt idx="2">
                  <c:v>-80.040097572229698</c:v>
                </c:pt>
                <c:pt idx="3">
                  <c:v>-81.983485372733014</c:v>
                </c:pt>
                <c:pt idx="4">
                  <c:v>-84.554325471536117</c:v>
                </c:pt>
                <c:pt idx="5">
                  <c:v>-84.466359167434305</c:v>
                </c:pt>
                <c:pt idx="6">
                  <c:v>-82.596393936731488</c:v>
                </c:pt>
                <c:pt idx="7">
                  <c:v>-76.870492117972972</c:v>
                </c:pt>
                <c:pt idx="8">
                  <c:v>-78.34882026246872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AC-4325-9A4C-EB3683781D0E}"/>
            </c:ext>
          </c:extLst>
        </c:ser>
        <c:ser>
          <c:idx val="4"/>
          <c:order val="4"/>
          <c:tx>
            <c:strRef>
              <c:f>Экономика!$Z$13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Экономика!$AD$28:$AD$36</c:f>
              <c:numCache>
                <c:formatCode>General</c:formatCode>
                <c:ptCount val="9"/>
                <c:pt idx="0">
                  <c:v>-75.83216804555552</c:v>
                </c:pt>
                <c:pt idx="1">
                  <c:v>-59.360168822816561</c:v>
                </c:pt>
                <c:pt idx="2">
                  <c:v>-43.495156640759639</c:v>
                </c:pt>
                <c:pt idx="3">
                  <c:v>-45.431340813815694</c:v>
                </c:pt>
                <c:pt idx="4">
                  <c:v>-48.288172836020692</c:v>
                </c:pt>
                <c:pt idx="5">
                  <c:v>-49.070340132439654</c:v>
                </c:pt>
                <c:pt idx="6">
                  <c:v>-48.321815738138277</c:v>
                </c:pt>
                <c:pt idx="7">
                  <c:v>-44.729405552474361</c:v>
                </c:pt>
                <c:pt idx="8">
                  <c:v>-43.61025750996059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AC-4325-9A4C-EB3683781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763408"/>
        <c:axId val="1489322416"/>
      </c:scatterChart>
      <c:valAx>
        <c:axId val="1540763408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</a:t>
                </a:r>
                <a:r>
                  <a:rPr lang="ru-RU" baseline="0"/>
                  <a:t> °С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489322416"/>
        <c:crosses val="autoZero"/>
        <c:crossBetween val="midCat"/>
      </c:valAx>
      <c:valAx>
        <c:axId val="14893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Маржинальная</a:t>
                </a:r>
                <a:r>
                  <a:rPr lang="ru-RU" baseline="0"/>
                  <a:t> прибыль, тыс руб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4076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'10x15x4'!$BR$1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'10x15x4'!$Y$3:$Y$11</c:f>
              <c:numCache>
                <c:formatCode>0.00%</c:formatCode>
                <c:ptCount val="9"/>
                <c:pt idx="0">
                  <c:v>0.60122532677852147</c:v>
                </c:pt>
                <c:pt idx="1">
                  <c:v>0.61782780232934564</c:v>
                </c:pt>
                <c:pt idx="2">
                  <c:v>0.63655882219846072</c:v>
                </c:pt>
                <c:pt idx="3">
                  <c:v>0.64463734026804698</c:v>
                </c:pt>
                <c:pt idx="4">
                  <c:v>0.65252469496379939</c:v>
                </c:pt>
                <c:pt idx="5">
                  <c:v>0.65939160668926033</c:v>
                </c:pt>
                <c:pt idx="6">
                  <c:v>0.66705810815406774</c:v>
                </c:pt>
                <c:pt idx="7">
                  <c:v>0.67651937544909369</c:v>
                </c:pt>
                <c:pt idx="8">
                  <c:v>0.67942352592342081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2F-4D2B-A3F3-5DA05D19FD27}"/>
            </c:ext>
          </c:extLst>
        </c:ser>
        <c:ser>
          <c:idx val="0"/>
          <c:order val="1"/>
          <c:tx>
            <c:strRef>
              <c:f>'10x15x4'!$BR$2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'10x15x4'!$BD$3:$BD$11</c:f>
              <c:numCache>
                <c:formatCode>0.00%</c:formatCode>
                <c:ptCount val="9"/>
                <c:pt idx="0">
                  <c:v>0.58588620267311786</c:v>
                </c:pt>
                <c:pt idx="1">
                  <c:v>0.60333044966134375</c:v>
                </c:pt>
                <c:pt idx="2">
                  <c:v>0.62106505465187656</c:v>
                </c:pt>
                <c:pt idx="3">
                  <c:v>0.6272322991988285</c:v>
                </c:pt>
                <c:pt idx="4">
                  <c:v>0.63249021723490451</c:v>
                </c:pt>
                <c:pt idx="5">
                  <c:v>0.63670758203396272</c:v>
                </c:pt>
                <c:pt idx="6">
                  <c:v>0.641600427999936</c:v>
                </c:pt>
                <c:pt idx="7">
                  <c:v>0.64782930226135982</c:v>
                </c:pt>
                <c:pt idx="8" formatCode="0.0000%">
                  <c:v>0.64895746477318772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2F-4D2B-A3F3-5DA05D19FD27}"/>
            </c:ext>
          </c:extLst>
        </c:ser>
        <c:ser>
          <c:idx val="2"/>
          <c:order val="2"/>
          <c:tx>
            <c:strRef>
              <c:f>'10x15x4'!$BR$3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ПКМ'!$I$3:$I$11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2F-4D2B-A3F3-5DA05D19FD27}"/>
            </c:ext>
          </c:extLst>
        </c:ser>
        <c:ser>
          <c:idx val="3"/>
          <c:order val="3"/>
          <c:tx>
            <c:strRef>
              <c:f>'10x15x4'!$BR$4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2F-4D2B-A3F3-5DA05D19F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электрический КПД ПГУ по физ. методу</a:t>
                </a:r>
              </a:p>
            </c:rich>
          </c:tx>
          <c:layout>
            <c:manualLayout>
              <c:xMode val="edge"/>
              <c:yMode val="edge"/>
              <c:x val="1.937415580538172E-2"/>
              <c:y val="3.0881466872495492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Экономика!$Z$9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Экономика!$AE$28:$AE$36</c:f>
              <c:numCache>
                <c:formatCode>General</c:formatCode>
                <c:ptCount val="9"/>
                <c:pt idx="0">
                  <c:v>-151.71720788805359</c:v>
                </c:pt>
                <c:pt idx="1">
                  <c:v>-143.43604411222842</c:v>
                </c:pt>
                <c:pt idx="2">
                  <c:v>-133.3114016505522</c:v>
                </c:pt>
                <c:pt idx="3">
                  <c:v>-133.74750535858865</c:v>
                </c:pt>
                <c:pt idx="4">
                  <c:v>-135.71497027769433</c:v>
                </c:pt>
                <c:pt idx="5">
                  <c:v>-135.31596071792612</c:v>
                </c:pt>
                <c:pt idx="6">
                  <c:v>-134.54284868257261</c:v>
                </c:pt>
                <c:pt idx="7">
                  <c:v>-131.30485726277513</c:v>
                </c:pt>
                <c:pt idx="8">
                  <c:v>-130.86023768825456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18-4447-9BA4-1B2A6E15C4C8}"/>
            </c:ext>
          </c:extLst>
        </c:ser>
        <c:ser>
          <c:idx val="1"/>
          <c:order val="1"/>
          <c:tx>
            <c:strRef>
              <c:f>Экономика!$Z$10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Экономика!$AF$28:$AF$36</c:f>
              <c:numCache>
                <c:formatCode>General</c:formatCode>
                <c:ptCount val="9"/>
                <c:pt idx="0">
                  <c:v>-122.13901015456985</c:v>
                </c:pt>
                <c:pt idx="1">
                  <c:v>-108.7739226483785</c:v>
                </c:pt>
                <c:pt idx="2">
                  <c:v>-94.900443791502326</c:v>
                </c:pt>
                <c:pt idx="3">
                  <c:v>-95.552408698942628</c:v>
                </c:pt>
                <c:pt idx="4">
                  <c:v>-98.389874200438001</c:v>
                </c:pt>
                <c:pt idx="5">
                  <c:v>-98.456128394113279</c:v>
                </c:pt>
                <c:pt idx="6">
                  <c:v>-97.068702706282721</c:v>
                </c:pt>
                <c:pt idx="7">
                  <c:v>-92.199310915350708</c:v>
                </c:pt>
                <c:pt idx="8">
                  <c:v>-88.952092464045066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18-4447-9BA4-1B2A6E15C4C8}"/>
            </c:ext>
          </c:extLst>
        </c:ser>
        <c:ser>
          <c:idx val="2"/>
          <c:order val="2"/>
          <c:tx>
            <c:strRef>
              <c:f>Экономика!$Z$11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Экономика!$AG$28:$AG$36</c:f>
              <c:numCache>
                <c:formatCode>General</c:formatCode>
                <c:ptCount val="9"/>
                <c:pt idx="0">
                  <c:v>-83.607036896412936</c:v>
                </c:pt>
                <c:pt idx="1">
                  <c:v>-67.150379002879717</c:v>
                </c:pt>
                <c:pt idx="2">
                  <c:v>-50.841707449952487</c:v>
                </c:pt>
                <c:pt idx="3">
                  <c:v>-51.895478874528777</c:v>
                </c:pt>
                <c:pt idx="4">
                  <c:v>-54.937510060499861</c:v>
                </c:pt>
                <c:pt idx="5">
                  <c:v>-54.833104804891455</c:v>
                </c:pt>
                <c:pt idx="6">
                  <c:v>-53.132343560244742</c:v>
                </c:pt>
                <c:pt idx="7">
                  <c:v>-48.892616912431635</c:v>
                </c:pt>
                <c:pt idx="8">
                  <c:v>-45.157828462461097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18-4447-9BA4-1B2A6E15C4C8}"/>
            </c:ext>
          </c:extLst>
        </c:ser>
        <c:ser>
          <c:idx val="3"/>
          <c:order val="3"/>
          <c:tx>
            <c:strRef>
              <c:f>Экономика!$Z$12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Экономика!$AH$28:$AH$36</c:f>
              <c:numCache>
                <c:formatCode>General</c:formatCode>
                <c:ptCount val="9"/>
                <c:pt idx="0">
                  <c:v>-138.33556956364814</c:v>
                </c:pt>
                <c:pt idx="1">
                  <c:v>-125.91642001078432</c:v>
                </c:pt>
                <c:pt idx="2">
                  <c:v>-112.52733169612725</c:v>
                </c:pt>
                <c:pt idx="3">
                  <c:v>-112.38806378708769</c:v>
                </c:pt>
                <c:pt idx="4">
                  <c:v>-114.37059854894082</c:v>
                </c:pt>
                <c:pt idx="5">
                  <c:v>-113.24659325146361</c:v>
                </c:pt>
                <c:pt idx="6">
                  <c:v>-111.29226208797785</c:v>
                </c:pt>
                <c:pt idx="7">
                  <c:v>-105.84291014441938</c:v>
                </c:pt>
                <c:pt idx="8">
                  <c:v>-103.58380524309972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18-4447-9BA4-1B2A6E15C4C8}"/>
            </c:ext>
          </c:extLst>
        </c:ser>
        <c:ser>
          <c:idx val="4"/>
          <c:order val="4"/>
          <c:tx>
            <c:strRef>
              <c:f>Экономика!$Z$13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Экономика!$AI$28:$AI$36</c:f>
              <c:numCache>
                <c:formatCode>General</c:formatCode>
                <c:ptCount val="9"/>
                <c:pt idx="0">
                  <c:v>-92.098484519221884</c:v>
                </c:pt>
                <c:pt idx="1">
                  <c:v>-77.458767951778455</c:v>
                </c:pt>
                <c:pt idx="2">
                  <c:v>-62.396101449473818</c:v>
                </c:pt>
                <c:pt idx="3">
                  <c:v>-63.390004170094443</c:v>
                </c:pt>
                <c:pt idx="4">
                  <c:v>-66.177332199747411</c:v>
                </c:pt>
                <c:pt idx="5">
                  <c:v>-66.206797100641822</c:v>
                </c:pt>
                <c:pt idx="6">
                  <c:v>-64.757636857542124</c:v>
                </c:pt>
                <c:pt idx="7">
                  <c:v>-61.052514655975742</c:v>
                </c:pt>
                <c:pt idx="8">
                  <c:v>-57.710592329271897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18-4447-9BA4-1B2A6E15C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763408"/>
        <c:axId val="1489322416"/>
      </c:scatterChart>
      <c:valAx>
        <c:axId val="1540763408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</a:t>
                </a:r>
                <a:r>
                  <a:rPr lang="ru-RU" baseline="0"/>
                  <a:t> °С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489322416"/>
        <c:crosses val="autoZero"/>
        <c:crossBetween val="midCat"/>
      </c:valAx>
      <c:valAx>
        <c:axId val="14893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Маржинальная</a:t>
                </a:r>
                <a:r>
                  <a:rPr lang="ru-RU" baseline="0"/>
                  <a:t> прибыль, тыс руб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4076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Экономика!$Z$9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Экономика!$AJ$28:$AJ$36</c:f>
              <c:numCache>
                <c:formatCode>General</c:formatCode>
                <c:ptCount val="9"/>
                <c:pt idx="0">
                  <c:v>-185.30890585816235</c:v>
                </c:pt>
                <c:pt idx="1">
                  <c:v>-179.45955594586442</c:v>
                </c:pt>
                <c:pt idx="2">
                  <c:v>-171.29609072661768</c:v>
                </c:pt>
                <c:pt idx="3">
                  <c:v>-172.85310356568749</c:v>
                </c:pt>
                <c:pt idx="4">
                  <c:v>-174.95974566045777</c:v>
                </c:pt>
                <c:pt idx="5">
                  <c:v>-174.178474923594</c:v>
                </c:pt>
                <c:pt idx="6">
                  <c:v>-173.42750986791728</c:v>
                </c:pt>
                <c:pt idx="7">
                  <c:v>-167.91694963854681</c:v>
                </c:pt>
                <c:pt idx="8">
                  <c:v>-167.58694736389899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77-4321-BE17-B4178790FF95}"/>
            </c:ext>
          </c:extLst>
        </c:ser>
        <c:ser>
          <c:idx val="1"/>
          <c:order val="1"/>
          <c:tx>
            <c:strRef>
              <c:f>Экономика!$Z$10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Экономика!$AK$28:$AK$36</c:f>
              <c:numCache>
                <c:formatCode>General</c:formatCode>
                <c:ptCount val="9"/>
                <c:pt idx="0">
                  <c:v>-143.45672338062028</c:v>
                </c:pt>
                <c:pt idx="1">
                  <c:v>-131.34411281088165</c:v>
                </c:pt>
                <c:pt idx="2">
                  <c:v>-118.36604927873556</c:v>
                </c:pt>
                <c:pt idx="3">
                  <c:v>-119.40328787684329</c:v>
                </c:pt>
                <c:pt idx="4">
                  <c:v>-121.99338561987193</c:v>
                </c:pt>
                <c:pt idx="5">
                  <c:v>-121.25990592826469</c:v>
                </c:pt>
                <c:pt idx="6">
                  <c:v>-119.37900815309479</c:v>
                </c:pt>
                <c:pt idx="7">
                  <c:v>-110.6540903599321</c:v>
                </c:pt>
                <c:pt idx="8">
                  <c:v>-106.23888078218765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77-4321-BE17-B4178790FF95}"/>
            </c:ext>
          </c:extLst>
        </c:ser>
        <c:ser>
          <c:idx val="2"/>
          <c:order val="2"/>
          <c:tx>
            <c:strRef>
              <c:f>Экономика!$Z$11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Экономика!$AL$28:$AL$36</c:f>
              <c:numCache>
                <c:formatCode>General</c:formatCode>
                <c:ptCount val="9"/>
                <c:pt idx="0">
                  <c:v>-87.833319497584569</c:v>
                </c:pt>
                <c:pt idx="1">
                  <c:v>-72.883658013852539</c:v>
                </c:pt>
                <c:pt idx="2">
                  <c:v>-57.301147870480229</c:v>
                </c:pt>
                <c:pt idx="3">
                  <c:v>-58.232690960852864</c:v>
                </c:pt>
                <c:pt idx="4">
                  <c:v>-60.527276899661459</c:v>
                </c:pt>
                <c:pt idx="5">
                  <c:v>-59.123439137888809</c:v>
                </c:pt>
                <c:pt idx="6">
                  <c:v>-56.780702253355763</c:v>
                </c:pt>
                <c:pt idx="7">
                  <c:v>-48.275857220551785</c:v>
                </c:pt>
                <c:pt idx="8">
                  <c:v>-43.240561992797971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77-4321-BE17-B4178790FF95}"/>
            </c:ext>
          </c:extLst>
        </c:ser>
        <c:ser>
          <c:idx val="3"/>
          <c:order val="3"/>
          <c:tx>
            <c:strRef>
              <c:f>Экономика!$Z$12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Экономика!$AM$28:$AM$36</c:f>
              <c:numCache>
                <c:formatCode>General</c:formatCode>
                <c:ptCount val="9"/>
                <c:pt idx="0">
                  <c:v>-160.57136058205626</c:v>
                </c:pt>
                <c:pt idx="1">
                  <c:v>-149.40403457462438</c:v>
                </c:pt>
                <c:pt idx="2">
                  <c:v>-136.90755145557955</c:v>
                </c:pt>
                <c:pt idx="3">
                  <c:v>-137.35141984015991</c:v>
                </c:pt>
                <c:pt idx="4">
                  <c:v>-138.8671079988174</c:v>
                </c:pt>
                <c:pt idx="5">
                  <c:v>-136.4959238266872</c:v>
                </c:pt>
                <c:pt idx="6">
                  <c:v>-133.72893991760478</c:v>
                </c:pt>
                <c:pt idx="7">
                  <c:v>-123.86032650352578</c:v>
                </c:pt>
                <c:pt idx="8">
                  <c:v>-120.72185196214926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77-4321-BE17-B4178790FF95}"/>
            </c:ext>
          </c:extLst>
        </c:ser>
        <c:ser>
          <c:idx val="4"/>
          <c:order val="4"/>
          <c:tx>
            <c:strRef>
              <c:f>Экономика!$Z$13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Экономика!$AN$28:$AN$36</c:f>
              <c:numCache>
                <c:formatCode>General</c:formatCode>
                <c:ptCount val="9"/>
                <c:pt idx="0">
                  <c:v>-103.53076736880801</c:v>
                </c:pt>
                <c:pt idx="1">
                  <c:v>-90.568055953140686</c:v>
                </c:pt>
                <c:pt idx="2">
                  <c:v>-76.418612961622912</c:v>
                </c:pt>
                <c:pt idx="3">
                  <c:v>-77.337825346141585</c:v>
                </c:pt>
                <c:pt idx="4">
                  <c:v>-79.533450190143043</c:v>
                </c:pt>
                <c:pt idx="5">
                  <c:v>-78.543558076340943</c:v>
                </c:pt>
                <c:pt idx="6">
                  <c:v>-76.629987228512007</c:v>
                </c:pt>
                <c:pt idx="7">
                  <c:v>-69.316040430323199</c:v>
                </c:pt>
                <c:pt idx="8">
                  <c:v>-64.808136027877566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B77-4321-BE17-B4178790F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763408"/>
        <c:axId val="1489322416"/>
      </c:scatterChart>
      <c:valAx>
        <c:axId val="1540763408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</a:t>
                </a:r>
                <a:r>
                  <a:rPr lang="ru-RU" baseline="0"/>
                  <a:t> °С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489322416"/>
        <c:crosses val="autoZero"/>
        <c:crossBetween val="midCat"/>
      </c:valAx>
      <c:valAx>
        <c:axId val="14893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Маржинальная</a:t>
                </a:r>
                <a:r>
                  <a:rPr lang="ru-RU" baseline="0"/>
                  <a:t> прибыль, тыс руб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4076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'10x15x4'!$BR$1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'10x15x4'!$BM$3:$BM$11</c:f>
              <c:numCache>
                <c:formatCode>0.00</c:formatCode>
                <c:ptCount val="9"/>
                <c:pt idx="0">
                  <c:v>-19.985375752121826</c:v>
                </c:pt>
                <c:pt idx="1">
                  <c:v>-21.404485781898728</c:v>
                </c:pt>
                <c:pt idx="2">
                  <c:v>-22.244085922223377</c:v>
                </c:pt>
                <c:pt idx="3">
                  <c:v>-22.540220497351044</c:v>
                </c:pt>
                <c:pt idx="4">
                  <c:v>-22.589764173007069</c:v>
                </c:pt>
                <c:pt idx="5">
                  <c:v>-22.172531955170228</c:v>
                </c:pt>
                <c:pt idx="6">
                  <c:v>-21.223154867171274</c:v>
                </c:pt>
                <c:pt idx="7">
                  <c:v>-19.329578747815816</c:v>
                </c:pt>
                <c:pt idx="8">
                  <c:v>-19.706150129946025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B6-449C-BA03-978FED464B7F}"/>
            </c:ext>
          </c:extLst>
        </c:ser>
        <c:ser>
          <c:idx val="1"/>
          <c:order val="1"/>
          <c:tx>
            <c:strRef>
              <c:f>'10x15x4'!$BR$2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'10x15x4'!$BN$3:$BN$11</c:f>
              <c:numCache>
                <c:formatCode>0.00</c:formatCode>
                <c:ptCount val="9"/>
                <c:pt idx="0">
                  <c:v>1.785670476860588</c:v>
                </c:pt>
                <c:pt idx="1">
                  <c:v>3.7707489985625955</c:v>
                </c:pt>
                <c:pt idx="2">
                  <c:v>5.0370470895367419</c:v>
                </c:pt>
                <c:pt idx="3">
                  <c:v>4.5798326234789783</c:v>
                </c:pt>
                <c:pt idx="4">
                  <c:v>4.0711473002092475</c:v>
                </c:pt>
                <c:pt idx="5">
                  <c:v>3.8795029946386705</c:v>
                </c:pt>
                <c:pt idx="6">
                  <c:v>3.9271005623150756</c:v>
                </c:pt>
                <c:pt idx="7">
                  <c:v>4.38024799672516</c:v>
                </c:pt>
                <c:pt idx="8">
                  <c:v>4.2998259590844725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B6-449C-BA03-978FED464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50543"/>
        <c:axId val="487331103"/>
      </c:scatterChart>
      <c:valAx>
        <c:axId val="566250543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87331103"/>
        <c:crosses val="autoZero"/>
        <c:crossBetween val="midCat"/>
      </c:valAx>
      <c:valAx>
        <c:axId val="4873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Изменение мощности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66250543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'10x15x4'!$BR$1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'10x15x4'!$Z$3:$Z$11</c:f>
              <c:numCache>
                <c:formatCode>0.00%</c:formatCode>
                <c:ptCount val="9"/>
                <c:pt idx="0">
                  <c:v>0.75136448275267009</c:v>
                </c:pt>
                <c:pt idx="1">
                  <c:v>0.76163557381218006</c:v>
                </c:pt>
                <c:pt idx="2">
                  <c:v>0.77340559579485491</c:v>
                </c:pt>
                <c:pt idx="3">
                  <c:v>0.77916950197391988</c:v>
                </c:pt>
                <c:pt idx="4">
                  <c:v>0.78476560446438082</c:v>
                </c:pt>
                <c:pt idx="5">
                  <c:v>0.78910597610671429</c:v>
                </c:pt>
                <c:pt idx="6">
                  <c:v>0.79461590324402842</c:v>
                </c:pt>
                <c:pt idx="7">
                  <c:v>0.80250462526931265</c:v>
                </c:pt>
                <c:pt idx="8">
                  <c:v>0.8058508763016925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4E-453A-B38C-C7FD04ABF509}"/>
            </c:ext>
          </c:extLst>
        </c:ser>
        <c:ser>
          <c:idx val="0"/>
          <c:order val="1"/>
          <c:tx>
            <c:strRef>
              <c:f>'10x15x4'!$BR$2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'10x15x4'!$BE$3:$BE$11</c:f>
              <c:numCache>
                <c:formatCode>0.00%</c:formatCode>
                <c:ptCount val="9"/>
                <c:pt idx="0">
                  <c:v>0.71001273966061818</c:v>
                </c:pt>
                <c:pt idx="1">
                  <c:v>0.72754106976953747</c:v>
                </c:pt>
                <c:pt idx="2">
                  <c:v>0.74321882393484706</c:v>
                </c:pt>
                <c:pt idx="3">
                  <c:v>0.74706244968624813</c:v>
                </c:pt>
                <c:pt idx="4">
                  <c:v>0.75025973587747741</c:v>
                </c:pt>
                <c:pt idx="5">
                  <c:v>0.752699038318832</c:v>
                </c:pt>
                <c:pt idx="6">
                  <c:v>0.75647219318908399</c:v>
                </c:pt>
                <c:pt idx="7">
                  <c:v>0.76293879848470081</c:v>
                </c:pt>
                <c:pt idx="8">
                  <c:v>0.76469736425550117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4E-453A-B38C-C7FD04ABF509}"/>
            </c:ext>
          </c:extLst>
        </c:ser>
        <c:ser>
          <c:idx val="2"/>
          <c:order val="2"/>
          <c:tx>
            <c:strRef>
              <c:f>'10x15x4'!$BR$3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ПКМ'!$J$3:$J$11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4E-453A-B38C-C7FD04ABF509}"/>
            </c:ext>
          </c:extLst>
        </c:ser>
        <c:ser>
          <c:idx val="3"/>
          <c:order val="3"/>
          <c:tx>
            <c:strRef>
              <c:f>'10x15x4'!$BR$4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4E-453A-B38C-C7FD04ABF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КИТТ ПГУ</a:t>
                </a:r>
              </a:p>
            </c:rich>
          </c:tx>
          <c:layout>
            <c:manualLayout>
              <c:xMode val="edge"/>
              <c:yMode val="edge"/>
              <c:x val="1.9374152898382763E-2"/>
              <c:y val="0.202680711868261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'10x15x4'!$BR$1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'10x15x4'!$AC$3:$AC$11</c:f>
              <c:numCache>
                <c:formatCode>0.00%</c:formatCode>
                <c:ptCount val="9"/>
                <c:pt idx="0">
                  <c:v>0.77245914139341476</c:v>
                </c:pt>
                <c:pt idx="1">
                  <c:v>0.78117164421597773</c:v>
                </c:pt>
                <c:pt idx="2">
                  <c:v>0.79161391937434522</c:v>
                </c:pt>
                <c:pt idx="3">
                  <c:v>0.79709736990754965</c:v>
                </c:pt>
                <c:pt idx="4">
                  <c:v>0.8024328336107649</c:v>
                </c:pt>
                <c:pt idx="5">
                  <c:v>0.80661910427735006</c:v>
                </c:pt>
                <c:pt idx="6">
                  <c:v>0.8118854654583133</c:v>
                </c:pt>
                <c:pt idx="7">
                  <c:v>0.81935700846397519</c:v>
                </c:pt>
                <c:pt idx="8">
                  <c:v>0.82253847050819084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B3-4A84-B36E-4CB216FA0B08}"/>
            </c:ext>
          </c:extLst>
        </c:ser>
        <c:ser>
          <c:idx val="1"/>
          <c:order val="1"/>
          <c:tx>
            <c:strRef>
              <c:f>'10x15x4'!$BR$2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'10x15x4'!$BI$3:$BI$11</c:f>
              <c:numCache>
                <c:formatCode>0.00%</c:formatCode>
                <c:ptCount val="9"/>
                <c:pt idx="0">
                  <c:v>0.71056350477782793</c:v>
                </c:pt>
                <c:pt idx="1">
                  <c:v>0.72742210886257397</c:v>
                </c:pt>
                <c:pt idx="2">
                  <c:v>0.74281023924363176</c:v>
                </c:pt>
                <c:pt idx="3">
                  <c:v>0.7469684020753371</c:v>
                </c:pt>
                <c:pt idx="4">
                  <c:v>0.75051373674297472</c:v>
                </c:pt>
                <c:pt idx="5">
                  <c:v>0.75333982895124063</c:v>
                </c:pt>
                <c:pt idx="6">
                  <c:v>0.75743875413784911</c:v>
                </c:pt>
                <c:pt idx="7">
                  <c:v>0.76411427516932462</c:v>
                </c:pt>
                <c:pt idx="8">
                  <c:v>0.76591330136077718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B3-4A84-B36E-4CB216FA0B08}"/>
            </c:ext>
          </c:extLst>
        </c:ser>
        <c:ser>
          <c:idx val="2"/>
          <c:order val="2"/>
          <c:tx>
            <c:strRef>
              <c:f>'10x15x4'!$BR$3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ПКМ'!$J$3:$J$11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B3-4A84-B36E-4CB216FA0B08}"/>
            </c:ext>
          </c:extLst>
        </c:ser>
        <c:ser>
          <c:idx val="3"/>
          <c:order val="3"/>
          <c:tx>
            <c:strRef>
              <c:f>'10x15x4'!$BR$4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B3-4A84-B36E-4CB216FA0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КИТТ установки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28518518518515"/>
          <c:y val="0.8242666666666667"/>
          <c:w val="0.77987407407407427"/>
          <c:h val="0.15456666666666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'10x15x4'!$BR$1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'10x15x4'!$AB$3:$AB$11</c:f>
              <c:numCache>
                <c:formatCode>0.00%</c:formatCode>
                <c:ptCount val="9"/>
                <c:pt idx="0">
                  <c:v>0.59138137125468226</c:v>
                </c:pt>
                <c:pt idx="1">
                  <c:v>0.60853305569834926</c:v>
                </c:pt>
                <c:pt idx="2">
                  <c:v>0.62775298552026604</c:v>
                </c:pt>
                <c:pt idx="3">
                  <c:v>0.63593152341236958</c:v>
                </c:pt>
                <c:pt idx="4">
                  <c:v>0.64394300217903166</c:v>
                </c:pt>
                <c:pt idx="5">
                  <c:v>0.65105875138571945</c:v>
                </c:pt>
                <c:pt idx="6">
                  <c:v>0.65886947173043775</c:v>
                </c:pt>
                <c:pt idx="7">
                  <c:v>0.66828158146950156</c:v>
                </c:pt>
                <c:pt idx="8">
                  <c:v>0.67094723697600755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0D-4FAD-AD34-B39C8F77A5A6}"/>
            </c:ext>
          </c:extLst>
        </c:ser>
        <c:ser>
          <c:idx val="0"/>
          <c:order val="1"/>
          <c:tx>
            <c:strRef>
              <c:f>'10x15x4'!$BR$2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'10x15x4'!$BH$3:$BH$11</c:f>
              <c:numCache>
                <c:formatCode>0.00%</c:formatCode>
                <c:ptCount val="9"/>
                <c:pt idx="0">
                  <c:v>0.58256701205598516</c:v>
                </c:pt>
                <c:pt idx="1">
                  <c:v>0.59941203892312012</c:v>
                </c:pt>
                <c:pt idx="2">
                  <c:v>0.61681329680231312</c:v>
                </c:pt>
                <c:pt idx="3">
                  <c:v>0.62320671307814179</c:v>
                </c:pt>
                <c:pt idx="4">
                  <c:v>0.62873882179437801</c:v>
                </c:pt>
                <c:pt idx="5">
                  <c:v>0.6332819585120133</c:v>
                </c:pt>
                <c:pt idx="6">
                  <c:v>0.63844681572636408</c:v>
                </c:pt>
                <c:pt idx="7">
                  <c:v>0.6448430141482937</c:v>
                </c:pt>
                <c:pt idx="8">
                  <c:v>0.64599369556858866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0D-4FAD-AD34-B39C8F77A5A6}"/>
            </c:ext>
          </c:extLst>
        </c:ser>
        <c:ser>
          <c:idx val="2"/>
          <c:order val="2"/>
          <c:tx>
            <c:strRef>
              <c:f>'10x15x4'!$BR$3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ПКМ'!$I$3:$I$11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0D-4FAD-AD34-B39C8F77A5A6}"/>
            </c:ext>
          </c:extLst>
        </c:ser>
        <c:ser>
          <c:idx val="3"/>
          <c:order val="3"/>
          <c:tx>
            <c:strRef>
              <c:f>'10x15x4'!$BR$4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0D-4FAD-AD34-B39C8F77A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layout>
            <c:manualLayout>
              <c:xMode val="edge"/>
              <c:yMode val="edge"/>
              <c:x val="0.3482238698985351"/>
              <c:y val="0.7399008982625936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электрический КПД установки по физ. методу</a:t>
                </a:r>
              </a:p>
            </c:rich>
          </c:tx>
          <c:layout>
            <c:manualLayout>
              <c:xMode val="edge"/>
              <c:yMode val="edge"/>
              <c:x val="2.2016626804089393E-2"/>
              <c:y val="3.0221167320922558E-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'10x15x6'!$BR$1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'10x15x6'!$T$3:$T$11</c:f>
              <c:numCache>
                <c:formatCode>0.00</c:formatCode>
                <c:ptCount val="9"/>
                <c:pt idx="0">
                  <c:v>145.76171795256545</c:v>
                </c:pt>
                <c:pt idx="1">
                  <c:v>156.07793848959955</c:v>
                </c:pt>
                <c:pt idx="2">
                  <c:v>164.50090500611481</c:v>
                </c:pt>
                <c:pt idx="3">
                  <c:v>165.09325335173182</c:v>
                </c:pt>
                <c:pt idx="4">
                  <c:v>165.40175437281249</c:v>
                </c:pt>
                <c:pt idx="5">
                  <c:v>166.66032050430897</c:v>
                </c:pt>
                <c:pt idx="6">
                  <c:v>166.42841300535827</c:v>
                </c:pt>
                <c:pt idx="7">
                  <c:v>164.22916321431606</c:v>
                </c:pt>
                <c:pt idx="8">
                  <c:v>161.79267065660849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A-4543-8070-1D7CBF78EFC8}"/>
            </c:ext>
          </c:extLst>
        </c:ser>
        <c:ser>
          <c:idx val="1"/>
          <c:order val="1"/>
          <c:tx>
            <c:strRef>
              <c:f>'10x15x6'!$BR$2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'10x15x6'!$AY$3:$AY$11</c:f>
              <c:numCache>
                <c:formatCode>0.00</c:formatCode>
                <c:ptCount val="9"/>
                <c:pt idx="0">
                  <c:v>214.85981208830503</c:v>
                </c:pt>
                <c:pt idx="1">
                  <c:v>216.69919543259124</c:v>
                </c:pt>
                <c:pt idx="2">
                  <c:v>219.60893439851642</c:v>
                </c:pt>
                <c:pt idx="3">
                  <c:v>221.99474136355175</c:v>
                </c:pt>
                <c:pt idx="4">
                  <c:v>224.05340828475335</c:v>
                </c:pt>
                <c:pt idx="5">
                  <c:v>226.04086722432811</c:v>
                </c:pt>
                <c:pt idx="6">
                  <c:v>225.79889031763764</c:v>
                </c:pt>
                <c:pt idx="7">
                  <c:v>220.99364804510614</c:v>
                </c:pt>
                <c:pt idx="8">
                  <c:v>218.08229471783972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2A-4543-8070-1D7CBF78EFC8}"/>
            </c:ext>
          </c:extLst>
        </c:ser>
        <c:ser>
          <c:idx val="2"/>
          <c:order val="2"/>
          <c:tx>
            <c:strRef>
              <c:f>'10x15x6'!$BR$3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ПКМ'!$H$3:$H$11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2A-4543-8070-1D7CBF78EFC8}"/>
            </c:ext>
          </c:extLst>
        </c:ser>
        <c:ser>
          <c:idx val="3"/>
          <c:order val="3"/>
          <c:tx>
            <c:strRef>
              <c:f>'10x15x6'!$BR$4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ПКМ'!$B$3:$B$11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2A-4543-8070-1D7CBF78E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'10x15x6'!$BR$1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'10x15x6'!$Y$3:$Y$11</c:f>
              <c:numCache>
                <c:formatCode>0.00%</c:formatCode>
                <c:ptCount val="9"/>
                <c:pt idx="0">
                  <c:v>0.58086013736570852</c:v>
                </c:pt>
                <c:pt idx="1">
                  <c:v>0.60115756120526298</c:v>
                </c:pt>
                <c:pt idx="2">
                  <c:v>0.61302953267219085</c:v>
                </c:pt>
                <c:pt idx="3">
                  <c:v>0.62069076357497488</c:v>
                </c:pt>
                <c:pt idx="4">
                  <c:v>0.62830545426216289</c:v>
                </c:pt>
                <c:pt idx="5">
                  <c:v>0.6351293403789009</c:v>
                </c:pt>
                <c:pt idx="6">
                  <c:v>0.64285862955507822</c:v>
                </c:pt>
                <c:pt idx="7">
                  <c:v>0.65232621625312426</c:v>
                </c:pt>
                <c:pt idx="8">
                  <c:v>0.66467044400449637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DE-45D9-A7D5-12E74E26D111}"/>
            </c:ext>
          </c:extLst>
        </c:ser>
        <c:ser>
          <c:idx val="0"/>
          <c:order val="1"/>
          <c:tx>
            <c:strRef>
              <c:f>'10x15x6'!$BR$2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'10x15x6'!$BD$3:$BD$11</c:f>
              <c:numCache>
                <c:formatCode>0.00%</c:formatCode>
                <c:ptCount val="9"/>
                <c:pt idx="0">
                  <c:v>0.56884269544471133</c:v>
                </c:pt>
                <c:pt idx="1">
                  <c:v>0.58480448414509012</c:v>
                </c:pt>
                <c:pt idx="2">
                  <c:v>0.60070437545674193</c:v>
                </c:pt>
                <c:pt idx="3">
                  <c:v>0.6064889380518107</c:v>
                </c:pt>
                <c:pt idx="4">
                  <c:v>0.61100252373430775</c:v>
                </c:pt>
                <c:pt idx="5">
                  <c:v>0.61483062025046087</c:v>
                </c:pt>
                <c:pt idx="6">
                  <c:v>0.61872711905418454</c:v>
                </c:pt>
                <c:pt idx="7">
                  <c:v>0.62293945471372025</c:v>
                </c:pt>
                <c:pt idx="8">
                  <c:v>0.62443154576541904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DE-45D9-A7D5-12E74E26D111}"/>
            </c:ext>
          </c:extLst>
        </c:ser>
        <c:ser>
          <c:idx val="2"/>
          <c:order val="2"/>
          <c:tx>
            <c:strRef>
              <c:f>'10x15x6'!$BR$3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ПКМ'!$I$3:$I$11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DE-45D9-A7D5-12E74E26D111}"/>
            </c:ext>
          </c:extLst>
        </c:ser>
        <c:ser>
          <c:idx val="3"/>
          <c:order val="3"/>
          <c:tx>
            <c:strRef>
              <c:f>'10x15x6'!$BR$4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DE-45D9-A7D5-12E74E26D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 i="0" u="none" strike="noStrike" baseline="0">
                    <a:effectLst/>
                  </a:rPr>
                  <a:t>электрический </a:t>
                </a:r>
                <a:r>
                  <a:rPr lang="ru-RU"/>
                  <a:t>КПД ПГУ по физ. методу</a:t>
                </a:r>
              </a:p>
            </c:rich>
          </c:tx>
          <c:layout>
            <c:manualLayout>
              <c:xMode val="edge"/>
              <c:yMode val="edge"/>
              <c:x val="1.937415580538172E-2"/>
              <c:y val="3.0881466872495492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'10x15x6'!$BR$1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'10x15x6'!$BM$3:$BM$11</c:f>
              <c:numCache>
                <c:formatCode>0.00</c:formatCode>
                <c:ptCount val="9"/>
                <c:pt idx="0">
                  <c:v>-29.302537552548813</c:v>
                </c:pt>
                <c:pt idx="1">
                  <c:v>-31.379282182149524</c:v>
                </c:pt>
                <c:pt idx="2">
                  <c:v>-33.351121993257834</c:v>
                </c:pt>
                <c:pt idx="3">
                  <c:v>-33.393231801633419</c:v>
                </c:pt>
                <c:pt idx="4">
                  <c:v>-33.431100949962598</c:v>
                </c:pt>
                <c:pt idx="5">
                  <c:v>-33.047889422432121</c:v>
                </c:pt>
                <c:pt idx="6">
                  <c:v>-32.311065848740611</c:v>
                </c:pt>
                <c:pt idx="7">
                  <c:v>-30.063281473254392</c:v>
                </c:pt>
                <c:pt idx="8">
                  <c:v>-29.379790879127825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23-4001-8B4E-9E33628AC8D1}"/>
            </c:ext>
          </c:extLst>
        </c:ser>
        <c:ser>
          <c:idx val="1"/>
          <c:order val="1"/>
          <c:tx>
            <c:strRef>
              <c:f>'10x15x6'!$BR$2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'10x15x6'!$BN$3:$BN$11</c:f>
              <c:numCache>
                <c:formatCode>0.00</c:formatCode>
                <c:ptCount val="9"/>
                <c:pt idx="0">
                  <c:v>9.7221224993948567</c:v>
                </c:pt>
                <c:pt idx="1">
                  <c:v>11.571083427976703</c:v>
                </c:pt>
                <c:pt idx="2">
                  <c:v>12.659574887171402</c:v>
                </c:pt>
                <c:pt idx="3">
                  <c:v>12.299858533014799</c:v>
                </c:pt>
                <c:pt idx="4">
                  <c:v>11.752833313376442</c:v>
                </c:pt>
                <c:pt idx="5">
                  <c:v>11.627461646178205</c:v>
                </c:pt>
                <c:pt idx="6">
                  <c:v>11.625293297297389</c:v>
                </c:pt>
                <c:pt idx="7">
                  <c:v>11.900176393750513</c:v>
                </c:pt>
                <c:pt idx="8">
                  <c:v>12.129211791066751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23-4001-8B4E-9E33628AC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50543"/>
        <c:axId val="487331103"/>
      </c:scatterChart>
      <c:valAx>
        <c:axId val="566250543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87331103"/>
        <c:crosses val="autoZero"/>
        <c:crossBetween val="midCat"/>
      </c:valAx>
      <c:valAx>
        <c:axId val="4873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Изменение мощности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66250543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467978</xdr:colOff>
      <xdr:row>25</xdr:row>
      <xdr:rowOff>101158</xdr:rowOff>
    </xdr:from>
    <xdr:to>
      <xdr:col>75</xdr:col>
      <xdr:colOff>234621</xdr:colOff>
      <xdr:row>43</xdr:row>
      <xdr:rowOff>108873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1E55F35-5883-4D99-BED1-15770F8E9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</xdr:col>
      <xdr:colOff>452506</xdr:colOff>
      <xdr:row>5</xdr:row>
      <xdr:rowOff>37886</xdr:rowOff>
    </xdr:from>
    <xdr:to>
      <xdr:col>75</xdr:col>
      <xdr:colOff>219149</xdr:colOff>
      <xdr:row>23</xdr:row>
      <xdr:rowOff>45600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5C0E36E-C93C-4B14-B285-E1B43B08B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75</xdr:col>
      <xdr:colOff>410002</xdr:colOff>
      <xdr:row>25</xdr:row>
      <xdr:rowOff>111404</xdr:rowOff>
    </xdr:from>
    <xdr:to>
      <xdr:col>84</xdr:col>
      <xdr:colOff>13359</xdr:colOff>
      <xdr:row>43</xdr:row>
      <xdr:rowOff>119119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DB165F1-4F04-48A0-8ABB-4773F798A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74</xdr:col>
      <xdr:colOff>536281</xdr:colOff>
      <xdr:row>5</xdr:row>
      <xdr:rowOff>76305</xdr:rowOff>
    </xdr:from>
    <xdr:to>
      <xdr:col>83</xdr:col>
      <xdr:colOff>139638</xdr:colOff>
      <xdr:row>23</xdr:row>
      <xdr:rowOff>84019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365E9F4-358C-44E9-B692-3DC973817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91</xdr:col>
      <xdr:colOff>635001</xdr:colOff>
      <xdr:row>6</xdr:row>
      <xdr:rowOff>81641</xdr:rowOff>
    </xdr:from>
    <xdr:to>
      <xdr:col>100</xdr:col>
      <xdr:colOff>238358</xdr:colOff>
      <xdr:row>24</xdr:row>
      <xdr:rowOff>89356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DF2DCBD-9784-4291-95AD-12558AB23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83</xdr:col>
      <xdr:colOff>308428</xdr:colOff>
      <xdr:row>6</xdr:row>
      <xdr:rowOff>63499</xdr:rowOff>
    </xdr:from>
    <xdr:to>
      <xdr:col>91</xdr:col>
      <xdr:colOff>555857</xdr:colOff>
      <xdr:row>24</xdr:row>
      <xdr:rowOff>71214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AA97EF8-799D-4BEB-8659-EED0AD864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467978</xdr:colOff>
      <xdr:row>25</xdr:row>
      <xdr:rowOff>101158</xdr:rowOff>
    </xdr:from>
    <xdr:to>
      <xdr:col>75</xdr:col>
      <xdr:colOff>234621</xdr:colOff>
      <xdr:row>43</xdr:row>
      <xdr:rowOff>108873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F6BEB3E-2D13-47D6-B391-4899F812C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</xdr:col>
      <xdr:colOff>452506</xdr:colOff>
      <xdr:row>5</xdr:row>
      <xdr:rowOff>37886</xdr:rowOff>
    </xdr:from>
    <xdr:to>
      <xdr:col>75</xdr:col>
      <xdr:colOff>219149</xdr:colOff>
      <xdr:row>23</xdr:row>
      <xdr:rowOff>45600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772C088-59B0-4397-9753-FD68D63B4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75</xdr:col>
      <xdr:colOff>410002</xdr:colOff>
      <xdr:row>25</xdr:row>
      <xdr:rowOff>111404</xdr:rowOff>
    </xdr:from>
    <xdr:to>
      <xdr:col>84</xdr:col>
      <xdr:colOff>13359</xdr:colOff>
      <xdr:row>43</xdr:row>
      <xdr:rowOff>119119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ABDCE7B-0030-48D7-8085-0E6DFB896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74</xdr:col>
      <xdr:colOff>536281</xdr:colOff>
      <xdr:row>5</xdr:row>
      <xdr:rowOff>76305</xdr:rowOff>
    </xdr:from>
    <xdr:to>
      <xdr:col>83</xdr:col>
      <xdr:colOff>139638</xdr:colOff>
      <xdr:row>23</xdr:row>
      <xdr:rowOff>84019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D019FEB-2CCB-44A9-8D1F-C2691B5AF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91</xdr:col>
      <xdr:colOff>635001</xdr:colOff>
      <xdr:row>6</xdr:row>
      <xdr:rowOff>81641</xdr:rowOff>
    </xdr:from>
    <xdr:to>
      <xdr:col>100</xdr:col>
      <xdr:colOff>238358</xdr:colOff>
      <xdr:row>24</xdr:row>
      <xdr:rowOff>89356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2C1EEE5-941D-41B5-8CD0-977C4E45E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83</xdr:col>
      <xdr:colOff>308428</xdr:colOff>
      <xdr:row>6</xdr:row>
      <xdr:rowOff>63499</xdr:rowOff>
    </xdr:from>
    <xdr:to>
      <xdr:col>91</xdr:col>
      <xdr:colOff>555857</xdr:colOff>
      <xdr:row>24</xdr:row>
      <xdr:rowOff>71214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20A5107-1F90-4276-BE57-ADCDF41AC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467978</xdr:colOff>
      <xdr:row>25</xdr:row>
      <xdr:rowOff>101158</xdr:rowOff>
    </xdr:from>
    <xdr:to>
      <xdr:col>75</xdr:col>
      <xdr:colOff>234621</xdr:colOff>
      <xdr:row>43</xdr:row>
      <xdr:rowOff>108873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C3B174C-D3C1-4373-B83A-EDBB6BB97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</xdr:col>
      <xdr:colOff>452506</xdr:colOff>
      <xdr:row>5</xdr:row>
      <xdr:rowOff>37886</xdr:rowOff>
    </xdr:from>
    <xdr:to>
      <xdr:col>75</xdr:col>
      <xdr:colOff>219149</xdr:colOff>
      <xdr:row>23</xdr:row>
      <xdr:rowOff>45600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953556A-DC37-4D8F-B85A-A3F012BC0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75</xdr:col>
      <xdr:colOff>410002</xdr:colOff>
      <xdr:row>25</xdr:row>
      <xdr:rowOff>111404</xdr:rowOff>
    </xdr:from>
    <xdr:to>
      <xdr:col>84</xdr:col>
      <xdr:colOff>13359</xdr:colOff>
      <xdr:row>43</xdr:row>
      <xdr:rowOff>119119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DB62043-BCE3-4FD3-9E1E-2BB991BA4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74</xdr:col>
      <xdr:colOff>536281</xdr:colOff>
      <xdr:row>5</xdr:row>
      <xdr:rowOff>76305</xdr:rowOff>
    </xdr:from>
    <xdr:to>
      <xdr:col>83</xdr:col>
      <xdr:colOff>139638</xdr:colOff>
      <xdr:row>23</xdr:row>
      <xdr:rowOff>84019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6CFC75F-0DA6-4DBE-8602-91C42EDD7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91</xdr:col>
      <xdr:colOff>635001</xdr:colOff>
      <xdr:row>6</xdr:row>
      <xdr:rowOff>81641</xdr:rowOff>
    </xdr:from>
    <xdr:to>
      <xdr:col>100</xdr:col>
      <xdr:colOff>238358</xdr:colOff>
      <xdr:row>24</xdr:row>
      <xdr:rowOff>89356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D3F9FFA-B014-4BB6-87CB-74B902D0E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83</xdr:col>
      <xdr:colOff>308428</xdr:colOff>
      <xdr:row>6</xdr:row>
      <xdr:rowOff>63499</xdr:rowOff>
    </xdr:from>
    <xdr:to>
      <xdr:col>91</xdr:col>
      <xdr:colOff>555857</xdr:colOff>
      <xdr:row>24</xdr:row>
      <xdr:rowOff>71214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ED2449BF-0000-4040-8D23-AF49B34A6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300318</xdr:colOff>
      <xdr:row>37</xdr:row>
      <xdr:rowOff>0</xdr:rowOff>
    </xdr:from>
    <xdr:to>
      <xdr:col>29</xdr:col>
      <xdr:colOff>715496</xdr:colOff>
      <xdr:row>51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0034C1F-660D-436A-B4E1-BFE284405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37</xdr:row>
      <xdr:rowOff>0</xdr:rowOff>
    </xdr:from>
    <xdr:to>
      <xdr:col>35</xdr:col>
      <xdr:colOff>403972</xdr:colOff>
      <xdr:row>51</xdr:row>
      <xdr:rowOff>76200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52D29B7-A97B-4C6A-AA36-F9CD5AF99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403412</xdr:colOff>
      <xdr:row>36</xdr:row>
      <xdr:rowOff>123265</xdr:rowOff>
    </xdr:from>
    <xdr:to>
      <xdr:col>41</xdr:col>
      <xdr:colOff>325531</xdr:colOff>
      <xdr:row>51</xdr:row>
      <xdr:rowOff>8965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2821D66-27B4-425A-B654-D660B03AE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9,%20Volume=10x15x4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9,%20Volume=10x15x6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5,%20Volume=10x15x6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0,%20Volume=10x15x6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5,%20Volume=10x15x6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0,%20Volume=10x15x6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5,%20Volume=10x15x6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0,%20Volume=10x15x6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5,%20Volume=10x15x6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8,%20Volume=10x15x6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9,%20Volume=10x15x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5,%20Volume=10x15x4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5,%20Volume=10x15x8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0,%20Volume=10x15x8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5,%20Volume=10x15x8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0,%20Volume=10x15x8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5,%20Volume=10x15x8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0,%20Volume=10x15x8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5,%20Volume=10x15x8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8,%20Volume=10x15x8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umovVY/Documents/GitHub/GZ/resdataASW_all_m3_&#1086;&#1073;&#1088;&#1072;&#1073;&#1086;&#1090;&#1082;&#1072;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umovVY/AppData/Roaming/Microsoft/AddIns/CoolProp.xla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0,%20Volume=10x15x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5,%20Volume=10x15x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0,%20Volume=10x15x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5,%20Volume=10x15x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0,%20Volume=10x15x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5,%20Volume=10x15x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8,%20Volume=10x15x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6.8646396156210638</v>
          </cell>
        </row>
        <row r="13">
          <cell r="E13">
            <v>0.35758564561131367</v>
          </cell>
        </row>
      </sheetData>
      <sheetData sheetId="1"/>
      <sheetData sheetId="2">
        <row r="2">
          <cell r="E2">
            <v>5.9869605762720548</v>
          </cell>
        </row>
      </sheetData>
      <sheetData sheetId="3">
        <row r="2">
          <cell r="C2">
            <v>2.780258745618279</v>
          </cell>
        </row>
        <row r="5">
          <cell r="C5">
            <v>128.566613057654</v>
          </cell>
          <cell r="E5">
            <v>31.546916700473631</v>
          </cell>
        </row>
        <row r="6">
          <cell r="C6">
            <v>6.2226770310654276</v>
          </cell>
        </row>
        <row r="7">
          <cell r="B7">
            <v>36.836835543464566</v>
          </cell>
        </row>
        <row r="12">
          <cell r="C12">
            <v>4.5148202234181083E-2</v>
          </cell>
        </row>
      </sheetData>
      <sheetData sheetId="4">
        <row r="8">
          <cell r="B8">
            <v>22.984803101726609</v>
          </cell>
        </row>
        <row r="9">
          <cell r="B9">
            <v>106.62572767686279</v>
          </cell>
        </row>
        <row r="10">
          <cell r="B10">
            <v>8.9140276768314006</v>
          </cell>
        </row>
        <row r="11">
          <cell r="B11">
            <v>17231.94564363292</v>
          </cell>
        </row>
        <row r="17">
          <cell r="B17">
            <v>18591.05198403848</v>
          </cell>
        </row>
      </sheetData>
      <sheetData sheetId="5"/>
      <sheetData sheetId="6">
        <row r="3">
          <cell r="B3">
            <v>0.77608724530758166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1.0271071353204311</v>
          </cell>
        </row>
        <row r="5">
          <cell r="C5">
            <v>165.66</v>
          </cell>
          <cell r="E5">
            <v>34.07583168780608</v>
          </cell>
        </row>
        <row r="6">
          <cell r="C6">
            <v>6.3013810203264402</v>
          </cell>
        </row>
        <row r="7">
          <cell r="B7">
            <v>42.549646545415897</v>
          </cell>
        </row>
        <row r="12">
          <cell r="C12">
            <v>8.8192589148872819E-2</v>
          </cell>
        </row>
        <row r="13">
          <cell r="B13">
            <v>15692.399971800171</v>
          </cell>
        </row>
        <row r="14">
          <cell r="B14">
            <v>23549.25198206093</v>
          </cell>
        </row>
      </sheetData>
      <sheetData sheetId="11">
        <row r="8">
          <cell r="B8">
            <v>27.762997787085489</v>
          </cell>
        </row>
        <row r="9">
          <cell r="B9">
            <v>108.7387265296335</v>
          </cell>
        </row>
        <row r="10">
          <cell r="B10">
            <v>9.2172585916899052</v>
          </cell>
        </row>
        <row r="18">
          <cell r="B18">
            <v>11356.502984722991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10.26870667554015</v>
          </cell>
        </row>
        <row r="13">
          <cell r="E13">
            <v>0.53490675574729651</v>
          </cell>
        </row>
      </sheetData>
      <sheetData sheetId="1"/>
      <sheetData sheetId="2">
        <row r="2">
          <cell r="E2">
            <v>8.9804363986659563</v>
          </cell>
        </row>
      </sheetData>
      <sheetData sheetId="3">
        <row r="2">
          <cell r="C2">
            <v>2.6912326256171188</v>
          </cell>
        </row>
        <row r="5">
          <cell r="C5">
            <v>121.9854992742324</v>
          </cell>
          <cell r="E5">
            <v>30.992943752494529</v>
          </cell>
        </row>
        <row r="6">
          <cell r="C6">
            <v>6.2087133585288381</v>
          </cell>
        </row>
        <row r="7">
          <cell r="B7">
            <v>33.90524709882861</v>
          </cell>
        </row>
        <row r="12">
          <cell r="C12">
            <v>4.5564720248426588E-2</v>
          </cell>
        </row>
      </sheetData>
      <sheetData sheetId="4">
        <row r="8">
          <cell r="B8">
            <v>20.006828800443341</v>
          </cell>
        </row>
        <row r="9">
          <cell r="B9">
            <v>101.1812938027176</v>
          </cell>
        </row>
        <row r="10">
          <cell r="B10">
            <v>8.3698044851013496</v>
          </cell>
        </row>
        <row r="11">
          <cell r="B11">
            <v>25894.800291501651</v>
          </cell>
        </row>
        <row r="17">
          <cell r="B17">
            <v>27607.691801218771</v>
          </cell>
        </row>
      </sheetData>
      <sheetData sheetId="5"/>
      <sheetData sheetId="6">
        <row r="3">
          <cell r="B3">
            <v>0.73636061375245909</v>
          </cell>
        </row>
      </sheetData>
      <sheetData sheetId="7"/>
      <sheetData sheetId="8"/>
      <sheetData sheetId="9">
        <row r="9">
          <cell r="E9">
            <v>2.2045624987878698</v>
          </cell>
        </row>
        <row r="10">
          <cell r="E10">
            <v>1.0811111111111109</v>
          </cell>
        </row>
      </sheetData>
      <sheetData sheetId="10">
        <row r="2">
          <cell r="C2">
            <v>1.0128026458503281</v>
          </cell>
        </row>
        <row r="5">
          <cell r="C5">
            <v>165.66</v>
          </cell>
          <cell r="E5">
            <v>34.07583168780608</v>
          </cell>
        </row>
        <row r="6">
          <cell r="C6">
            <v>6.3013810203264402</v>
          </cell>
        </row>
        <row r="7">
          <cell r="B7">
            <v>43.147398746878949</v>
          </cell>
        </row>
        <row r="12">
          <cell r="C12">
            <v>0.12976316416015471</v>
          </cell>
        </row>
        <row r="13">
          <cell r="B13">
            <v>31213.3847120629</v>
          </cell>
        </row>
        <row r="14">
          <cell r="B14">
            <v>46839.366324814247</v>
          </cell>
        </row>
      </sheetData>
      <sheetData sheetId="11">
        <row r="8">
          <cell r="B8">
            <v>25.814546488961991</v>
          </cell>
        </row>
        <row r="9">
          <cell r="B9">
            <v>100.3073010662318</v>
          </cell>
        </row>
        <row r="10">
          <cell r="B10">
            <v>8.4286631160964571</v>
          </cell>
        </row>
        <row r="18">
          <cell r="B18">
            <v>22587.26371824781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10.276467258607241</v>
          </cell>
        </row>
        <row r="13">
          <cell r="E13">
            <v>0.53531101194452646</v>
          </cell>
        </row>
      </sheetData>
      <sheetData sheetId="1"/>
      <sheetData sheetId="2">
        <row r="2">
          <cell r="E2">
            <v>8.9804362965309306</v>
          </cell>
        </row>
      </sheetData>
      <sheetData sheetId="3">
        <row r="2">
          <cell r="C2">
            <v>2.5741844213351319</v>
          </cell>
        </row>
        <row r="5">
          <cell r="C5">
            <v>130.33246569749991</v>
          </cell>
          <cell r="E5">
            <v>31.706807450106151</v>
          </cell>
        </row>
        <row r="6">
          <cell r="C6">
            <v>6.2264237810567131</v>
          </cell>
        </row>
        <row r="7">
          <cell r="B7">
            <v>35.824529131565171</v>
          </cell>
        </row>
        <row r="12">
          <cell r="C12">
            <v>4.5166004330883899E-2</v>
          </cell>
        </row>
      </sheetData>
      <sheetData sheetId="4">
        <row r="8">
          <cell r="B8">
            <v>21.488764205851091</v>
          </cell>
        </row>
        <row r="9">
          <cell r="B9">
            <v>105.3921340237506</v>
          </cell>
        </row>
        <row r="10">
          <cell r="B10">
            <v>8.9930551281994742</v>
          </cell>
        </row>
        <row r="11">
          <cell r="B11">
            <v>25881.916241254759</v>
          </cell>
        </row>
        <row r="17">
          <cell r="B17">
            <v>27881.643296139278</v>
          </cell>
        </row>
      </sheetData>
      <sheetData sheetId="5"/>
      <sheetData sheetId="6">
        <row r="3">
          <cell r="B3">
            <v>0.78674674452191151</v>
          </cell>
        </row>
      </sheetData>
      <sheetData sheetId="7"/>
      <sheetData sheetId="8"/>
      <sheetData sheetId="9">
        <row r="9">
          <cell r="E9">
            <v>2.2045624987878698</v>
          </cell>
        </row>
        <row r="10">
          <cell r="E10">
            <v>1.0811111111111109</v>
          </cell>
        </row>
      </sheetData>
      <sheetData sheetId="10">
        <row r="2">
          <cell r="C2">
            <v>0.96978754564472947</v>
          </cell>
        </row>
        <row r="5">
          <cell r="C5">
            <v>165.66</v>
          </cell>
          <cell r="E5">
            <v>34.082383064645562</v>
          </cell>
        </row>
        <row r="6">
          <cell r="C6">
            <v>6.3013810203264402</v>
          </cell>
        </row>
        <row r="7">
          <cell r="B7">
            <v>44.982903645779267</v>
          </cell>
        </row>
        <row r="12">
          <cell r="C12">
            <v>0.125066132074037</v>
          </cell>
        </row>
        <row r="13">
          <cell r="B13">
            <v>31232.48568046244</v>
          </cell>
        </row>
        <row r="14">
          <cell r="B14">
            <v>46866.747109419157</v>
          </cell>
        </row>
      </sheetData>
      <sheetData sheetId="11">
        <row r="8">
          <cell r="B8">
            <v>27.337068517210589</v>
          </cell>
        </row>
        <row r="9">
          <cell r="B9">
            <v>104.53093190603271</v>
          </cell>
        </row>
        <row r="10">
          <cell r="B10">
            <v>9.0538467157035925</v>
          </cell>
        </row>
        <row r="18">
          <cell r="B18">
            <v>22806.70693068636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10.27845329797508</v>
          </cell>
        </row>
        <row r="13">
          <cell r="E13">
            <v>0.53541446663542436</v>
          </cell>
        </row>
      </sheetData>
      <sheetData sheetId="1"/>
      <sheetData sheetId="2">
        <row r="2">
          <cell r="E2">
            <v>8.9804989210572828</v>
          </cell>
        </row>
      </sheetData>
      <sheetData sheetId="3">
        <row r="2">
          <cell r="C2">
            <v>2.163096221707324</v>
          </cell>
        </row>
        <row r="5">
          <cell r="C5">
            <v>135.7396939341667</v>
          </cell>
          <cell r="E5">
            <v>32.194116049520481</v>
          </cell>
        </row>
        <row r="6">
          <cell r="C6">
            <v>6.237896727264939</v>
          </cell>
        </row>
        <row r="7">
          <cell r="B7">
            <v>38.493123156767822</v>
          </cell>
        </row>
        <row r="12">
          <cell r="C12">
            <v>4.4182308670529739E-2</v>
          </cell>
        </row>
      </sheetData>
      <sheetData sheetId="4">
        <row r="8">
          <cell r="B8">
            <v>25.18479056152675</v>
          </cell>
        </row>
        <row r="9">
          <cell r="B9">
            <v>105.80885065285911</v>
          </cell>
        </row>
        <row r="10">
          <cell r="B10">
            <v>9.2302569005209794</v>
          </cell>
        </row>
        <row r="11">
          <cell r="B11">
            <v>25878.91861613077</v>
          </cell>
        </row>
        <row r="17">
          <cell r="B17">
            <v>28216.283901721668</v>
          </cell>
        </row>
      </sheetData>
      <sheetData sheetId="5"/>
      <sheetData sheetId="6">
        <row r="3">
          <cell r="B3">
            <v>0.8193872626715365</v>
          </cell>
        </row>
      </sheetData>
      <sheetData sheetId="7"/>
      <sheetData sheetId="8"/>
      <sheetData sheetId="9">
        <row r="9">
          <cell r="E9">
            <v>2.2045624987878698</v>
          </cell>
        </row>
        <row r="10">
          <cell r="E10">
            <v>1.0811111111111109</v>
          </cell>
        </row>
      </sheetData>
      <sheetData sheetId="10">
        <row r="2">
          <cell r="C2">
            <v>0.88032488757835747</v>
          </cell>
        </row>
        <row r="5">
          <cell r="C5">
            <v>165.66</v>
          </cell>
          <cell r="E5">
            <v>34.091218921592109</v>
          </cell>
        </row>
        <row r="6">
          <cell r="C6">
            <v>6.3013810203264402</v>
          </cell>
        </row>
        <row r="7">
          <cell r="B7">
            <v>47.871527091002278</v>
          </cell>
        </row>
        <row r="12">
          <cell r="C12">
            <v>0.12295017631158769</v>
          </cell>
        </row>
        <row r="13">
          <cell r="B13">
            <v>31256.402985641711</v>
          </cell>
        </row>
        <row r="14">
          <cell r="B14">
            <v>46901.031993915138</v>
          </cell>
        </row>
      </sheetData>
      <sheetData sheetId="11">
        <row r="8">
          <cell r="B8">
            <v>32.141886624782622</v>
          </cell>
        </row>
        <row r="9">
          <cell r="B9">
            <v>103.7782126522268</v>
          </cell>
        </row>
        <row r="10">
          <cell r="B10">
            <v>9.1835556386358927</v>
          </cell>
        </row>
        <row r="18">
          <cell r="B18">
            <v>23315.200239376711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10.26993056243894</v>
          </cell>
        </row>
        <row r="13">
          <cell r="E13">
            <v>0.53497050918686018</v>
          </cell>
        </row>
      </sheetData>
      <sheetData sheetId="1"/>
      <sheetData sheetId="2">
        <row r="2">
          <cell r="E2">
            <v>8.9804745295735859</v>
          </cell>
        </row>
      </sheetData>
      <sheetData sheetId="3">
        <row r="2">
          <cell r="C2">
            <v>2.1166588436644611</v>
          </cell>
        </row>
        <row r="5">
          <cell r="C5">
            <v>134.35675137613421</v>
          </cell>
          <cell r="E5">
            <v>32.074316189536653</v>
          </cell>
        </row>
        <row r="6">
          <cell r="C6">
            <v>6.2349624280486076</v>
          </cell>
        </row>
        <row r="7">
          <cell r="B7">
            <v>40.47615186585238</v>
          </cell>
        </row>
        <row r="12">
          <cell r="C12">
            <v>4.5078653811338902E-2</v>
          </cell>
        </row>
      </sheetData>
      <sheetData sheetId="4">
        <row r="8">
          <cell r="B8">
            <v>29.8783152061484</v>
          </cell>
        </row>
        <row r="9">
          <cell r="B9">
            <v>101.1026412300991</v>
          </cell>
        </row>
        <row r="10">
          <cell r="B10">
            <v>8.8247730710245982</v>
          </cell>
        </row>
        <row r="11">
          <cell r="B11">
            <v>25892.950814821539</v>
          </cell>
        </row>
        <row r="17">
          <cell r="B17">
            <v>28418.59211673378</v>
          </cell>
        </row>
      </sheetData>
      <sheetData sheetId="5"/>
      <sheetData sheetId="6">
        <row r="3">
          <cell r="B3">
            <v>0.81103918493380567</v>
          </cell>
        </row>
      </sheetData>
      <sheetData sheetId="7"/>
      <sheetData sheetId="8"/>
      <sheetData sheetId="9">
        <row r="9">
          <cell r="E9">
            <v>2.2045624987878698</v>
          </cell>
        </row>
        <row r="10">
          <cell r="E10">
            <v>1.0811111111111109</v>
          </cell>
        </row>
      </sheetData>
      <sheetData sheetId="10">
        <row r="2">
          <cell r="C2">
            <v>0.76008172279874997</v>
          </cell>
        </row>
        <row r="5">
          <cell r="C5">
            <v>165.66</v>
          </cell>
          <cell r="E5">
            <v>34.094845350390223</v>
          </cell>
        </row>
        <row r="6">
          <cell r="C6">
            <v>6.3013810203264402</v>
          </cell>
        </row>
        <row r="7">
          <cell r="B7">
            <v>50.191840485203677</v>
          </cell>
        </row>
        <row r="12">
          <cell r="C12">
            <v>0.12582252762852861</v>
          </cell>
        </row>
        <row r="13">
          <cell r="B13">
            <v>31280.365311004189</v>
          </cell>
        </row>
        <row r="14">
          <cell r="B14">
            <v>46935.381408750429</v>
          </cell>
        </row>
      </sheetData>
      <sheetData sheetId="11">
        <row r="8">
          <cell r="B8">
            <v>38.59878399424781</v>
          </cell>
        </row>
        <row r="9">
          <cell r="B9">
            <v>97.186597050098825</v>
          </cell>
        </row>
        <row r="10">
          <cell r="B10">
            <v>8.5997608336880766</v>
          </cell>
        </row>
        <row r="18">
          <cell r="B18">
            <v>23824.187339316119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10.260002060476801</v>
          </cell>
        </row>
        <row r="13">
          <cell r="E13">
            <v>0.5344533240201389</v>
          </cell>
        </row>
      </sheetData>
      <sheetData sheetId="1"/>
      <sheetData sheetId="2">
        <row r="2">
          <cell r="E2">
            <v>8.9804765926655428</v>
          </cell>
        </row>
      </sheetData>
      <sheetData sheetId="3">
        <row r="2">
          <cell r="C2">
            <v>2.068015934813928</v>
          </cell>
        </row>
        <row r="5">
          <cell r="C5">
            <v>132.71588835702201</v>
          </cell>
          <cell r="E5">
            <v>31.92110362104518</v>
          </cell>
        </row>
        <row r="6">
          <cell r="C6">
            <v>6.2314808784765594</v>
          </cell>
        </row>
        <row r="7">
          <cell r="B7">
            <v>42.428754598975907</v>
          </cell>
        </row>
        <row r="12">
          <cell r="C12">
            <v>4.5316549194728058E-2</v>
          </cell>
        </row>
      </sheetData>
      <sheetData sheetId="4">
        <row r="8">
          <cell r="B8">
            <v>35.824709720388427</v>
          </cell>
        </row>
        <row r="9">
          <cell r="B9">
            <v>95.249873931687858</v>
          </cell>
        </row>
        <row r="10">
          <cell r="B10">
            <v>8.3158290872785905</v>
          </cell>
        </row>
        <row r="11">
          <cell r="B11">
            <v>25909.443264898819</v>
          </cell>
        </row>
        <row r="17">
          <cell r="B17">
            <v>28620.804175347941</v>
          </cell>
        </row>
      </sheetData>
      <sheetData sheetId="5"/>
      <sheetData sheetId="6">
        <row r="3">
          <cell r="B3">
            <v>0.8011341805929133</v>
          </cell>
        </row>
      </sheetData>
      <sheetData sheetId="7"/>
      <sheetData sheetId="8"/>
      <sheetData sheetId="9">
        <row r="9">
          <cell r="E9">
            <v>2.2045624987878698</v>
          </cell>
        </row>
        <row r="10">
          <cell r="E10">
            <v>1.0811111111111109</v>
          </cell>
        </row>
      </sheetData>
      <sheetData sheetId="10">
        <row r="2">
          <cell r="C2">
            <v>0.67644431360819834</v>
          </cell>
        </row>
        <row r="5">
          <cell r="C5">
            <v>165.66</v>
          </cell>
          <cell r="E5">
            <v>34.086911016241331</v>
          </cell>
        </row>
        <row r="6">
          <cell r="C6">
            <v>6.3013810203264402</v>
          </cell>
        </row>
        <row r="7">
          <cell r="B7">
            <v>52.211884607183507</v>
          </cell>
        </row>
        <row r="12">
          <cell r="C12">
            <v>0.12579382769901959</v>
          </cell>
        </row>
        <row r="13">
          <cell r="B13">
            <v>31304.371981576129</v>
          </cell>
        </row>
        <row r="14">
          <cell r="B14">
            <v>46969.794386349182</v>
          </cell>
        </row>
      </sheetData>
      <sheetData sheetId="11">
        <row r="8">
          <cell r="B8">
            <v>46.082022464117777</v>
          </cell>
        </row>
        <row r="9">
          <cell r="B9">
            <v>89.660079442300585</v>
          </cell>
        </row>
        <row r="10">
          <cell r="B10">
            <v>7.9256329816331874</v>
          </cell>
        </row>
        <row r="18">
          <cell r="B18">
            <v>24333.679118510569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10.25019002101654</v>
          </cell>
        </row>
        <row r="13">
          <cell r="E13">
            <v>0.53394220549657145</v>
          </cell>
        </row>
      </sheetData>
      <sheetData sheetId="1"/>
      <sheetData sheetId="2">
        <row r="2">
          <cell r="E2">
            <v>8.9804487997174576</v>
          </cell>
        </row>
      </sheetData>
      <sheetData sheetId="3">
        <row r="2">
          <cell r="C2">
            <v>1.9283794221568571</v>
          </cell>
        </row>
        <row r="5">
          <cell r="C5">
            <v>131.92467513406891</v>
          </cell>
          <cell r="E5">
            <v>31.826955124044421</v>
          </cell>
        </row>
        <row r="6">
          <cell r="C6">
            <v>6.2298020984530664</v>
          </cell>
        </row>
        <row r="7">
          <cell r="B7">
            <v>44.386817809084178</v>
          </cell>
        </row>
        <row r="12">
          <cell r="C12">
            <v>4.5394478927505047E-2</v>
          </cell>
        </row>
      </sheetData>
      <sheetData sheetId="4">
        <row r="8">
          <cell r="B8">
            <v>42.853799154155382</v>
          </cell>
        </row>
        <row r="9">
          <cell r="B9">
            <v>88.388061586893286</v>
          </cell>
        </row>
        <row r="10">
          <cell r="B10">
            <v>7.712680030754318</v>
          </cell>
        </row>
        <row r="11">
          <cell r="B11">
            <v>25925.599608297282</v>
          </cell>
        </row>
        <row r="17">
          <cell r="B17">
            <v>28846.277892689479</v>
          </cell>
        </row>
      </sheetData>
      <sheetData sheetId="5"/>
      <sheetData sheetId="6">
        <row r="3">
          <cell r="B3">
            <v>0.79635805344723476</v>
          </cell>
        </row>
      </sheetData>
      <sheetData sheetId="7"/>
      <sheetData sheetId="8"/>
      <sheetData sheetId="9">
        <row r="9">
          <cell r="E9">
            <v>2.2045624987878698</v>
          </cell>
        </row>
        <row r="10">
          <cell r="E10">
            <v>1.0811111111111109</v>
          </cell>
        </row>
      </sheetData>
      <sheetData sheetId="10">
        <row r="2">
          <cell r="C2">
            <v>0.68688229213264651</v>
          </cell>
        </row>
        <row r="5">
          <cell r="C5">
            <v>165.66</v>
          </cell>
          <cell r="E5">
            <v>34.061064584346838</v>
          </cell>
        </row>
        <row r="6">
          <cell r="C6">
            <v>6.3013810203264402</v>
          </cell>
        </row>
        <row r="7">
          <cell r="B7">
            <v>54.266549200256627</v>
          </cell>
        </row>
        <row r="12">
          <cell r="C12">
            <v>0.13026796717489281</v>
          </cell>
        </row>
        <row r="13">
          <cell r="B13">
            <v>31328.42233743042</v>
          </cell>
        </row>
        <row r="14">
          <cell r="B14">
            <v>47004.269980704878</v>
          </cell>
        </row>
      </sheetData>
      <sheetData sheetId="11">
        <row r="8">
          <cell r="B8">
            <v>55.11950570887668</v>
          </cell>
        </row>
        <row r="9">
          <cell r="B9">
            <v>80.715960720388722</v>
          </cell>
        </row>
        <row r="10">
          <cell r="B10">
            <v>7.1159962827015768</v>
          </cell>
        </row>
        <row r="18">
          <cell r="B18">
            <v>24843.686457817741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10.23674362239429</v>
          </cell>
        </row>
        <row r="13">
          <cell r="E13">
            <v>0.53324176972692894</v>
          </cell>
        </row>
      </sheetData>
      <sheetData sheetId="1"/>
      <sheetData sheetId="2">
        <row r="2">
          <cell r="E2">
            <v>8.9804703616396306</v>
          </cell>
        </row>
      </sheetData>
      <sheetData sheetId="3">
        <row r="2">
          <cell r="C2">
            <v>1.899223696104968</v>
          </cell>
        </row>
        <row r="5">
          <cell r="C5">
            <v>130.3031391177648</v>
          </cell>
          <cell r="E5">
            <v>31.73308500389226</v>
          </cell>
        </row>
        <row r="6">
          <cell r="C6">
            <v>6.226361556520029</v>
          </cell>
        </row>
        <row r="7">
          <cell r="B7">
            <v>45.783509334891008</v>
          </cell>
        </row>
        <row r="12">
          <cell r="C12">
            <v>4.528386039323555E-2</v>
          </cell>
        </row>
      </sheetData>
      <sheetData sheetId="4">
        <row r="8">
          <cell r="B8">
            <v>50.747606712158131</v>
          </cell>
        </row>
        <row r="9">
          <cell r="B9">
            <v>80.770397340015776</v>
          </cell>
        </row>
        <row r="10">
          <cell r="B10">
            <v>7.0309140815239362</v>
          </cell>
        </row>
        <row r="11">
          <cell r="B11">
            <v>25948.02545586021</v>
          </cell>
        </row>
        <row r="17">
          <cell r="B17">
            <v>29044.07337439802</v>
          </cell>
        </row>
      </sheetData>
      <sheetData sheetId="5"/>
      <sheetData sheetId="6">
        <row r="3">
          <cell r="B3">
            <v>0.79305837522360789</v>
          </cell>
        </row>
      </sheetData>
      <sheetData sheetId="7"/>
      <sheetData sheetId="8"/>
      <sheetData sheetId="9">
        <row r="9">
          <cell r="E9">
            <v>2.2045624987878698</v>
          </cell>
        </row>
        <row r="10">
          <cell r="E10">
            <v>1.0811111111111109</v>
          </cell>
        </row>
      </sheetData>
      <sheetData sheetId="10">
        <row r="2">
          <cell r="C2">
            <v>0.69090684237077149</v>
          </cell>
        </row>
        <row r="5">
          <cell r="C5">
            <v>164.30459999999999</v>
          </cell>
          <cell r="E5">
            <v>34.012096926621403</v>
          </cell>
        </row>
        <row r="6">
          <cell r="C6">
            <v>6.2985051603460569</v>
          </cell>
        </row>
        <row r="7">
          <cell r="B7">
            <v>55.411324057670107</v>
          </cell>
        </row>
        <row r="12">
          <cell r="C12">
            <v>0.13565771055147541</v>
          </cell>
        </row>
        <row r="13">
          <cell r="B13">
            <v>31352.515736200028</v>
          </cell>
        </row>
        <row r="14">
          <cell r="B14">
            <v>47038.807270983983</v>
          </cell>
        </row>
      </sheetData>
      <sheetData sheetId="11">
        <row r="8">
          <cell r="B8">
            <v>64.967822630589311</v>
          </cell>
        </row>
        <row r="9">
          <cell r="B9">
            <v>71.042772462778444</v>
          </cell>
        </row>
        <row r="10">
          <cell r="B10">
            <v>6.2257819387619051</v>
          </cell>
        </row>
        <row r="18">
          <cell r="B18">
            <v>25354.220226165678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10.219806802367399</v>
          </cell>
        </row>
        <row r="13">
          <cell r="E13">
            <v>0.53235951456671082</v>
          </cell>
        </row>
      </sheetData>
      <sheetData sheetId="1"/>
      <sheetData sheetId="2">
        <row r="2">
          <cell r="E2">
            <v>8.9804423424407425</v>
          </cell>
        </row>
      </sheetData>
      <sheetData sheetId="3">
        <row r="2">
          <cell r="C2">
            <v>1.960412597464485</v>
          </cell>
        </row>
        <row r="5">
          <cell r="C5">
            <v>127.55893165283091</v>
          </cell>
          <cell r="E5">
            <v>31.639608946072041</v>
          </cell>
        </row>
        <row r="6">
          <cell r="C6">
            <v>6.2205389532838824</v>
          </cell>
        </row>
        <row r="7">
          <cell r="B7">
            <v>46.406416770496968</v>
          </cell>
        </row>
        <row r="12">
          <cell r="C12">
            <v>4.5424703862569263E-2</v>
          </cell>
        </row>
      </sheetData>
      <sheetData sheetId="4">
        <row r="8">
          <cell r="B8">
            <v>59.092738858110472</v>
          </cell>
        </row>
        <row r="9">
          <cell r="B9">
            <v>72.776780751953552</v>
          </cell>
        </row>
        <row r="10">
          <cell r="B10">
            <v>6.2989264907356111</v>
          </cell>
        </row>
        <row r="11">
          <cell r="B11">
            <v>25976.008765663839</v>
          </cell>
        </row>
        <row r="17">
          <cell r="B17">
            <v>29219.356138874438</v>
          </cell>
        </row>
      </sheetData>
      <sheetData sheetId="5"/>
      <sheetData sheetId="6">
        <row r="3">
          <cell r="B3">
            <v>0.79830806621350536</v>
          </cell>
        </row>
      </sheetData>
      <sheetData sheetId="7"/>
      <sheetData sheetId="8"/>
      <sheetData sheetId="9">
        <row r="9">
          <cell r="E9">
            <v>2.2058560438167678</v>
          </cell>
        </row>
        <row r="10">
          <cell r="E10">
            <v>1.0811111111111109</v>
          </cell>
        </row>
      </sheetData>
      <sheetData sheetId="10">
        <row r="2">
          <cell r="C2">
            <v>0.68634011046711674</v>
          </cell>
        </row>
        <row r="5">
          <cell r="C5">
            <v>159.78659999999999</v>
          </cell>
          <cell r="E5">
            <v>33.830241541168107</v>
          </cell>
        </row>
        <row r="6">
          <cell r="C6">
            <v>6.2889189604114444</v>
          </cell>
        </row>
        <row r="7">
          <cell r="B7">
            <v>55.092269029986909</v>
          </cell>
        </row>
        <row r="12">
          <cell r="C12">
            <v>0.1405552941493193</v>
          </cell>
        </row>
        <row r="13">
          <cell r="B13">
            <v>31381.683745781858</v>
          </cell>
        </row>
        <row r="14">
          <cell r="B14">
            <v>47081.741869573241</v>
          </cell>
        </row>
      </sheetData>
      <sheetData sheetId="11">
        <row r="8">
          <cell r="B8">
            <v>74.780543448787114</v>
          </cell>
        </row>
        <row r="9">
          <cell r="B9">
            <v>61.414011838648413</v>
          </cell>
        </row>
        <row r="10">
          <cell r="B10">
            <v>5.3232755179963709</v>
          </cell>
        </row>
        <row r="18">
          <cell r="B18">
            <v>25870.032152935539</v>
          </cell>
        </row>
      </sheetData>
      <sheetData sheetId="12">
        <row r="3">
          <cell r="E3">
            <v>23.533470091451669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10.207718699862861</v>
          </cell>
        </row>
        <row r="13">
          <cell r="E13">
            <v>0.53172983374144744</v>
          </cell>
        </row>
      </sheetData>
      <sheetData sheetId="1"/>
      <sheetData sheetId="2">
        <row r="2">
          <cell r="E2">
            <v>8.9804608279732516</v>
          </cell>
        </row>
      </sheetData>
      <sheetData sheetId="3">
        <row r="2">
          <cell r="C2">
            <v>2.052315383226337</v>
          </cell>
        </row>
        <row r="5">
          <cell r="C5">
            <v>125.3563262127858</v>
          </cell>
          <cell r="E5">
            <v>31.515360130831031</v>
          </cell>
        </row>
        <row r="6">
          <cell r="C6">
            <v>6.2158655101397171</v>
          </cell>
        </row>
        <row r="7">
          <cell r="B7">
            <v>46.261009593385573</v>
          </cell>
        </row>
        <row r="12">
          <cell r="C12">
            <v>4.5207987878274028E-2</v>
          </cell>
        </row>
      </sheetData>
      <sheetData sheetId="4">
        <row r="8">
          <cell r="B8">
            <v>60.690808477986529</v>
          </cell>
        </row>
        <row r="9">
          <cell r="B9">
            <v>70.716306489812737</v>
          </cell>
        </row>
        <row r="10">
          <cell r="B10">
            <v>6.0918174475111346</v>
          </cell>
        </row>
        <row r="11">
          <cell r="B11">
            <v>25996.164957186538</v>
          </cell>
        </row>
        <row r="17">
          <cell r="B17">
            <v>29233.738368393399</v>
          </cell>
        </row>
      </sheetData>
      <sheetData sheetId="5"/>
      <sheetData sheetId="6">
        <row r="3">
          <cell r="B3">
            <v>0.79806263098953356</v>
          </cell>
        </row>
      </sheetData>
      <sheetData sheetId="7"/>
      <sheetData sheetId="8"/>
      <sheetData sheetId="9">
        <row r="9">
          <cell r="E9">
            <v>2.2069829412494109</v>
          </cell>
        </row>
        <row r="10">
          <cell r="E10">
            <v>1.0811111111111109</v>
          </cell>
        </row>
      </sheetData>
      <sheetData sheetId="10">
        <row r="2">
          <cell r="C2">
            <v>0.68237407236820447</v>
          </cell>
        </row>
        <row r="5">
          <cell r="C5">
            <v>157.07579999999999</v>
          </cell>
          <cell r="E5">
            <v>33.701191319931901</v>
          </cell>
        </row>
        <row r="6">
          <cell r="C6">
            <v>6.2831672404506769</v>
          </cell>
        </row>
        <row r="7">
          <cell r="B7">
            <v>54.865880911004098</v>
          </cell>
        </row>
        <row r="12">
          <cell r="C12">
            <v>0.14016985367415871</v>
          </cell>
        </row>
        <row r="13">
          <cell r="B13">
            <v>31400.577646319471</v>
          </cell>
        </row>
        <row r="14">
          <cell r="B14">
            <v>47109.804080313108</v>
          </cell>
        </row>
      </sheetData>
      <sheetData sheetId="11">
        <row r="8">
          <cell r="B8">
            <v>73.340365465228459</v>
          </cell>
        </row>
        <row r="9">
          <cell r="B9">
            <v>62.054081311791222</v>
          </cell>
        </row>
        <row r="10">
          <cell r="B10">
            <v>5.3551871695541884</v>
          </cell>
        </row>
        <row r="18">
          <cell r="B18">
            <v>25983.53710333283</v>
          </cell>
        </row>
      </sheetData>
      <sheetData sheetId="12">
        <row r="3">
          <cell r="E3">
            <v>23.525404687419758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13.652405299087601</v>
          </cell>
        </row>
        <row r="13">
          <cell r="E13">
            <v>0.71116685454431994</v>
          </cell>
        </row>
      </sheetData>
      <sheetData sheetId="1"/>
      <sheetData sheetId="2">
        <row r="2">
          <cell r="E2">
            <v>11.97388398043354</v>
          </cell>
        </row>
      </sheetData>
      <sheetData sheetId="3">
        <row r="2">
          <cell r="C2">
            <v>2.587841917640596</v>
          </cell>
        </row>
        <row r="5">
          <cell r="C5">
            <v>115.100929844389</v>
          </cell>
          <cell r="E5">
            <v>30.452624003549261</v>
          </cell>
        </row>
        <row r="6">
          <cell r="C6">
            <v>6.1941058200121946</v>
          </cell>
        </row>
        <row r="7">
          <cell r="B7">
            <v>30.933051544978241</v>
          </cell>
        </row>
        <row r="12">
          <cell r="C12">
            <v>4.4554993332421119E-2</v>
          </cell>
        </row>
      </sheetData>
      <sheetData sheetId="4">
        <row r="8">
          <cell r="B8">
            <v>17.214316843686831</v>
          </cell>
        </row>
        <row r="9">
          <cell r="B9">
            <v>95.729385314188406</v>
          </cell>
        </row>
        <row r="10">
          <cell r="B10">
            <v>7.8378461649447768</v>
          </cell>
        </row>
        <row r="11">
          <cell r="B11">
            <v>34591.334113016273</v>
          </cell>
        </row>
        <row r="17">
          <cell r="B17">
            <v>36433.017945101463</v>
          </cell>
        </row>
      </sheetData>
      <sheetData sheetId="5"/>
      <sheetData sheetId="6">
        <row r="3">
          <cell r="B3">
            <v>0.69480218425926021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0.99949824150008271</v>
          </cell>
        </row>
        <row r="5">
          <cell r="C5">
            <v>165.66</v>
          </cell>
          <cell r="E5">
            <v>34.07583168780608</v>
          </cell>
        </row>
        <row r="6">
          <cell r="C6">
            <v>6.3013810203264402</v>
          </cell>
        </row>
        <row r="7">
          <cell r="B7">
            <v>44.050113971134323</v>
          </cell>
        </row>
        <row r="12">
          <cell r="C12">
            <v>0.17052232115415961</v>
          </cell>
        </row>
        <row r="13">
          <cell r="B13">
            <v>46778.792791445863</v>
          </cell>
        </row>
        <row r="14">
          <cell r="B14">
            <v>70193.160472000105</v>
          </cell>
        </row>
      </sheetData>
      <sheetData sheetId="11">
        <row r="8">
          <cell r="B8">
            <v>23.826863724290821</v>
          </cell>
        </row>
        <row r="9">
          <cell r="B9">
            <v>91.866391547914262</v>
          </cell>
        </row>
        <row r="10">
          <cell r="B10">
            <v>7.6594562593142186</v>
          </cell>
        </row>
        <row r="18">
          <cell r="B18">
            <v>33847.514915620501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6.8695915132230896</v>
          </cell>
        </row>
        <row r="13">
          <cell r="E13">
            <v>0.35784359469534027</v>
          </cell>
        </row>
      </sheetData>
      <sheetData sheetId="1"/>
      <sheetData sheetId="2">
        <row r="2">
          <cell r="E2">
            <v>5.9869801730523928</v>
          </cell>
        </row>
      </sheetData>
      <sheetData sheetId="3">
        <row r="2">
          <cell r="C2">
            <v>2.5140862177467711</v>
          </cell>
        </row>
        <row r="5">
          <cell r="C5">
            <v>137.30514826443309</v>
          </cell>
          <cell r="E5">
            <v>32.325227349983606</v>
          </cell>
        </row>
        <row r="6">
          <cell r="C6">
            <v>6.24121827622431</v>
          </cell>
        </row>
        <row r="7">
          <cell r="B7">
            <v>38.868297604832549</v>
          </cell>
        </row>
        <row r="12">
          <cell r="C12">
            <v>4.5218779463440328E-2</v>
          </cell>
        </row>
      </sheetData>
      <sheetData sheetId="4">
        <row r="8">
          <cell r="B8">
            <v>24.572645882865821</v>
          </cell>
        </row>
        <row r="9">
          <cell r="B9">
            <v>110.8014838449904</v>
          </cell>
        </row>
        <row r="10">
          <cell r="B10">
            <v>9.5530027255139309</v>
          </cell>
        </row>
        <row r="11">
          <cell r="B11">
            <v>17223.818566208902</v>
          </cell>
        </row>
        <row r="17">
          <cell r="B17">
            <v>18779.964495633121</v>
          </cell>
        </row>
      </sheetData>
      <sheetData sheetId="5"/>
      <sheetData sheetId="6">
        <row r="3">
          <cell r="B3">
            <v>0.8288370654619891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0.9825598479650095</v>
          </cell>
        </row>
        <row r="5">
          <cell r="C5">
            <v>165.66</v>
          </cell>
          <cell r="E5">
            <v>34.082383064645562</v>
          </cell>
        </row>
        <row r="6">
          <cell r="C6">
            <v>6.3013810203264402</v>
          </cell>
        </row>
        <row r="7">
          <cell r="B7">
            <v>44.527878530728657</v>
          </cell>
        </row>
        <row r="12">
          <cell r="C12">
            <v>8.3732884581167275E-2</v>
          </cell>
        </row>
        <row r="13">
          <cell r="B13">
            <v>15702.412870627981</v>
          </cell>
        </row>
        <row r="14">
          <cell r="B14">
            <v>23563.605233976708</v>
          </cell>
        </row>
      </sheetData>
      <sheetData sheetId="11">
        <row r="8">
          <cell r="B8">
            <v>29.341732403484269</v>
          </cell>
        </row>
        <row r="9">
          <cell r="B9">
            <v>112.988907697803</v>
          </cell>
        </row>
        <row r="10">
          <cell r="B10">
            <v>9.870382290016261</v>
          </cell>
        </row>
        <row r="18">
          <cell r="B18">
            <v>11467.106863367129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13.66448997973005</v>
          </cell>
        </row>
        <row r="13">
          <cell r="E13">
            <v>0.71179635712151301</v>
          </cell>
        </row>
      </sheetData>
      <sheetData sheetId="1"/>
      <sheetData sheetId="2">
        <row r="2">
          <cell r="E2">
            <v>11.97394275849347</v>
          </cell>
        </row>
      </sheetData>
      <sheetData sheetId="3">
        <row r="2">
          <cell r="C2">
            <v>2.5704854406649602</v>
          </cell>
        </row>
        <row r="5">
          <cell r="C5">
            <v>123.6884922377637</v>
          </cell>
          <cell r="E5">
            <v>31.138984395053079</v>
          </cell>
        </row>
        <row r="6">
          <cell r="C6">
            <v>6.2123267341454058</v>
          </cell>
        </row>
        <row r="7">
          <cell r="B7">
            <v>32.8827487516646</v>
          </cell>
        </row>
        <row r="12">
          <cell r="C12">
            <v>4.5370607446721938E-2</v>
          </cell>
        </row>
      </sheetData>
      <sheetData sheetId="4">
        <row r="8">
          <cell r="B8">
            <v>18.64256111232886</v>
          </cell>
        </row>
        <row r="9">
          <cell r="B9">
            <v>99.914308030773768</v>
          </cell>
        </row>
        <row r="10">
          <cell r="B10">
            <v>8.4419812946116082</v>
          </cell>
        </row>
        <row r="11">
          <cell r="B11">
            <v>34571.553057120676</v>
          </cell>
        </row>
        <row r="17">
          <cell r="B17">
            <v>36804.291931202977</v>
          </cell>
        </row>
      </sheetData>
      <sheetData sheetId="5"/>
      <sheetData sheetId="6">
        <row r="3">
          <cell r="B3">
            <v>0.7466406630312914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0.95593913148242637</v>
          </cell>
        </row>
        <row r="5">
          <cell r="C5">
            <v>165.66</v>
          </cell>
          <cell r="E5">
            <v>34.082383064645562</v>
          </cell>
        </row>
        <row r="6">
          <cell r="C6">
            <v>6.3013810203264402</v>
          </cell>
        </row>
        <row r="7">
          <cell r="B7">
            <v>45.912917377624687</v>
          </cell>
        </row>
        <row r="12">
          <cell r="C12">
            <v>0.16687188131889169</v>
          </cell>
        </row>
        <row r="13">
          <cell r="B13">
            <v>46805.650471372763</v>
          </cell>
        </row>
        <row r="14">
          <cell r="B14">
            <v>70231.660312158536</v>
          </cell>
        </row>
      </sheetData>
      <sheetData sheetId="11">
        <row r="8">
          <cell r="B8">
            <v>25.36534451136432</v>
          </cell>
        </row>
        <row r="9">
          <cell r="B9">
            <v>95.996761822824112</v>
          </cell>
        </row>
        <row r="10">
          <cell r="B10">
            <v>8.25184262227509</v>
          </cell>
        </row>
        <row r="18">
          <cell r="B18">
            <v>34175.183802657841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13.667812542351079</v>
          </cell>
        </row>
        <row r="13">
          <cell r="E13">
            <v>0.71196943258744461</v>
          </cell>
        </row>
      </sheetData>
      <sheetData sheetId="1"/>
      <sheetData sheetId="2">
        <row r="2">
          <cell r="E2">
            <v>11.97393563896599</v>
          </cell>
        </row>
      </sheetData>
      <sheetData sheetId="3">
        <row r="2">
          <cell r="C2">
            <v>2.2797799773862408</v>
          </cell>
        </row>
        <row r="5">
          <cell r="C5">
            <v>129.11021269083929</v>
          </cell>
          <cell r="E5">
            <v>31.60833630360203</v>
          </cell>
        </row>
        <row r="6">
          <cell r="C6">
            <v>6.2238304296418097</v>
          </cell>
        </row>
        <row r="7">
          <cell r="B7">
            <v>35.45395799005653</v>
          </cell>
        </row>
        <row r="12">
          <cell r="C12">
            <v>4.5141605718147293E-2</v>
          </cell>
        </row>
      </sheetData>
      <sheetData sheetId="4">
        <row r="8">
          <cell r="B8">
            <v>21.980273923143599</v>
          </cell>
        </row>
        <row r="9">
          <cell r="B9">
            <v>100.56379823483459</v>
          </cell>
        </row>
        <row r="10">
          <cell r="B10">
            <v>8.6886914567165707</v>
          </cell>
        </row>
        <row r="11">
          <cell r="B11">
            <v>34566.003133843296</v>
          </cell>
        </row>
        <row r="17">
          <cell r="B17">
            <v>37246.71394247032</v>
          </cell>
        </row>
      </sheetData>
      <sheetData sheetId="5"/>
      <sheetData sheetId="6">
        <row r="3">
          <cell r="B3">
            <v>0.77936866286876294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0.87000125653966087</v>
          </cell>
        </row>
        <row r="5">
          <cell r="C5">
            <v>165.66</v>
          </cell>
          <cell r="E5">
            <v>34.091218921592109</v>
          </cell>
        </row>
        <row r="6">
          <cell r="C6">
            <v>6.3013810203264402</v>
          </cell>
        </row>
        <row r="7">
          <cell r="B7">
            <v>48.809767748233462</v>
          </cell>
        </row>
        <row r="12">
          <cell r="C12">
            <v>0.16593015716324261</v>
          </cell>
        </row>
        <row r="13">
          <cell r="B13">
            <v>46839.268921184201</v>
          </cell>
        </row>
        <row r="14">
          <cell r="B14">
            <v>70279.851547881801</v>
          </cell>
        </row>
      </sheetData>
      <sheetData sheetId="11">
        <row r="8">
          <cell r="B8">
            <v>30.083149783016641</v>
          </cell>
        </row>
        <row r="9">
          <cell r="B9">
            <v>95.098019616850024</v>
          </cell>
        </row>
        <row r="10">
          <cell r="B10">
            <v>8.3526005737814533</v>
          </cell>
        </row>
        <row r="18">
          <cell r="B18">
            <v>34935.651089683932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13.655746408147049</v>
          </cell>
        </row>
        <row r="13">
          <cell r="E13">
            <v>0.71134089611197371</v>
          </cell>
        </row>
      </sheetData>
      <sheetData sheetId="1"/>
      <sheetData sheetId="2">
        <row r="2">
          <cell r="E2">
            <v>11.97396211504722</v>
          </cell>
        </row>
      </sheetData>
      <sheetData sheetId="3">
        <row r="2">
          <cell r="C2">
            <v>2.2670468119814799</v>
          </cell>
        </row>
        <row r="5">
          <cell r="C5">
            <v>127.3643694340626</v>
          </cell>
          <cell r="E5">
            <v>31.460844339217282</v>
          </cell>
        </row>
        <row r="6">
          <cell r="C6">
            <v>6.2201261351500099</v>
          </cell>
        </row>
        <row r="7">
          <cell r="B7">
            <v>37.235228205639359</v>
          </cell>
        </row>
        <row r="12">
          <cell r="C12">
            <v>4.5311423512046797E-2</v>
          </cell>
        </row>
      </sheetData>
      <sheetData sheetId="4">
        <row r="8">
          <cell r="B8">
            <v>26.070522368068168</v>
          </cell>
        </row>
        <row r="9">
          <cell r="B9">
            <v>96.353205467529463</v>
          </cell>
        </row>
        <row r="10">
          <cell r="B10">
            <v>8.3289559776966637</v>
          </cell>
        </row>
        <row r="11">
          <cell r="B11">
            <v>34586.161063950327</v>
          </cell>
        </row>
        <row r="17">
          <cell r="B17">
            <v>37501.276317035466</v>
          </cell>
        </row>
      </sheetData>
      <sheetData sheetId="5"/>
      <sheetData sheetId="6">
        <row r="3">
          <cell r="B3">
            <v>0.76882994949935191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0.7501460646950332</v>
          </cell>
        </row>
        <row r="5">
          <cell r="C5">
            <v>165.66</v>
          </cell>
          <cell r="E5">
            <v>34.094845350390223</v>
          </cell>
        </row>
        <row r="6">
          <cell r="C6">
            <v>6.3013810203264402</v>
          </cell>
        </row>
        <row r="7">
          <cell r="B7">
            <v>50.977835502461701</v>
          </cell>
        </row>
        <row r="12">
          <cell r="C12">
            <v>0.16741119152865561</v>
          </cell>
        </row>
        <row r="13">
          <cell r="B13">
            <v>46872.93802369092</v>
          </cell>
        </row>
        <row r="14">
          <cell r="B14">
            <v>70328.115386403413</v>
          </cell>
        </row>
      </sheetData>
      <sheetData sheetId="11">
        <row r="8">
          <cell r="B8">
            <v>36.251286626115217</v>
          </cell>
        </row>
        <row r="9">
          <cell r="B9">
            <v>88.526701843515767</v>
          </cell>
        </row>
        <row r="10">
          <cell r="B10">
            <v>7.7733028893711396</v>
          </cell>
        </row>
        <row r="18">
          <cell r="B18">
            <v>35696.780361733843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13.64205439693982</v>
          </cell>
        </row>
        <row r="13">
          <cell r="E13">
            <v>0.71062766614777939</v>
          </cell>
        </row>
      </sheetData>
      <sheetData sheetId="1"/>
      <sheetData sheetId="2">
        <row r="2">
          <cell r="E2">
            <v>11.973934575647901</v>
          </cell>
        </row>
      </sheetData>
      <sheetData sheetId="3">
        <row r="2">
          <cell r="C2">
            <v>2.246992913563123</v>
          </cell>
        </row>
        <row r="5">
          <cell r="C5">
            <v>125.5329661863711</v>
          </cell>
          <cell r="E5">
            <v>31.297572936648329</v>
          </cell>
        </row>
        <row r="6">
          <cell r="C6">
            <v>6.2162403012205569</v>
          </cell>
        </row>
        <row r="7">
          <cell r="B7">
            <v>39.05098537833274</v>
          </cell>
        </row>
        <row r="12">
          <cell r="C12">
            <v>4.5265768523943227E-2</v>
          </cell>
        </row>
      </sheetData>
      <sheetData sheetId="4">
        <row r="8">
          <cell r="B8">
            <v>31.171799317192502</v>
          </cell>
        </row>
        <row r="9">
          <cell r="B9">
            <v>91.212406206016283</v>
          </cell>
        </row>
        <row r="10">
          <cell r="B10">
            <v>7.8879691642715652</v>
          </cell>
        </row>
        <row r="11">
          <cell r="B11">
            <v>34608.759869799578</v>
          </cell>
        </row>
        <row r="17">
          <cell r="B17">
            <v>37759.939706280667</v>
          </cell>
        </row>
      </sheetData>
      <sheetData sheetId="5"/>
      <sheetData sheetId="6">
        <row r="3">
          <cell r="B3">
            <v>0.75777475664838301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0.67208772525286054</v>
          </cell>
        </row>
        <row r="5">
          <cell r="C5">
            <v>165.66</v>
          </cell>
          <cell r="E5">
            <v>34.086911016241331</v>
          </cell>
        </row>
        <row r="6">
          <cell r="C6">
            <v>6.3013810203264402</v>
          </cell>
        </row>
        <row r="7">
          <cell r="B7">
            <v>52.977154194367813</v>
          </cell>
        </row>
        <row r="12">
          <cell r="C12">
            <v>0.16827639832045399</v>
          </cell>
        </row>
        <row r="13">
          <cell r="B13">
            <v>46906.656904943753</v>
          </cell>
        </row>
        <row r="14">
          <cell r="B14">
            <v>70376.450574922987</v>
          </cell>
        </row>
      </sheetData>
      <sheetData sheetId="11">
        <row r="8">
          <cell r="B8">
            <v>43.642419585267419</v>
          </cell>
        </row>
        <row r="9">
          <cell r="B9">
            <v>80.8388386668191</v>
          </cell>
        </row>
        <row r="10">
          <cell r="B10">
            <v>7.0892931587899879</v>
          </cell>
        </row>
        <row r="18">
          <cell r="B18">
            <v>36458.587320236467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13.62890062799843</v>
          </cell>
        </row>
        <row r="13">
          <cell r="E13">
            <v>0.70994247373819896</v>
          </cell>
        </row>
      </sheetData>
      <sheetData sheetId="1"/>
      <sheetData sheetId="2">
        <row r="2">
          <cell r="E2">
            <v>11.973932738648539</v>
          </cell>
        </row>
      </sheetData>
      <sheetData sheetId="3">
        <row r="2">
          <cell r="C2">
            <v>2.1391485113478712</v>
          </cell>
        </row>
        <row r="5">
          <cell r="C5">
            <v>124.72386504815999</v>
          </cell>
          <cell r="E5">
            <v>31.205804708297691</v>
          </cell>
        </row>
        <row r="6">
          <cell r="C6">
            <v>6.214523566984564</v>
          </cell>
        </row>
        <row r="7">
          <cell r="B7">
            <v>40.968260557652599</v>
          </cell>
        </row>
        <row r="12">
          <cell r="C12">
            <v>4.5283360806108792E-2</v>
          </cell>
        </row>
      </sheetData>
      <sheetData sheetId="4">
        <row r="8">
          <cell r="B8">
            <v>37.521173625103181</v>
          </cell>
        </row>
        <row r="9">
          <cell r="B9">
            <v>84.897057401809974</v>
          </cell>
        </row>
        <row r="10">
          <cell r="B10">
            <v>7.3410334705482088</v>
          </cell>
        </row>
        <row r="11">
          <cell r="B11">
            <v>34630.58802690576</v>
          </cell>
        </row>
        <row r="17">
          <cell r="B17">
            <v>38054.597346496237</v>
          </cell>
        </row>
      </sheetData>
      <sheetData sheetId="5"/>
      <sheetData sheetId="6">
        <row r="3">
          <cell r="B3">
            <v>0.75289064981383569</v>
          </cell>
        </row>
      </sheetData>
      <sheetData sheetId="7"/>
      <sheetData sheetId="8"/>
      <sheetData sheetId="9">
        <row r="9">
          <cell r="E9">
            <v>3.299969266969438</v>
          </cell>
        </row>
        <row r="10">
          <cell r="E10">
            <v>1.0811111111111109</v>
          </cell>
        </row>
      </sheetData>
      <sheetData sheetId="10">
        <row r="2">
          <cell r="C2">
            <v>0.68229978423778059</v>
          </cell>
        </row>
        <row r="5">
          <cell r="C5">
            <v>165.66</v>
          </cell>
          <cell r="E5">
            <v>34.061064584346838</v>
          </cell>
        </row>
        <row r="6">
          <cell r="C6">
            <v>6.3013810203264402</v>
          </cell>
        </row>
        <row r="7">
          <cell r="B7">
            <v>55.137910819663901</v>
          </cell>
        </row>
        <row r="12">
          <cell r="C12">
            <v>0.1749860448252161</v>
          </cell>
        </row>
        <row r="13">
          <cell r="B13">
            <v>46940.901942022218</v>
          </cell>
        </row>
        <row r="14">
          <cell r="B14">
            <v>70425.696351193052</v>
          </cell>
        </row>
      </sheetData>
      <sheetData sheetId="11">
        <row r="8">
          <cell r="B8">
            <v>52.80627089397305</v>
          </cell>
        </row>
        <row r="9">
          <cell r="B9">
            <v>71.531169280447529</v>
          </cell>
        </row>
        <row r="10">
          <cell r="B10">
            <v>6.2536847333324772</v>
          </cell>
        </row>
        <row r="18">
          <cell r="B18">
            <v>37221.556971155369</v>
          </cell>
        </row>
      </sheetData>
      <sheetData sheetId="12">
        <row r="3">
          <cell r="E3">
            <v>23.541755779113611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13.61116814060308</v>
          </cell>
        </row>
        <row r="13">
          <cell r="E13">
            <v>0.70901877150346959</v>
          </cell>
        </row>
      </sheetData>
      <sheetData sheetId="1"/>
      <sheetData sheetId="2">
        <row r="2">
          <cell r="E2">
            <v>11.973964746111029</v>
          </cell>
        </row>
      </sheetData>
      <sheetData sheetId="3">
        <row r="2">
          <cell r="C2">
            <v>2.1091148975811929</v>
          </cell>
        </row>
        <row r="5">
          <cell r="C5">
            <v>123.3033426939177</v>
          </cell>
          <cell r="E5">
            <v>31.127267090964281</v>
          </cell>
        </row>
        <row r="6">
          <cell r="C6">
            <v>6.2115095317257438</v>
          </cell>
        </row>
        <row r="7">
          <cell r="B7">
            <v>42.454650586517651</v>
          </cell>
        </row>
        <row r="12">
          <cell r="C12">
            <v>4.5455138847056133E-2</v>
          </cell>
        </row>
      </sheetData>
      <sheetData sheetId="4">
        <row r="8">
          <cell r="B8">
            <v>44.847394331631911</v>
          </cell>
        </row>
        <row r="9">
          <cell r="B9">
            <v>77.724968718770214</v>
          </cell>
        </row>
        <row r="10">
          <cell r="B10">
            <v>6.7087150881843449</v>
          </cell>
        </row>
        <row r="11">
          <cell r="B11">
            <v>34660.179278716103</v>
          </cell>
        </row>
        <row r="17">
          <cell r="B17">
            <v>38317.930934632313</v>
          </cell>
        </row>
      </sheetData>
      <sheetData sheetId="5"/>
      <sheetData sheetId="6">
        <row r="3">
          <cell r="B3">
            <v>0.75045581617263146</v>
          </cell>
        </row>
      </sheetData>
      <sheetData sheetId="7"/>
      <sheetData sheetId="8"/>
      <sheetData sheetId="9">
        <row r="9">
          <cell r="E9">
            <v>3.3021674120840272</v>
          </cell>
        </row>
        <row r="10">
          <cell r="E10">
            <v>1.0811111111111109</v>
          </cell>
        </row>
      </sheetData>
      <sheetData sheetId="10">
        <row r="2">
          <cell r="C2">
            <v>0.68639229919712363</v>
          </cell>
        </row>
        <row r="5">
          <cell r="C5">
            <v>164.30459999999999</v>
          </cell>
          <cell r="E5">
            <v>34.012096926621403</v>
          </cell>
        </row>
        <row r="6">
          <cell r="C6">
            <v>6.2985051603460569</v>
          </cell>
        </row>
        <row r="7">
          <cell r="B7">
            <v>56.274224030153043</v>
          </cell>
        </row>
        <row r="12">
          <cell r="C12">
            <v>0.18214254041483291</v>
          </cell>
        </row>
        <row r="13">
          <cell r="B13">
            <v>46980.4884467429</v>
          </cell>
        </row>
        <row r="14">
          <cell r="B14">
            <v>70484.328694481112</v>
          </cell>
        </row>
      </sheetData>
      <sheetData sheetId="11">
        <row r="8">
          <cell r="B8">
            <v>62.779445892051108</v>
          </cell>
        </row>
        <row r="9">
          <cell r="B9">
            <v>61.490953959056753</v>
          </cell>
        </row>
        <row r="10">
          <cell r="B10">
            <v>5.3378423542610038</v>
          </cell>
        </row>
        <row r="18">
          <cell r="B18">
            <v>37990.554441752858</v>
          </cell>
        </row>
      </sheetData>
      <sheetData sheetId="12">
        <row r="3">
          <cell r="E3">
            <v>23.529949959524259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13.589094133053891</v>
          </cell>
        </row>
        <row r="13">
          <cell r="E13">
            <v>0.7078689153299943</v>
          </cell>
        </row>
      </sheetData>
      <sheetData sheetId="1"/>
      <sheetData sheetId="2">
        <row r="2">
          <cell r="E2">
            <v>11.973968555165641</v>
          </cell>
        </row>
      </sheetData>
      <sheetData sheetId="3">
        <row r="2">
          <cell r="C2">
            <v>2.145446042951161</v>
          </cell>
        </row>
        <row r="5">
          <cell r="C5">
            <v>120.9418048897099</v>
          </cell>
          <cell r="E5">
            <v>31.049707951710719</v>
          </cell>
        </row>
        <row r="6">
          <cell r="C6">
            <v>6.2064988691440082</v>
          </cell>
        </row>
        <row r="7">
          <cell r="B7">
            <v>43.276234941926468</v>
          </cell>
        </row>
        <row r="12">
          <cell r="C12">
            <v>4.54231405818682E-2</v>
          </cell>
        </row>
      </sheetData>
      <sheetData sheetId="4">
        <row r="8">
          <cell r="B8">
            <v>52.723308943508343</v>
          </cell>
        </row>
        <row r="9">
          <cell r="B9">
            <v>70.087648881000689</v>
          </cell>
        </row>
        <row r="10">
          <cell r="B10">
            <v>6.0219566222448346</v>
          </cell>
        </row>
        <row r="11">
          <cell r="B11">
            <v>34696.843172408837</v>
          </cell>
        </row>
        <row r="17">
          <cell r="B17">
            <v>38554.718555482898</v>
          </cell>
        </row>
      </sheetData>
      <sheetData sheetId="5"/>
      <sheetData sheetId="6">
        <row r="3">
          <cell r="B3">
            <v>0.75689579032102772</v>
          </cell>
        </row>
      </sheetData>
      <sheetData sheetId="7"/>
      <sheetData sheetId="8"/>
      <sheetData sheetId="9">
        <row r="9">
          <cell r="E9">
            <v>3.3046748619762809</v>
          </cell>
        </row>
        <row r="10">
          <cell r="E10">
            <v>1.0811111111111109</v>
          </cell>
        </row>
      </sheetData>
      <sheetData sheetId="10">
        <row r="2">
          <cell r="C2">
            <v>0.68211991504405434</v>
          </cell>
        </row>
        <row r="5">
          <cell r="C5">
            <v>159.78659999999999</v>
          </cell>
          <cell r="E5">
            <v>33.830241541168107</v>
          </cell>
        </row>
        <row r="6">
          <cell r="C6">
            <v>6.2889189604114444</v>
          </cell>
        </row>
        <row r="7">
          <cell r="B7">
            <v>56.427775482838094</v>
          </cell>
        </row>
        <row r="12">
          <cell r="C12">
            <v>0.18443474000061799</v>
          </cell>
        </row>
        <row r="13">
          <cell r="B13">
            <v>47020.960838040402</v>
          </cell>
        </row>
        <row r="14">
          <cell r="B14">
            <v>70544.4962427422</v>
          </cell>
        </row>
      </sheetData>
      <sheetData sheetId="11">
        <row r="8">
          <cell r="B8">
            <v>54.663092182935223</v>
          </cell>
        </row>
        <row r="9">
          <cell r="B9">
            <v>68.08716313433095</v>
          </cell>
        </row>
        <row r="10">
          <cell r="B10">
            <v>5.8760331303184969</v>
          </cell>
        </row>
        <row r="18">
          <cell r="B18">
            <v>38761.340808871377</v>
          </cell>
        </row>
      </sheetData>
      <sheetData sheetId="12">
        <row r="3">
          <cell r="E3">
            <v>23.516497371811869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13.57302537467827</v>
          </cell>
        </row>
        <row r="13">
          <cell r="E13">
            <v>0.70703187833174552</v>
          </cell>
        </row>
      </sheetData>
      <sheetData sheetId="1"/>
      <sheetData sheetId="2">
        <row r="2">
          <cell r="E2">
            <v>11.97396938395101</v>
          </cell>
        </row>
      </sheetData>
      <sheetData sheetId="3">
        <row r="2">
          <cell r="C2">
            <v>2.2190445960609901</v>
          </cell>
        </row>
        <row r="5">
          <cell r="C5">
            <v>118.9179000057555</v>
          </cell>
          <cell r="E5">
            <v>30.933717851221498</v>
          </cell>
        </row>
        <row r="6">
          <cell r="C6">
            <v>6.2022045891824709</v>
          </cell>
        </row>
        <row r="7">
          <cell r="B7">
            <v>43.189091731133018</v>
          </cell>
        </row>
        <row r="12">
          <cell r="C12">
            <v>4.4870453998254747E-2</v>
          </cell>
        </row>
      </sheetData>
      <sheetData sheetId="4">
        <row r="8">
          <cell r="B8">
            <v>54.201044583040421</v>
          </cell>
        </row>
        <row r="9">
          <cell r="B9">
            <v>68.126362633936054</v>
          </cell>
        </row>
        <row r="10">
          <cell r="B10">
            <v>5.8278060747670741</v>
          </cell>
        </row>
        <row r="11">
          <cell r="B11">
            <v>34723.52333243264</v>
          </cell>
        </row>
        <row r="17">
          <cell r="B17">
            <v>38576.019541769587</v>
          </cell>
        </row>
      </sheetData>
      <sheetData sheetId="5"/>
      <sheetData sheetId="6">
        <row r="3">
          <cell r="B3">
            <v>0.75707333660408205</v>
          </cell>
        </row>
      </sheetData>
      <sheetData sheetId="7"/>
      <sheetData sheetId="8"/>
      <sheetData sheetId="9">
        <row r="9">
          <cell r="E9">
            <v>3.3063876685570008</v>
          </cell>
        </row>
        <row r="10">
          <cell r="E10">
            <v>1.0811111111111109</v>
          </cell>
        </row>
      </sheetData>
      <sheetData sheetId="10">
        <row r="2">
          <cell r="C2">
            <v>0.67820114753838379</v>
          </cell>
        </row>
        <row r="5">
          <cell r="C5">
            <v>157.07579999999999</v>
          </cell>
          <cell r="E5">
            <v>33.701191319931901</v>
          </cell>
        </row>
        <row r="6">
          <cell r="C6">
            <v>6.2831672404506769</v>
          </cell>
        </row>
        <row r="7">
          <cell r="B7">
            <v>56.219279578427233</v>
          </cell>
        </row>
        <row r="12">
          <cell r="C12">
            <v>0.18425332447741299</v>
          </cell>
        </row>
        <row r="13">
          <cell r="B13">
            <v>47045.827872736598</v>
          </cell>
        </row>
        <row r="14">
          <cell r="B14">
            <v>70581.612049136616</v>
          </cell>
        </row>
      </sheetData>
      <sheetData sheetId="11">
        <row r="8">
          <cell r="B8">
            <v>51.73505370356159</v>
          </cell>
        </row>
        <row r="9">
          <cell r="B9">
            <v>70.047079843704822</v>
          </cell>
        </row>
        <row r="10">
          <cell r="B10">
            <v>6.020288069735062</v>
          </cell>
        </row>
        <row r="18">
          <cell r="B18">
            <v>38928.75692369217</v>
          </cell>
        </row>
      </sheetData>
      <sheetData sheetId="12">
        <row r="3">
          <cell r="E3">
            <v>23.507316922203401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0m3"/>
      <sheetName val="250m3 обр"/>
      <sheetName val="400m3 обр"/>
      <sheetName val="565m3 обр"/>
      <sheetName val="250m3"/>
      <sheetName val="400m3"/>
      <sheetName val="565m3"/>
      <sheetName val="Деньги"/>
    </sheetNames>
    <sheetDataSet>
      <sheetData sheetId="0"/>
      <sheetData sheetId="1"/>
      <sheetData sheetId="2">
        <row r="3">
          <cell r="AJ3">
            <v>0.7639810595067742</v>
          </cell>
        </row>
        <row r="4">
          <cell r="AJ4">
            <v>0.77440816895601972</v>
          </cell>
        </row>
        <row r="5">
          <cell r="AJ5">
            <v>0.78318443733754983</v>
          </cell>
        </row>
        <row r="6">
          <cell r="AJ6">
            <v>0.79045599530444199</v>
          </cell>
        </row>
        <row r="7">
          <cell r="AJ7">
            <v>0.79729374357630034</v>
          </cell>
        </row>
        <row r="8">
          <cell r="AJ8">
            <v>0.80228865312812969</v>
          </cell>
        </row>
        <row r="9">
          <cell r="AJ9">
            <v>0.80809278865932643</v>
          </cell>
        </row>
        <row r="10">
          <cell r="AJ10">
            <v>0.81593961541559257</v>
          </cell>
        </row>
        <row r="11">
          <cell r="AJ11">
            <v>0.81892324418297935</v>
          </cell>
        </row>
        <row r="15">
          <cell r="AJ15">
            <v>0.74493284017830408</v>
          </cell>
        </row>
        <row r="16">
          <cell r="AJ16">
            <v>0.75862474836327864</v>
          </cell>
        </row>
        <row r="17">
          <cell r="AJ17">
            <v>0.77226211226929653</v>
          </cell>
        </row>
        <row r="18">
          <cell r="AJ18">
            <v>0.77761187775024698</v>
          </cell>
        </row>
        <row r="19">
          <cell r="AJ19">
            <v>0.78241097181044472</v>
          </cell>
        </row>
        <row r="20">
          <cell r="AJ20">
            <v>0.78578091179149601</v>
          </cell>
        </row>
        <row r="21">
          <cell r="AJ21">
            <v>0.79024207756967935</v>
          </cell>
        </row>
        <row r="22">
          <cell r="AJ22">
            <v>0.79709147270920655</v>
          </cell>
        </row>
        <row r="23">
          <cell r="AJ23">
            <v>0.79962093224874631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MixtureString"/>
      <definedName name="PropsSI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6.8711739109793264</v>
          </cell>
        </row>
        <row r="13">
          <cell r="E13">
            <v>0.35792602330848838</v>
          </cell>
        </row>
      </sheetData>
      <sheetData sheetId="1"/>
      <sheetData sheetId="2">
        <row r="2">
          <cell r="E2">
            <v>5.9869478572896311</v>
          </cell>
        </row>
      </sheetData>
      <sheetData sheetId="3">
        <row r="2">
          <cell r="C2">
            <v>1.927786775214652</v>
          </cell>
        </row>
        <row r="5">
          <cell r="C5">
            <v>143.41377453621129</v>
          </cell>
          <cell r="E5">
            <v>32.869136562117937</v>
          </cell>
        </row>
        <row r="6">
          <cell r="C6">
            <v>6.2541794344286226</v>
          </cell>
        </row>
        <row r="7">
          <cell r="B7">
            <v>41.791549678946993</v>
          </cell>
        </row>
        <row r="12">
          <cell r="C12">
            <v>4.5208724305841337E-2</v>
          </cell>
        </row>
      </sheetData>
      <sheetData sheetId="4">
        <row r="8">
          <cell r="B8">
            <v>28.745622744918158</v>
          </cell>
        </row>
        <row r="9">
          <cell r="B9">
            <v>110.8673818211044</v>
          </cell>
        </row>
        <row r="10">
          <cell r="B10">
            <v>9.7720941115649271</v>
          </cell>
        </row>
        <row r="11">
          <cell r="B11">
            <v>17221.037057481561</v>
          </cell>
        </row>
        <row r="17">
          <cell r="B17">
            <v>19015.044528803581</v>
          </cell>
        </row>
      </sheetData>
      <sheetData sheetId="5"/>
      <sheetData sheetId="6">
        <row r="3">
          <cell r="B3">
            <v>0.86571154494875857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0.89513170561407818</v>
          </cell>
        </row>
        <row r="5">
          <cell r="C5">
            <v>165.66</v>
          </cell>
          <cell r="E5">
            <v>34.091218921592109</v>
          </cell>
        </row>
        <row r="6">
          <cell r="C6">
            <v>6.3013810203264402</v>
          </cell>
        </row>
        <row r="7">
          <cell r="B7">
            <v>47.607229859544418</v>
          </cell>
        </row>
        <row r="12">
          <cell r="C12">
            <v>8.1994811097492154E-2</v>
          </cell>
        </row>
        <row r="13">
          <cell r="B13">
            <v>15714.95477239345</v>
          </cell>
        </row>
        <row r="14">
          <cell r="B14">
            <v>23581.583748906301</v>
          </cell>
        </row>
      </sheetData>
      <sheetData sheetId="11">
        <row r="8">
          <cell r="B8">
            <v>34.319780652285893</v>
          </cell>
        </row>
        <row r="9">
          <cell r="B9">
            <v>112.301822371132</v>
          </cell>
        </row>
        <row r="10">
          <cell r="B10">
            <v>10.023687384102629</v>
          </cell>
        </row>
        <row r="18">
          <cell r="B18">
            <v>11723.12230274476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6.8652861653667312</v>
          </cell>
        </row>
        <row r="13">
          <cell r="E13">
            <v>0.35761932500617938</v>
          </cell>
        </row>
      </sheetData>
      <sheetData sheetId="1"/>
      <sheetData sheetId="2">
        <row r="2">
          <cell r="E2">
            <v>5.9869582511136503</v>
          </cell>
        </row>
      </sheetData>
      <sheetData sheetId="3">
        <row r="2">
          <cell r="C2">
            <v>1.8921244639639521</v>
          </cell>
        </row>
        <row r="5">
          <cell r="C5">
            <v>141.72977406783039</v>
          </cell>
          <cell r="E5">
            <v>32.72743657288737</v>
          </cell>
        </row>
        <row r="6">
          <cell r="C6">
            <v>6.2506063566995671</v>
          </cell>
        </row>
        <row r="7">
          <cell r="B7">
            <v>43.833132183224521</v>
          </cell>
        </row>
        <row r="12">
          <cell r="C12">
            <v>4.51248653098896E-2</v>
          </cell>
        </row>
      </sheetData>
      <sheetData sheetId="4">
        <row r="8">
          <cell r="B8">
            <v>34.150275929514109</v>
          </cell>
        </row>
        <row r="9">
          <cell r="B9">
            <v>105.5851161317199</v>
          </cell>
        </row>
        <row r="10">
          <cell r="B10">
            <v>9.3105482394223493</v>
          </cell>
        </row>
        <row r="11">
          <cell r="B11">
            <v>17230.861169927721</v>
          </cell>
        </row>
        <row r="17">
          <cell r="B17">
            <v>19148.13006258144</v>
          </cell>
        </row>
      </sheetData>
      <sheetData sheetId="5"/>
      <sheetData sheetId="6">
        <row r="3">
          <cell r="B3">
            <v>0.85554614311137545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0.77284943768987546</v>
          </cell>
        </row>
        <row r="5">
          <cell r="C5">
            <v>165.66</v>
          </cell>
          <cell r="E5">
            <v>34.094845350390223</v>
          </cell>
        </row>
        <row r="6">
          <cell r="C6">
            <v>6.3013810203264402</v>
          </cell>
        </row>
        <row r="7">
          <cell r="B7">
            <v>49.827978897102618</v>
          </cell>
        </row>
        <row r="12">
          <cell r="C12">
            <v>8.3352490765482012E-2</v>
          </cell>
        </row>
        <row r="13">
          <cell r="B13">
            <v>15727.525060507151</v>
          </cell>
        </row>
        <row r="14">
          <cell r="B14">
            <v>23599.602952261721</v>
          </cell>
        </row>
      </sheetData>
      <sheetData sheetId="11">
        <row r="8">
          <cell r="B8">
            <v>40.818333591551479</v>
          </cell>
        </row>
        <row r="9">
          <cell r="B9">
            <v>105.91898164933011</v>
          </cell>
        </row>
        <row r="10">
          <cell r="B10">
            <v>9.4539567957899777</v>
          </cell>
        </row>
        <row r="18">
          <cell r="B18">
            <v>11979.405430186071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6.8586907367066257</v>
          </cell>
        </row>
        <row r="13">
          <cell r="E13">
            <v>0.35727576281681978</v>
          </cell>
        </row>
      </sheetData>
      <sheetData sheetId="1"/>
      <sheetData sheetId="2">
        <row r="2">
          <cell r="E2">
            <v>5.9869546438591481</v>
          </cell>
        </row>
      </sheetData>
      <sheetData sheetId="3">
        <row r="2">
          <cell r="C2">
            <v>1.838861598006992</v>
          </cell>
        </row>
        <row r="5">
          <cell r="C5">
            <v>140.01464752121069</v>
          </cell>
          <cell r="E5">
            <v>32.56966078561836</v>
          </cell>
        </row>
        <row r="6">
          <cell r="C6">
            <v>6.2469672362947293</v>
          </cell>
        </row>
        <row r="7">
          <cell r="B7">
            <v>45.844772817235793</v>
          </cell>
        </row>
        <row r="12">
          <cell r="C12">
            <v>4.5136454938533258E-2</v>
          </cell>
        </row>
      </sheetData>
      <sheetData sheetId="4">
        <row r="8">
          <cell r="B8">
            <v>40.738651877932163</v>
          </cell>
        </row>
        <row r="9">
          <cell r="B9">
            <v>99.218147827972501</v>
          </cell>
        </row>
        <row r="10">
          <cell r="B10">
            <v>8.7483673538442197</v>
          </cell>
        </row>
        <row r="11">
          <cell r="B11">
            <v>17241.793177266929</v>
          </cell>
        </row>
        <row r="17">
          <cell r="B17">
            <v>19284.70199342247</v>
          </cell>
        </row>
      </sheetData>
      <sheetData sheetId="5"/>
      <sheetData sheetId="6">
        <row r="3">
          <cell r="B3">
            <v>0.8451928499409076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0.6808675069695368</v>
          </cell>
        </row>
        <row r="5">
          <cell r="C5">
            <v>165.66</v>
          </cell>
          <cell r="E5">
            <v>34.086911016241331</v>
          </cell>
        </row>
        <row r="6">
          <cell r="C6">
            <v>6.3013810203264402</v>
          </cell>
        </row>
        <row r="7">
          <cell r="B7">
            <v>51.883442627107179</v>
          </cell>
        </row>
        <row r="12">
          <cell r="C12">
            <v>8.3521851579593145E-2</v>
          </cell>
        </row>
        <row r="13">
          <cell r="B13">
            <v>15740.123442982909</v>
          </cell>
        </row>
        <row r="14">
          <cell r="B14">
            <v>23617.662425475559</v>
          </cell>
        </row>
      </sheetData>
      <sheetData sheetId="11">
        <row r="8">
          <cell r="B8">
            <v>48.453832620392433</v>
          </cell>
        </row>
        <row r="9">
          <cell r="B9">
            <v>98.499489026550776</v>
          </cell>
        </row>
        <row r="10">
          <cell r="B10">
            <v>8.7844678080065588</v>
          </cell>
        </row>
        <row r="18">
          <cell r="B18">
            <v>12235.962001993959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6.8521155742365796</v>
          </cell>
        </row>
        <row r="13">
          <cell r="E13">
            <v>0.35693325631269091</v>
          </cell>
        </row>
      </sheetData>
      <sheetData sheetId="1"/>
      <sheetData sheetId="2">
        <row r="2">
          <cell r="E2">
            <v>5.9869840276881696</v>
          </cell>
        </row>
      </sheetData>
      <sheetData sheetId="3">
        <row r="2">
          <cell r="C2">
            <v>1.6816080148064161</v>
          </cell>
        </row>
        <row r="5">
          <cell r="C5">
            <v>139.22040269097079</v>
          </cell>
          <cell r="E5">
            <v>32.474905706851438</v>
          </cell>
        </row>
        <row r="6">
          <cell r="C6">
            <v>6.245282023868941</v>
          </cell>
        </row>
        <row r="7">
          <cell r="B7">
            <v>47.821890535966361</v>
          </cell>
        </row>
        <row r="12">
          <cell r="C12">
            <v>4.5376545554363733E-2</v>
          </cell>
        </row>
      </sheetData>
      <sheetData sheetId="4">
        <row r="8">
          <cell r="B8">
            <v>48.417971060112741</v>
          </cell>
        </row>
        <row r="9">
          <cell r="B9">
            <v>91.841596068405636</v>
          </cell>
        </row>
        <row r="10">
          <cell r="B10">
            <v>8.0897613165639406</v>
          </cell>
        </row>
        <row r="11">
          <cell r="B11">
            <v>17252.84929512678</v>
          </cell>
        </row>
        <row r="17">
          <cell r="B17">
            <v>19438.164039967149</v>
          </cell>
        </row>
      </sheetData>
      <sheetData sheetId="5"/>
      <sheetData sheetId="6">
        <row r="3">
          <cell r="B3">
            <v>0.84039842261844044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0.69146940063887463</v>
          </cell>
        </row>
        <row r="5">
          <cell r="C5">
            <v>165.66</v>
          </cell>
          <cell r="E5">
            <v>34.061064584346838</v>
          </cell>
        </row>
        <row r="6">
          <cell r="C6">
            <v>6.3013810203264402</v>
          </cell>
        </row>
        <row r="7">
          <cell r="B7">
            <v>53.872804981825738</v>
          </cell>
        </row>
        <row r="12">
          <cell r="C12">
            <v>8.6161590277344602E-2</v>
          </cell>
        </row>
        <row r="13">
          <cell r="B13">
            <v>15752.74961590571</v>
          </cell>
        </row>
        <row r="14">
          <cell r="B14">
            <v>23635.76173288075</v>
          </cell>
        </row>
      </sheetData>
      <sheetData sheetId="11">
        <row r="8">
          <cell r="B8">
            <v>57.387194560079386</v>
          </cell>
        </row>
        <row r="9">
          <cell r="B9">
            <v>89.898388744076954</v>
          </cell>
        </row>
        <row r="10">
          <cell r="B10">
            <v>7.9992736151163024</v>
          </cell>
        </row>
        <row r="18">
          <cell r="B18">
            <v>12492.79775994312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6.8434134728243396</v>
          </cell>
        </row>
        <row r="13">
          <cell r="E13">
            <v>0.35647995552402462</v>
          </cell>
        </row>
      </sheetData>
      <sheetData sheetId="1"/>
      <sheetData sheetId="2">
        <row r="2">
          <cell r="E2">
            <v>5.9869802714153897</v>
          </cell>
        </row>
      </sheetData>
      <sheetData sheetId="3">
        <row r="2">
          <cell r="C2">
            <v>1.625935185545212</v>
          </cell>
        </row>
        <row r="5">
          <cell r="C5">
            <v>137.79714781864419</v>
          </cell>
          <cell r="E5">
            <v>32.402912560083827</v>
          </cell>
        </row>
        <row r="6">
          <cell r="C6">
            <v>6.2422621908091722</v>
          </cell>
        </row>
        <row r="7">
          <cell r="B7">
            <v>49.205809321233673</v>
          </cell>
        </row>
        <row r="12">
          <cell r="C12">
            <v>4.6309407083217111E-2</v>
          </cell>
        </row>
      </sheetData>
      <sheetData sheetId="4">
        <row r="8">
          <cell r="B8">
            <v>56.964431055454277</v>
          </cell>
        </row>
        <row r="9">
          <cell r="B9">
            <v>83.697854079890845</v>
          </cell>
        </row>
        <row r="10">
          <cell r="B10">
            <v>7.3483497147114534</v>
          </cell>
        </row>
        <row r="11">
          <cell r="B11">
            <v>17267.277936488568</v>
          </cell>
        </row>
        <row r="17">
          <cell r="B17">
            <v>19576.213209668869</v>
          </cell>
        </row>
      </sheetData>
      <sheetData sheetId="5"/>
      <sheetData sheetId="6">
        <row r="3">
          <cell r="B3">
            <v>0.83866883713933871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0.69597037887522628</v>
          </cell>
        </row>
        <row r="5">
          <cell r="C5">
            <v>164.30459999999999</v>
          </cell>
          <cell r="E5">
            <v>34.012096926621403</v>
          </cell>
        </row>
        <row r="6">
          <cell r="C6">
            <v>6.2985051603460569</v>
          </cell>
        </row>
        <row r="7">
          <cell r="B7">
            <v>55.072852341871702</v>
          </cell>
        </row>
        <row r="12">
          <cell r="C12">
            <v>9.0285356727038066E-2</v>
          </cell>
        </row>
        <row r="13">
          <cell r="B13">
            <v>15765.403268990751</v>
          </cell>
        </row>
        <row r="14">
          <cell r="B14">
            <v>23653.900429679768</v>
          </cell>
        </row>
      </sheetData>
      <sheetData sheetId="11">
        <row r="8">
          <cell r="B8">
            <v>67.144502816502012</v>
          </cell>
        </row>
        <row r="9">
          <cell r="B9">
            <v>80.556966178061515</v>
          </cell>
        </row>
        <row r="10">
          <cell r="B10">
            <v>7.1310312292739457</v>
          </cell>
        </row>
        <row r="18">
          <cell r="B18">
            <v>12749.9184306363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6.8322839971389104</v>
          </cell>
        </row>
        <row r="13">
          <cell r="E13">
            <v>0.35590021048697512</v>
          </cell>
        </row>
      </sheetData>
      <sheetData sheetId="1"/>
      <sheetData sheetId="2">
        <row r="2">
          <cell r="E2">
            <v>5.9869606587040796</v>
          </cell>
        </row>
      </sheetData>
      <sheetData sheetId="3">
        <row r="2">
          <cell r="C2">
            <v>1.68353532216139</v>
          </cell>
        </row>
        <row r="5">
          <cell r="C5">
            <v>134.88367857238791</v>
          </cell>
          <cell r="E5">
            <v>32.309290043918388</v>
          </cell>
        </row>
        <row r="6">
          <cell r="C6">
            <v>6.2360804513895269</v>
          </cell>
        </row>
        <row r="7">
          <cell r="B7">
            <v>49.634609577963602</v>
          </cell>
        </row>
        <row r="12">
          <cell r="C12">
            <v>4.7201363192467982E-2</v>
          </cell>
        </row>
      </sheetData>
      <sheetData sheetId="4">
        <row r="8">
          <cell r="B8">
            <v>65.813431792015365</v>
          </cell>
        </row>
        <row r="9">
          <cell r="B9">
            <v>75.312154670495744</v>
          </cell>
        </row>
        <row r="10">
          <cell r="B10">
            <v>6.5676581594527166</v>
          </cell>
        </row>
        <row r="11">
          <cell r="B11">
            <v>17285.66050857442</v>
          </cell>
        </row>
        <row r="17">
          <cell r="B17">
            <v>19694.73028623647</v>
          </cell>
        </row>
      </sheetData>
      <sheetData sheetId="5"/>
      <sheetData sheetId="6">
        <row r="3">
          <cell r="B3">
            <v>0.84414887463897392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0.6915278807309394</v>
          </cell>
        </row>
        <row r="5">
          <cell r="C5">
            <v>159.78659999999999</v>
          </cell>
          <cell r="E5">
            <v>33.830241541168107</v>
          </cell>
        </row>
        <row r="6">
          <cell r="C6">
            <v>6.2889189604114444</v>
          </cell>
        </row>
        <row r="7">
          <cell r="B7">
            <v>54.944009849714917</v>
          </cell>
        </row>
        <row r="12">
          <cell r="C12">
            <v>9.3570935488586818E-2</v>
          </cell>
        </row>
        <row r="13">
          <cell r="B13">
            <v>15778.08409004476</v>
          </cell>
        </row>
        <row r="14">
          <cell r="B14">
            <v>23672.07806833971</v>
          </cell>
        </row>
      </sheetData>
      <sheetData sheetId="11">
        <row r="8">
          <cell r="B8">
            <v>76.890501891831533</v>
          </cell>
        </row>
        <row r="9">
          <cell r="B9">
            <v>71.24223990165315</v>
          </cell>
        </row>
        <row r="10">
          <cell r="B10">
            <v>6.2480246234290506</v>
          </cell>
        </row>
        <row r="18">
          <cell r="B18">
            <v>13007.32972477301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6.8235280791165209</v>
          </cell>
        </row>
        <row r="13">
          <cell r="E13">
            <v>0.35544410633959478</v>
          </cell>
        </row>
      </sheetData>
      <sheetData sheetId="1"/>
      <sheetData sheetId="2">
        <row r="2">
          <cell r="E2">
            <v>5.9869862259933706</v>
          </cell>
        </row>
      </sheetData>
      <sheetData sheetId="3">
        <row r="2">
          <cell r="C2">
            <v>1.8467888575340661</v>
          </cell>
        </row>
        <row r="5">
          <cell r="C5">
            <v>131.88532740474571</v>
          </cell>
          <cell r="E5">
            <v>32.120634019459501</v>
          </cell>
        </row>
        <row r="6">
          <cell r="C6">
            <v>6.2297186112462786</v>
          </cell>
        </row>
        <row r="7">
          <cell r="B7">
            <v>49.291437404581259</v>
          </cell>
        </row>
        <row r="12">
          <cell r="C12">
            <v>4.5356027620595728E-2</v>
          </cell>
        </row>
      </sheetData>
      <sheetData sheetId="4">
        <row r="8">
          <cell r="B8">
            <v>67.285196163824622</v>
          </cell>
        </row>
        <row r="9">
          <cell r="B9">
            <v>73.384509694523018</v>
          </cell>
        </row>
        <row r="10">
          <cell r="B10">
            <v>6.3701810953990794</v>
          </cell>
        </row>
        <row r="11">
          <cell r="B11">
            <v>17300.318710236501</v>
          </cell>
        </row>
        <row r="17">
          <cell r="B17">
            <v>19694.25213366103</v>
          </cell>
        </row>
      </sheetData>
      <sheetData sheetId="5"/>
      <sheetData sheetId="6">
        <row r="3">
          <cell r="B3">
            <v>0.83962855770746192</v>
          </cell>
        </row>
      </sheetData>
      <sheetData sheetId="7"/>
      <sheetData sheetId="8"/>
      <sheetData sheetId="9">
        <row r="9">
          <cell r="E9">
            <v>1.109903083735525</v>
          </cell>
        </row>
        <row r="10">
          <cell r="E10">
            <v>1.0811111111111109</v>
          </cell>
        </row>
      </sheetData>
      <sheetData sheetId="10">
        <row r="2">
          <cell r="C2">
            <v>0.68647749244745082</v>
          </cell>
        </row>
        <row r="5">
          <cell r="C5">
            <v>157.07579999999999</v>
          </cell>
          <cell r="E5">
            <v>33.701191319931901</v>
          </cell>
        </row>
        <row r="6">
          <cell r="C6">
            <v>6.2831672404506769</v>
          </cell>
        </row>
        <row r="7">
          <cell r="B7">
            <v>54.400099547660169</v>
          </cell>
        </row>
        <row r="12">
          <cell r="C12">
            <v>9.2197123894284264E-2</v>
          </cell>
        </row>
        <row r="13">
          <cell r="B13">
            <v>15789.335487543751</v>
          </cell>
        </row>
        <row r="14">
          <cell r="B14">
            <v>23688.708701754269</v>
          </cell>
        </row>
      </sheetData>
      <sheetData sheetId="11">
        <row r="8">
          <cell r="B8">
            <v>78.47438579105841</v>
          </cell>
        </row>
        <row r="9">
          <cell r="B9">
            <v>69.163466914362772</v>
          </cell>
        </row>
        <row r="10">
          <cell r="B10">
            <v>6.0315437403562484</v>
          </cell>
        </row>
        <row r="18">
          <cell r="B18">
            <v>13065.762888955011</v>
          </cell>
        </row>
      </sheetData>
      <sheetData sheetId="12">
        <row r="3">
          <cell r="E3">
            <v>23.536662736376829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2EDBA-EC57-4337-AAB5-526059FEF82D}">
  <dimension ref="A1:BR39"/>
  <sheetViews>
    <sheetView topLeftCell="AK1" zoomScale="85" zoomScaleNormal="85" workbookViewId="0">
      <selection activeCell="AX17" sqref="AX17"/>
    </sheetView>
  </sheetViews>
  <sheetFormatPr defaultColWidth="9.1796875" defaultRowHeight="15.5" x14ac:dyDescent="0.35"/>
  <cols>
    <col min="1" max="1" width="7.1796875" style="4" bestFit="1" customWidth="1"/>
    <col min="2" max="3" width="16.1796875" style="1" bestFit="1" customWidth="1"/>
    <col min="4" max="4" width="10.453125" style="1" bestFit="1" customWidth="1"/>
    <col min="5" max="5" width="7.54296875" style="1" bestFit="1" customWidth="1"/>
    <col min="6" max="6" width="7.453125" style="1" bestFit="1" customWidth="1"/>
    <col min="7" max="7" width="7.81640625" style="1" bestFit="1" customWidth="1"/>
    <col min="8" max="9" width="5.1796875" style="1" bestFit="1" customWidth="1"/>
    <col min="10" max="10" width="5.26953125" style="1" bestFit="1" customWidth="1"/>
    <col min="11" max="12" width="7.453125" style="1" bestFit="1" customWidth="1"/>
    <col min="13" max="13" width="6.453125" style="1" bestFit="1" customWidth="1"/>
    <col min="14" max="14" width="10.81640625" style="1" bestFit="1" customWidth="1"/>
    <col min="15" max="15" width="10.7265625" style="1" bestFit="1" customWidth="1"/>
    <col min="16" max="16" width="6.453125" style="2" bestFit="1" customWidth="1"/>
    <col min="17" max="17" width="11.453125" style="1" bestFit="1" customWidth="1"/>
    <col min="18" max="18" width="12.54296875" style="1" bestFit="1" customWidth="1"/>
    <col min="19" max="19" width="11.453125" style="3" bestFit="1" customWidth="1"/>
    <col min="20" max="20" width="13.453125" style="1" bestFit="1" customWidth="1"/>
    <col min="21" max="22" width="11.81640625" style="4" bestFit="1" customWidth="1"/>
    <col min="23" max="23" width="12.26953125" style="4" bestFit="1" customWidth="1"/>
    <col min="24" max="24" width="18.81640625" style="4" bestFit="1" customWidth="1"/>
    <col min="25" max="25" width="21.1796875" style="4" bestFit="1" customWidth="1"/>
    <col min="26" max="26" width="11.453125" style="4" bestFit="1" customWidth="1"/>
    <col min="27" max="27" width="21.54296875" style="4" bestFit="1" customWidth="1"/>
    <col min="28" max="28" width="31" style="4" bestFit="1" customWidth="1"/>
    <col min="29" max="29" width="21.453125" style="4" bestFit="1" customWidth="1"/>
    <col min="30" max="31" width="21.453125" style="4" customWidth="1"/>
    <col min="32" max="32" width="11.1796875" style="1" bestFit="1" customWidth="1"/>
    <col min="33" max="33" width="11.453125" style="1" bestFit="1" customWidth="1"/>
    <col min="34" max="34" width="7" style="1" bestFit="1" customWidth="1"/>
    <col min="35" max="35" width="10.453125" style="1" bestFit="1" customWidth="1"/>
    <col min="36" max="36" width="7.54296875" style="1" bestFit="1" customWidth="1"/>
    <col min="37" max="37" width="7.453125" style="1" bestFit="1" customWidth="1"/>
    <col min="38" max="38" width="7.81640625" style="1" bestFit="1" customWidth="1"/>
    <col min="39" max="40" width="5.1796875" style="1" bestFit="1" customWidth="1"/>
    <col min="41" max="41" width="5.26953125" style="1" bestFit="1" customWidth="1"/>
    <col min="42" max="42" width="12.81640625" style="1" bestFit="1" customWidth="1"/>
    <col min="43" max="43" width="11.26953125" style="1" bestFit="1" customWidth="1"/>
    <col min="44" max="45" width="7.453125" style="1" bestFit="1" customWidth="1"/>
    <col min="46" max="46" width="6.453125" style="1" bestFit="1" customWidth="1"/>
    <col min="47" max="47" width="10.81640625" style="1" bestFit="1" customWidth="1"/>
    <col min="48" max="48" width="8.54296875" style="1" bestFit="1" customWidth="1"/>
    <col min="49" max="49" width="14.453125" style="2" bestFit="1" customWidth="1"/>
    <col min="50" max="50" width="15.453125" style="1" bestFit="1" customWidth="1"/>
    <col min="51" max="51" width="14.81640625" style="3" bestFit="1" customWidth="1"/>
    <col min="52" max="52" width="11.81640625" style="3" bestFit="1" customWidth="1"/>
    <col min="53" max="54" width="11" style="4" bestFit="1" customWidth="1"/>
    <col min="55" max="55" width="18.81640625" style="4" bestFit="1" customWidth="1"/>
    <col min="56" max="56" width="21.1796875" style="4" bestFit="1" customWidth="1"/>
    <col min="57" max="57" width="11.453125" style="4" bestFit="1" customWidth="1"/>
    <col min="58" max="58" width="24.54296875" style="4" bestFit="1" customWidth="1"/>
    <col min="59" max="59" width="15.1796875" style="4" bestFit="1" customWidth="1"/>
    <col min="60" max="60" width="31" style="4" bestFit="1" customWidth="1"/>
    <col min="61" max="61" width="21.453125" style="4" bestFit="1" customWidth="1"/>
    <col min="62" max="63" width="21.453125" style="4" customWidth="1"/>
    <col min="64" max="64" width="13.1796875" style="4" bestFit="1" customWidth="1"/>
    <col min="65" max="65" width="11.26953125" style="2" bestFit="1" customWidth="1"/>
    <col min="66" max="66" width="12.453125" style="3" bestFit="1" customWidth="1"/>
    <col min="67" max="67" width="9.7265625" style="1" bestFit="1" customWidth="1"/>
    <col min="68" max="68" width="6.453125" style="1" bestFit="1" customWidth="1"/>
    <col min="69" max="16384" width="9.1796875" style="1"/>
  </cols>
  <sheetData>
    <row r="1" spans="1:70" ht="15.65" customHeight="1" x14ac:dyDescent="0.35">
      <c r="A1" s="45" t="s">
        <v>0</v>
      </c>
      <c r="B1" s="47" t="s">
        <v>7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9"/>
      <c r="P1" s="8"/>
      <c r="Q1" s="9"/>
      <c r="R1" s="9"/>
      <c r="S1" s="10"/>
      <c r="T1" s="49" t="s">
        <v>14</v>
      </c>
      <c r="U1" s="45" t="s">
        <v>17</v>
      </c>
      <c r="V1" s="45" t="s">
        <v>58</v>
      </c>
      <c r="W1" s="45" t="s">
        <v>59</v>
      </c>
      <c r="X1" s="45" t="s">
        <v>49</v>
      </c>
      <c r="Y1" s="45" t="s">
        <v>50</v>
      </c>
      <c r="Z1" s="45" t="s">
        <v>52</v>
      </c>
      <c r="AA1" s="45" t="s">
        <v>55</v>
      </c>
      <c r="AB1" s="45" t="s">
        <v>68</v>
      </c>
      <c r="AC1" s="45" t="s">
        <v>60</v>
      </c>
      <c r="AD1" s="52" t="s">
        <v>88</v>
      </c>
      <c r="AE1" s="52" t="s">
        <v>87</v>
      </c>
      <c r="AF1" s="47" t="s">
        <v>8</v>
      </c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9"/>
      <c r="AW1" s="47" t="s">
        <v>15</v>
      </c>
      <c r="AX1" s="48" t="s">
        <v>16</v>
      </c>
      <c r="AY1" s="49" t="s">
        <v>22</v>
      </c>
      <c r="AZ1" s="49" t="s">
        <v>17</v>
      </c>
      <c r="BA1" s="45" t="s">
        <v>62</v>
      </c>
      <c r="BB1" s="45" t="s">
        <v>61</v>
      </c>
      <c r="BC1" s="45" t="s">
        <v>49</v>
      </c>
      <c r="BD1" s="45" t="s">
        <v>50</v>
      </c>
      <c r="BE1" s="45" t="s">
        <v>52</v>
      </c>
      <c r="BF1" s="45" t="s">
        <v>63</v>
      </c>
      <c r="BG1" s="45" t="s">
        <v>64</v>
      </c>
      <c r="BH1" s="45" t="s">
        <v>68</v>
      </c>
      <c r="BI1" s="45" t="s">
        <v>60</v>
      </c>
      <c r="BJ1" s="52" t="s">
        <v>88</v>
      </c>
      <c r="BK1" s="52" t="s">
        <v>87</v>
      </c>
      <c r="BL1" s="45" t="s">
        <v>23</v>
      </c>
      <c r="BM1" s="47" t="s">
        <v>33</v>
      </c>
      <c r="BN1" s="49" t="s">
        <v>34</v>
      </c>
      <c r="BO1" s="11" t="s">
        <v>11</v>
      </c>
      <c r="BP1" s="11">
        <v>0.95</v>
      </c>
      <c r="BR1" s="1" t="s">
        <v>66</v>
      </c>
    </row>
    <row r="2" spans="1:70" ht="16" thickBot="1" x14ac:dyDescent="0.4">
      <c r="A2" s="46"/>
      <c r="B2" s="12" t="s">
        <v>57</v>
      </c>
      <c r="C2" s="12" t="s">
        <v>56</v>
      </c>
      <c r="D2" s="12" t="s">
        <v>27</v>
      </c>
      <c r="E2" s="12" t="s">
        <v>1</v>
      </c>
      <c r="F2" s="12" t="s">
        <v>2</v>
      </c>
      <c r="G2" s="12" t="s">
        <v>3</v>
      </c>
      <c r="H2" s="12" t="s">
        <v>4</v>
      </c>
      <c r="I2" s="12" t="s">
        <v>5</v>
      </c>
      <c r="J2" s="12" t="s">
        <v>6</v>
      </c>
      <c r="K2" s="12" t="s">
        <v>18</v>
      </c>
      <c r="L2" s="12" t="s">
        <v>19</v>
      </c>
      <c r="M2" s="12" t="s">
        <v>36</v>
      </c>
      <c r="N2" s="12" t="s">
        <v>35</v>
      </c>
      <c r="O2" s="12" t="s">
        <v>20</v>
      </c>
      <c r="P2" s="13" t="s">
        <v>37</v>
      </c>
      <c r="Q2" s="12" t="s">
        <v>38</v>
      </c>
      <c r="R2" s="12" t="s">
        <v>39</v>
      </c>
      <c r="S2" s="14" t="s">
        <v>48</v>
      </c>
      <c r="T2" s="50"/>
      <c r="U2" s="46"/>
      <c r="V2" s="46"/>
      <c r="W2" s="46"/>
      <c r="X2" s="46"/>
      <c r="Y2" s="46"/>
      <c r="Z2" s="46"/>
      <c r="AA2" s="46"/>
      <c r="AB2" s="46"/>
      <c r="AC2" s="46"/>
      <c r="AD2" s="53" t="s">
        <v>86</v>
      </c>
      <c r="AE2" s="53"/>
      <c r="AF2" s="12" t="s">
        <v>24</v>
      </c>
      <c r="AG2" s="12" t="s">
        <v>25</v>
      </c>
      <c r="AH2" s="12" t="s">
        <v>26</v>
      </c>
      <c r="AI2" s="12" t="s">
        <v>27</v>
      </c>
      <c r="AJ2" s="12" t="s">
        <v>1</v>
      </c>
      <c r="AK2" s="12" t="s">
        <v>2</v>
      </c>
      <c r="AL2" s="12" t="s">
        <v>3</v>
      </c>
      <c r="AM2" s="12" t="s">
        <v>4</v>
      </c>
      <c r="AN2" s="12" t="s">
        <v>5</v>
      </c>
      <c r="AO2" s="12" t="s">
        <v>6</v>
      </c>
      <c r="AP2" s="15" t="s">
        <v>9</v>
      </c>
      <c r="AQ2" s="15" t="s">
        <v>10</v>
      </c>
      <c r="AR2" s="12" t="s">
        <v>18</v>
      </c>
      <c r="AS2" s="12" t="s">
        <v>19</v>
      </c>
      <c r="AT2" s="12" t="s">
        <v>36</v>
      </c>
      <c r="AU2" s="12" t="s">
        <v>35</v>
      </c>
      <c r="AV2" s="15" t="s">
        <v>21</v>
      </c>
      <c r="AW2" s="51"/>
      <c r="AX2" s="54"/>
      <c r="AY2" s="50"/>
      <c r="AZ2" s="50"/>
      <c r="BA2" s="46"/>
      <c r="BB2" s="46"/>
      <c r="BC2" s="46"/>
      <c r="BD2" s="46"/>
      <c r="BE2" s="46"/>
      <c r="BF2" s="46"/>
      <c r="BG2" s="46"/>
      <c r="BH2" s="46"/>
      <c r="BI2" s="46"/>
      <c r="BJ2" s="53" t="s">
        <v>86</v>
      </c>
      <c r="BK2" s="53"/>
      <c r="BL2" s="46"/>
      <c r="BM2" s="51"/>
      <c r="BN2" s="50"/>
      <c r="BO2" s="11" t="s">
        <v>12</v>
      </c>
      <c r="BP2" s="11">
        <v>0.99</v>
      </c>
      <c r="BR2" s="1" t="s">
        <v>67</v>
      </c>
    </row>
    <row r="3" spans="1:70" x14ac:dyDescent="0.35">
      <c r="A3" s="16">
        <v>-29</v>
      </c>
      <c r="B3" s="7">
        <f>0.151140511695727*[1]syngas_streams_zaryad!$E$2</f>
        <v>0.90487228499990302</v>
      </c>
      <c r="C3" s="7">
        <f>[1]gas_streams_zaryad!$E$13</f>
        <v>0.35758564561131367</v>
      </c>
      <c r="D3" s="17">
        <f>[1]electric_zaryad!$E$5</f>
        <v>31.546916700473631</v>
      </c>
      <c r="E3" s="17">
        <f>[1]GTU_input_zaryad!$B$3</f>
        <v>0.77608724530758166</v>
      </c>
      <c r="F3" s="17">
        <f>[1]electric_zaryad!$C$5</f>
        <v>128.566613057654</v>
      </c>
      <c r="G3" s="17">
        <f>[1]electric_zaryad!$B$7</f>
        <v>36.836835543464566</v>
      </c>
      <c r="H3" s="17">
        <f>[1]electric_zaryad!$C$12</f>
        <v>4.5148202234181083E-2</v>
      </c>
      <c r="I3" s="17">
        <f>[1]electric_zaryad!$C$6</f>
        <v>6.2226770310654276</v>
      </c>
      <c r="J3" s="17">
        <f>[1]electric_zaryad!$C$2</f>
        <v>2.780258745618279</v>
      </c>
      <c r="K3" s="17">
        <f>[1]heaters_zaryad!$B$9</f>
        <v>106.62572767686279</v>
      </c>
      <c r="L3" s="17">
        <f>[1]heaters_zaryad!$B$8</f>
        <v>22.984803101726609</v>
      </c>
      <c r="M3" s="17">
        <f>[1]heaters_zaryad!$B$10</f>
        <v>8.9140276768314006</v>
      </c>
      <c r="N3" s="17">
        <f t="shared" ref="N3:N10" si="0">K3+L3+M3</f>
        <v>138.52455845542082</v>
      </c>
      <c r="O3" s="17">
        <f>[1]heaters_zaryad!$B$17/1000</f>
        <v>18.591051984038479</v>
      </c>
      <c r="P3" s="18">
        <f>[1]heaters_zaryad!$B$11/1000</f>
        <v>17.231945643632919</v>
      </c>
      <c r="Q3" s="17">
        <f>[1]gas_streams_zaryad!$E$4</f>
        <v>6.8646396156210638</v>
      </c>
      <c r="R3" s="17">
        <f>[29]!PropsSI("H","P",[1]gas_streams_zaryad!$C$4*10^6,"T",[1]gas_streams_zaryad!$B$4+273.15,"REFPROP::"&amp;[29]!MixtureString($R$16:$R$20,$S$16:$S$20))/1000-[29]!PropsSI("H","P",[1]gas_streams_zaryad!$C$4*10^6,"T",S21+273.15,"REFPROP::"&amp;[29]!MixtureString($R$16:$R$20,$S$16:$S$20))/1000</f>
        <v>896.4142916678345</v>
      </c>
      <c r="S3" s="19">
        <f t="shared" ref="S3:S10" si="1">R3*Q3/1000</f>
        <v>6.1535610585919125</v>
      </c>
      <c r="T3" s="17">
        <f t="shared" ref="T3:T11" si="2">F3+G3*$BP$2*$BP$3-H3/$BP$1/$BP$2-I3-J3/$BP$1/$BP$2</f>
        <v>155.07887975299244</v>
      </c>
      <c r="U3" s="16">
        <f>N3+O3</f>
        <v>157.11561043945929</v>
      </c>
      <c r="V3" s="16">
        <f>C3*$R$14</f>
        <v>17.950799409687946</v>
      </c>
      <c r="W3" s="16">
        <f t="shared" ref="W3:W11" si="3">B3*$R$14</f>
        <v>45.424588706995131</v>
      </c>
      <c r="X3" s="20">
        <f t="shared" ref="X3:X9" si="4">T3/((100*F3)/D3-N3)</f>
        <v>0.57646622327363373</v>
      </c>
      <c r="Y3" s="20">
        <f t="shared" ref="Y3:Y11" si="5">T3/((100*F3)/D3-N3-P3+S3)</f>
        <v>0.60122532677852147</v>
      </c>
      <c r="Z3" s="20">
        <f t="shared" ref="Z3:Z10" si="6">(T3+P3+N3)/((100*F3)/D3+S3)</f>
        <v>0.75136448275267009</v>
      </c>
      <c r="AA3" s="20">
        <f>(AF3+AG3)*AH3/(V3+W3-O3-S3+P3)</f>
        <v>0.9231408977614155</v>
      </c>
      <c r="AB3" s="20">
        <f t="shared" ref="AB3:AB10" si="7">(T3)/((100*F3)/D3+$R$14*(B3+C3)-(AF3+AG3)*AH3-U3)</f>
        <v>0.59138137125468226</v>
      </c>
      <c r="AC3" s="20">
        <f>((AF3+AG3)*AH3+U3+T3)/((100*F3)/D3+$R$14*(B3+C3))</f>
        <v>0.77245914139341476</v>
      </c>
      <c r="AD3" s="16">
        <f>(100*F3)/D3+$R$14*(B3+C3)</f>
        <v>470.91636677506261</v>
      </c>
      <c r="AE3" s="16">
        <f>AD3/$R$14</f>
        <v>9.3808041190251519</v>
      </c>
      <c r="AF3" s="7">
        <f>[1]syngas_streams_razryad!$E$10</f>
        <v>1.0811111111111109</v>
      </c>
      <c r="AG3" s="7">
        <f>[1]syngas_streams_razryad!$E$9</f>
        <v>1.109337962154876</v>
      </c>
      <c r="AH3" s="17">
        <f>[1]accumulation_razryad!$E$3</f>
        <v>23.54273504191962</v>
      </c>
      <c r="AI3" s="17">
        <f>[1]electric_razryad!$E$5</f>
        <v>34.07583168780608</v>
      </c>
      <c r="AJ3" s="17">
        <f>[1]GTU_input_razryad!$B$3</f>
        <v>1</v>
      </c>
      <c r="AK3" s="17">
        <f>[1]electric_razryad!$C$5</f>
        <v>165.66</v>
      </c>
      <c r="AL3" s="17">
        <f>[1]electric_razryad!$B$7</f>
        <v>42.549646545415897</v>
      </c>
      <c r="AM3" s="17">
        <f>[1]electric_razryad!$C$12</f>
        <v>8.8192589148872819E-2</v>
      </c>
      <c r="AN3" s="17">
        <f>[1]electric_razryad!$C$6</f>
        <v>6.3013810203264402</v>
      </c>
      <c r="AO3" s="17">
        <f>[1]electric_razryad!$C$2</f>
        <v>1.0271071353204311</v>
      </c>
      <c r="AP3" s="17">
        <f>[1]electric_razryad!$B$13</f>
        <v>15692.399971800171</v>
      </c>
      <c r="AQ3" s="17">
        <f>[1]electric_razryad!$B$14</f>
        <v>23549.25198206093</v>
      </c>
      <c r="AR3" s="17">
        <f>[1]heaters_razryad!$B$9</f>
        <v>108.7387265296335</v>
      </c>
      <c r="AS3" s="17">
        <f>[1]heaters_razryad!$B$8</f>
        <v>27.762997787085489</v>
      </c>
      <c r="AT3" s="17">
        <f>[1]heaters_razryad!$B$10</f>
        <v>9.2172585916899052</v>
      </c>
      <c r="AU3" s="17">
        <f t="shared" ref="AU3:AU10" si="8">AT3+AS3+AR3</f>
        <v>145.71898290840889</v>
      </c>
      <c r="AV3" s="17">
        <f>[1]heaters_razryad!$B$18/1000</f>
        <v>11.35650298472299</v>
      </c>
      <c r="AW3" s="18">
        <f>AK3+AL3*$BP$2*$BP$3-AM3/$BP$1/$BP$2-AN3-AO3/$BP$1/$BP$2</f>
        <v>199.45442776513943</v>
      </c>
      <c r="AX3" s="17">
        <f t="shared" ref="AX3:AX11" si="9">(-AP3/1000/$BP$2+AQ3/1000)*$BP$2*$BP$3</f>
        <v>7.4689323006313471</v>
      </c>
      <c r="AY3" s="19">
        <f>AW3+AX3</f>
        <v>206.92336006577077</v>
      </c>
      <c r="AZ3" s="19">
        <f>AU3+AV3</f>
        <v>157.07548589313188</v>
      </c>
      <c r="BA3" s="16">
        <f>(100*AK3)/AI3</f>
        <v>486.15101024601216</v>
      </c>
      <c r="BB3" s="16">
        <f>AG3*AH3</f>
        <v>26.1168497149553</v>
      </c>
      <c r="BC3" s="20">
        <f>AW3/((100*AK3)/AI3-AU3)</f>
        <v>0.58588620267311786</v>
      </c>
      <c r="BD3" s="20">
        <f>AW3/(BA3-AU3)</f>
        <v>0.58588620267311786</v>
      </c>
      <c r="BE3" s="20">
        <f>(AW3+AU3)/(BA3)</f>
        <v>0.71001273966061818</v>
      </c>
      <c r="BF3" s="20">
        <f>AX3/(BB3-AV3)</f>
        <v>0.50601333675538895</v>
      </c>
      <c r="BG3" s="20">
        <f>(AX3+AV3)/(BB3)</f>
        <v>0.72081569909154564</v>
      </c>
      <c r="BH3" s="20">
        <f>AY3/(BB3+BA3-AZ3)</f>
        <v>0.58256701205598516</v>
      </c>
      <c r="BI3" s="20">
        <f>(AY3+AZ3)/(BA3+BB3)</f>
        <v>0.71056350477782793</v>
      </c>
      <c r="BJ3" s="16">
        <f>BA3-AF3*AH3</f>
        <v>460.69869780624794</v>
      </c>
      <c r="BK3" s="16">
        <f>BJ3/$R$14</f>
        <v>9.1772648965388033</v>
      </c>
      <c r="BL3" s="16">
        <f t="shared" ref="BL3:BL11" si="10">ABS(AZ3-U3)/U3*100</f>
        <v>2.5538230233886381E-2</v>
      </c>
      <c r="BM3" s="18">
        <f>T3-'Без ПКМ'!B3</f>
        <v>-19.985375752121826</v>
      </c>
      <c r="BN3" s="19">
        <f>AY3-'Без ПКМ'!H3</f>
        <v>1.785670476860588</v>
      </c>
      <c r="BO3" s="11" t="s">
        <v>13</v>
      </c>
      <c r="BP3" s="11">
        <v>0.98</v>
      </c>
      <c r="BR3" s="1" t="s">
        <v>65</v>
      </c>
    </row>
    <row r="4" spans="1:70" x14ac:dyDescent="0.35">
      <c r="A4" s="16">
        <v>-25</v>
      </c>
      <c r="B4" s="7">
        <f>0.151140511695727*[2]syngas_streams_zaryad!$E$2</f>
        <v>0.90487524686731091</v>
      </c>
      <c r="C4" s="7">
        <f>[2]gas_streams_zaryad!$E$13</f>
        <v>0.35784359469534027</v>
      </c>
      <c r="D4" s="17">
        <f>[2]electric_zaryad!$E$5</f>
        <v>32.325227349983606</v>
      </c>
      <c r="E4" s="17">
        <f>[2]GTU_input_zaryad!$B$3</f>
        <v>0.8288370654619891</v>
      </c>
      <c r="F4" s="17">
        <f>[2]electric_zaryad!$C$5</f>
        <v>137.30514826443309</v>
      </c>
      <c r="G4" s="17">
        <f>[2]electric_zaryad!$B$7</f>
        <v>38.868297604832549</v>
      </c>
      <c r="H4" s="17">
        <f>[2]electric_zaryad!$C$12</f>
        <v>4.5218779463440328E-2</v>
      </c>
      <c r="I4" s="17">
        <f>[2]electric_zaryad!$C$6</f>
        <v>6.24121827622431</v>
      </c>
      <c r="J4" s="17">
        <f>[2]electric_zaryad!$C$2</f>
        <v>2.5140862177467711</v>
      </c>
      <c r="K4" s="17">
        <f>[2]heaters_zaryad!$B$9</f>
        <v>110.8014838449904</v>
      </c>
      <c r="L4" s="17">
        <f>[2]heaters_zaryad!$B$8</f>
        <v>24.572645882865821</v>
      </c>
      <c r="M4" s="17">
        <f>[2]heaters_zaryad!$B$10</f>
        <v>9.5530027255139309</v>
      </c>
      <c r="N4" s="17">
        <f t="shared" si="0"/>
        <v>144.92713245337015</v>
      </c>
      <c r="O4" s="17">
        <f>[2]heaters_zaryad!$B$17/1000</f>
        <v>18.77996449563312</v>
      </c>
      <c r="P4" s="18">
        <f>[2]heaters_zaryad!$B$11/1000</f>
        <v>17.223818566208902</v>
      </c>
      <c r="Q4" s="17">
        <f>[2]gas_streams_zaryad!$E$4</f>
        <v>6.8695915132230896</v>
      </c>
      <c r="R4" s="17">
        <f>[29]!PropsSI("H","P",[2]gas_streams_zaryad!$C$4*10^6,"T",[2]gas_streams_zaryad!$B$4+273.15,"REFPROP::"&amp;[29]!MixtureString($R$16:$R$20,$S$16:$S$20))/1000-[29]!PropsSI("H","P",[2]gas_streams_zaryad!$C$4*10^6,"T",S21+273.15,"REFPROP::"&amp;[29]!MixtureString($R$16:$R$20,$S$16:$S$20))/1000</f>
        <v>896.4142916678345</v>
      </c>
      <c r="S4" s="19">
        <f t="shared" si="1"/>
        <v>6.158000010373244</v>
      </c>
      <c r="T4" s="17">
        <f t="shared" si="2"/>
        <v>166.05273488985034</v>
      </c>
      <c r="U4" s="16">
        <f t="shared" ref="U4:U10" si="11">N4+O4</f>
        <v>163.70709694900327</v>
      </c>
      <c r="V4" s="16">
        <f t="shared" ref="V4:V11" si="12">C4*$R$14</f>
        <v>17.963748453706081</v>
      </c>
      <c r="W4" s="16">
        <f t="shared" si="3"/>
        <v>45.424737392739011</v>
      </c>
      <c r="X4" s="20">
        <f t="shared" si="4"/>
        <v>0.59339632049911095</v>
      </c>
      <c r="Y4" s="20">
        <f>T4/((100*F4)/D4-N4-P4+S4)</f>
        <v>0.61782780232934564</v>
      </c>
      <c r="Z4" s="20">
        <f t="shared" si="6"/>
        <v>0.76163557381218006</v>
      </c>
      <c r="AA4" s="20">
        <f t="shared" ref="AA4:AA10" si="13">(AF4+AG4)*AH4/(V4+W4-O4-S4+P4)</f>
        <v>0.92626445578319372</v>
      </c>
      <c r="AB4" s="20">
        <f t="shared" si="7"/>
        <v>0.60853305569834926</v>
      </c>
      <c r="AC4" s="20">
        <f t="shared" ref="AC4:AC10" si="14">((AF4+AG4)*AH4+U4+T4)/((100*F4)/D4+$R$14*(B4+C4))</f>
        <v>0.78117164421597773</v>
      </c>
      <c r="AD4" s="16">
        <f t="shared" ref="AD4:AD11" si="15">(100*F4)/D4+$R$14*(B4+C4)</f>
        <v>488.15007152018893</v>
      </c>
      <c r="AE4" s="16">
        <f t="shared" ref="AE4:AE11" si="16">AD4/$R$14</f>
        <v>9.7241050103623294</v>
      </c>
      <c r="AF4" s="7">
        <f>[2]syngas_streams_razryad!$E$10</f>
        <v>1.0811111111111109</v>
      </c>
      <c r="AG4" s="7">
        <f>[2]syngas_streams_razryad!$E$9</f>
        <v>1.109337962154876</v>
      </c>
      <c r="AH4" s="17">
        <f>[2]accumulation_razryad!$E$3</f>
        <v>23.54273504191962</v>
      </c>
      <c r="AI4" s="17">
        <f>[2]electric_razryad!$E$5</f>
        <v>34.082383064645562</v>
      </c>
      <c r="AJ4" s="17">
        <f>[2]GTU_input_razryad!$B$3</f>
        <v>1</v>
      </c>
      <c r="AK4" s="17">
        <f>[2]electric_razryad!$C$5</f>
        <v>165.66</v>
      </c>
      <c r="AL4" s="17">
        <f>[2]electric_razryad!$B$7</f>
        <v>44.527878530728657</v>
      </c>
      <c r="AM4" s="17">
        <f>[2]electric_razryad!$C$12</f>
        <v>8.3732884581167275E-2</v>
      </c>
      <c r="AN4" s="17">
        <f>[2]electric_razryad!$C$6</f>
        <v>6.3013810203264402</v>
      </c>
      <c r="AO4" s="17">
        <f>[2]electric_razryad!$C$2</f>
        <v>0.9825598479650095</v>
      </c>
      <c r="AP4" s="17">
        <f>[2]electric_razryad!$B$13</f>
        <v>15702.412870627981</v>
      </c>
      <c r="AQ4" s="17">
        <f>[2]electric_razryad!$B$14</f>
        <v>23563.605233976708</v>
      </c>
      <c r="AR4" s="17">
        <f>[2]heaters_razryad!$B$9</f>
        <v>112.988907697803</v>
      </c>
      <c r="AS4" s="17">
        <f>[2]heaters_razryad!$B$8</f>
        <v>29.341732403484269</v>
      </c>
      <c r="AT4" s="17">
        <f>[2]heaters_razryad!$B$10</f>
        <v>9.870382290016261</v>
      </c>
      <c r="AU4" s="17">
        <f t="shared" si="8"/>
        <v>152.20102239130352</v>
      </c>
      <c r="AV4" s="17">
        <f>[2]heaters_razryad!$B$18/1000</f>
        <v>11.46710686336713</v>
      </c>
      <c r="AW4" s="18">
        <f t="shared" ref="AW4:AW11" si="17">AK4+AL4*$BP$2*$BP$3-AM4/$BP$1/$BP$2-AN4-AO4/$BP$1/$BP$2</f>
        <v>201.42581581838834</v>
      </c>
      <c r="AX4" s="17">
        <f t="shared" si="9"/>
        <v>7.4730451847887807</v>
      </c>
      <c r="AY4" s="19">
        <f t="shared" ref="AY3:AY11" si="18">AW4+AX4</f>
        <v>208.89886100317713</v>
      </c>
      <c r="AZ4" s="19">
        <f t="shared" ref="AZ3:AZ10" si="19">AU4+AV4</f>
        <v>163.66812925467065</v>
      </c>
      <c r="BA4" s="16">
        <f t="shared" ref="BA4:BA11" si="20">(100*AK4)/AI4</f>
        <v>486.0575614263397</v>
      </c>
      <c r="BB4" s="16">
        <f t="shared" ref="BB4:BB11" si="21">AG4*AH4</f>
        <v>26.1168497149553</v>
      </c>
      <c r="BC4" s="20">
        <f t="shared" ref="BC4:BC11" si="22">AW4/((100*AK4)/AI4-AU4)</f>
        <v>0.60333044966134375</v>
      </c>
      <c r="BD4" s="20">
        <f>AW4/(BA4-AU4)</f>
        <v>0.60333044966134375</v>
      </c>
      <c r="BE4" s="20">
        <f t="shared" ref="BE4:BE11" si="23">(AW4+AU4)/(BA4)</f>
        <v>0.72754106976953747</v>
      </c>
      <c r="BF4" s="20">
        <f t="shared" ref="BF4:BF11" si="24">AX4/(BB4-AV4)</f>
        <v>0.51011442729717482</v>
      </c>
      <c r="BG4" s="20">
        <f t="shared" ref="BG4:BG11" si="25">(AX4+AV4)/(BB4)</f>
        <v>0.72520814167377179</v>
      </c>
      <c r="BH4" s="20">
        <f t="shared" ref="BH4:BH11" si="26">AY4/(BB4+BA4-AZ4)</f>
        <v>0.59941203892312012</v>
      </c>
      <c r="BI4" s="20">
        <f t="shared" ref="BI4:BI11" si="27">(AY4+AZ4)/(BA4+BB4)</f>
        <v>0.72742210886257397</v>
      </c>
      <c r="BJ4" s="16">
        <f t="shared" ref="BJ4:BJ11" si="28">BA4-AF4*AH4</f>
        <v>460.60524898657548</v>
      </c>
      <c r="BK4" s="16">
        <f t="shared" ref="BK4:BK10" si="29">BJ4/$R$14</f>
        <v>9.175403366266444</v>
      </c>
      <c r="BL4" s="16">
        <f t="shared" si="10"/>
        <v>2.3803301786461575E-2</v>
      </c>
      <c r="BM4" s="18">
        <f>T4-'Без ПКМ'!B4</f>
        <v>-21.404485781898728</v>
      </c>
      <c r="BN4" s="19">
        <f>AY4-'Без ПКМ'!H4</f>
        <v>3.7707489985625955</v>
      </c>
      <c r="BO4" s="17" t="s">
        <v>28</v>
      </c>
      <c r="BP4" s="17">
        <v>50.2</v>
      </c>
      <c r="BR4" s="1" t="s">
        <v>31</v>
      </c>
    </row>
    <row r="5" spans="1:70" x14ac:dyDescent="0.35">
      <c r="A5" s="16">
        <v>-20</v>
      </c>
      <c r="B5" s="7">
        <f>0.151140511695727*[3]syngas_streams_zaryad!$E$2</f>
        <v>0.9048703626463912</v>
      </c>
      <c r="C5" s="7">
        <f>[3]gas_streams_zaryad!$E$13</f>
        <v>0.35792602330848838</v>
      </c>
      <c r="D5" s="17">
        <f>[3]electric_zaryad!$E$5</f>
        <v>32.869136562117937</v>
      </c>
      <c r="E5" s="17">
        <f>[3]GTU_input_zaryad!$B$3</f>
        <v>0.86571154494875857</v>
      </c>
      <c r="F5" s="17">
        <f>[3]electric_zaryad!$C$5</f>
        <v>143.41377453621129</v>
      </c>
      <c r="G5" s="17">
        <f>[3]electric_zaryad!$B$7</f>
        <v>41.791549678946993</v>
      </c>
      <c r="H5" s="17">
        <f>[3]electric_zaryad!$C$12</f>
        <v>4.5208724305841337E-2</v>
      </c>
      <c r="I5" s="17">
        <f>[3]electric_zaryad!$C$6</f>
        <v>6.2541794344286226</v>
      </c>
      <c r="J5" s="17">
        <f>[3]electric_zaryad!$C$2</f>
        <v>1.927786775214652</v>
      </c>
      <c r="K5" s="17">
        <f>[3]heaters_zaryad!$B$9</f>
        <v>110.8673818211044</v>
      </c>
      <c r="L5" s="17">
        <f>[3]heaters_zaryad!$B$8</f>
        <v>28.745622744918158</v>
      </c>
      <c r="M5" s="17">
        <f>[3]heaters_zaryad!$B$10</f>
        <v>9.7720941115649271</v>
      </c>
      <c r="N5" s="17">
        <f t="shared" si="0"/>
        <v>149.38509867758751</v>
      </c>
      <c r="O5" s="17">
        <f>[3]heaters_zaryad!$B$17/1000</f>
        <v>19.015044528803582</v>
      </c>
      <c r="P5" s="18">
        <f>[3]heaters_zaryad!$B$11/1000</f>
        <v>17.22103705748156</v>
      </c>
      <c r="Q5" s="17">
        <f>[3]gas_streams_zaryad!$E$4</f>
        <v>6.8711739109793264</v>
      </c>
      <c r="R5" s="17">
        <f>[29]!PropsSI("H","P",[3]gas_streams_zaryad!$C$4*10^6,"T",[3]gas_streams_zaryad!$B$4+273.15,"REFPROP::"&amp;[29]!MixtureString($R$16:$R$20,$S$16:$S$20))/1000-[29]!PropsSI("H","P",[3]gas_streams_zaryad!$C$4*10^6,"T",S21+273.15,"REFPROP::"&amp;[29]!MixtureString($R$16:$R$20,$S$16:$S$20))/1000</f>
        <v>896.4142916678345</v>
      </c>
      <c r="S5" s="19">
        <f t="shared" si="1"/>
        <v>6.1594184943370376</v>
      </c>
      <c r="T5" s="17">
        <f t="shared" si="2"/>
        <v>175.60794107714926</v>
      </c>
      <c r="U5" s="16">
        <f t="shared" si="11"/>
        <v>168.40014320639108</v>
      </c>
      <c r="V5" s="16">
        <f>C5*$R$14</f>
        <v>17.967886370086116</v>
      </c>
      <c r="W5" s="16">
        <f>B5*$R$14</f>
        <v>45.424492204848839</v>
      </c>
      <c r="X5" s="20">
        <f t="shared" si="4"/>
        <v>0.61201864348902602</v>
      </c>
      <c r="Y5" s="20">
        <f>T5/((100*F5)/D5-N5-P5+S5)</f>
        <v>0.63655882219846072</v>
      </c>
      <c r="Z5" s="20">
        <f t="shared" si="6"/>
        <v>0.77340559579485491</v>
      </c>
      <c r="AA5" s="20">
        <f t="shared" si="13"/>
        <v>0.93019726613830556</v>
      </c>
      <c r="AB5" s="20">
        <f t="shared" si="7"/>
        <v>0.62775298552026604</v>
      </c>
      <c r="AC5" s="20">
        <f t="shared" si="14"/>
        <v>0.79161391937434522</v>
      </c>
      <c r="AD5" s="16">
        <f t="shared" si="15"/>
        <v>499.70981656172205</v>
      </c>
      <c r="AE5" s="16">
        <f t="shared" si="16"/>
        <v>9.9543788159705588</v>
      </c>
      <c r="AF5" s="7">
        <f>[3]syngas_streams_razryad!$E$10</f>
        <v>1.0811111111111109</v>
      </c>
      <c r="AG5" s="7">
        <f>[3]syngas_streams_razryad!$E$9</f>
        <v>1.109337962154876</v>
      </c>
      <c r="AH5" s="17">
        <f>[3]accumulation_razryad!$E$3</f>
        <v>23.54273504191962</v>
      </c>
      <c r="AI5" s="17">
        <f>[3]electric_razryad!$E$5</f>
        <v>34.091218921592109</v>
      </c>
      <c r="AJ5" s="17">
        <f>[3]GTU_input_razryad!$B$3</f>
        <v>1</v>
      </c>
      <c r="AK5" s="17">
        <f>[3]electric_razryad!$C$5</f>
        <v>165.66</v>
      </c>
      <c r="AL5" s="17">
        <f>[3]electric_razryad!$B$7</f>
        <v>47.607229859544418</v>
      </c>
      <c r="AM5" s="17">
        <f>[3]electric_razryad!$C$12</f>
        <v>8.1994811097492154E-2</v>
      </c>
      <c r="AN5" s="17">
        <f>[3]electric_razryad!$C$6</f>
        <v>6.3013810203264402</v>
      </c>
      <c r="AO5" s="17">
        <f>[3]electric_razryad!$C$2</f>
        <v>0.89513170561407818</v>
      </c>
      <c r="AP5" s="17">
        <f>[3]electric_razryad!$B$13</f>
        <v>15714.95477239345</v>
      </c>
      <c r="AQ5" s="17">
        <f>[3]electric_razryad!$B$14</f>
        <v>23581.583748906301</v>
      </c>
      <c r="AR5" s="17">
        <f>[3]heaters_razryad!$B$9</f>
        <v>112.301822371132</v>
      </c>
      <c r="AS5" s="17">
        <f>[3]heaters_razryad!$B$8</f>
        <v>34.319780652285893</v>
      </c>
      <c r="AT5" s="17">
        <f>[3]heaters_razryad!$B$10</f>
        <v>10.023687384102629</v>
      </c>
      <c r="AU5" s="17">
        <f t="shared" si="8"/>
        <v>156.64529040752052</v>
      </c>
      <c r="AV5" s="17">
        <f>[3]heaters_razryad!$B$18/1000</f>
        <v>11.723122302744759</v>
      </c>
      <c r="AW5" s="18">
        <f t="shared" si="17"/>
        <v>204.50820972463845</v>
      </c>
      <c r="AX5" s="17">
        <f t="shared" si="9"/>
        <v>7.4781968762433104</v>
      </c>
      <c r="AY5" s="19">
        <f>AW5+AX5</f>
        <v>211.98640660088176</v>
      </c>
      <c r="AZ5" s="19">
        <f t="shared" si="19"/>
        <v>168.36841271026529</v>
      </c>
      <c r="BA5" s="16">
        <f t="shared" si="20"/>
        <v>485.93158367557555</v>
      </c>
      <c r="BB5" s="16">
        <f t="shared" si="21"/>
        <v>26.1168497149553</v>
      </c>
      <c r="BC5" s="20">
        <f t="shared" si="22"/>
        <v>0.62106505465187656</v>
      </c>
      <c r="BD5" s="20">
        <f t="shared" ref="BD5:BD11" si="30">AW5/(BA5-AU5)</f>
        <v>0.62106505465187656</v>
      </c>
      <c r="BE5" s="20">
        <f t="shared" si="23"/>
        <v>0.74321882393484706</v>
      </c>
      <c r="BF5" s="20">
        <f t="shared" si="24"/>
        <v>0.51954553967024397</v>
      </c>
      <c r="BG5" s="20">
        <f t="shared" si="25"/>
        <v>0.73520808935822035</v>
      </c>
      <c r="BH5" s="20">
        <f t="shared" si="26"/>
        <v>0.61681329680231312</v>
      </c>
      <c r="BI5" s="20">
        <f t="shared" si="27"/>
        <v>0.74281023924363176</v>
      </c>
      <c r="BJ5" s="16">
        <f t="shared" si="28"/>
        <v>460.47927123581132</v>
      </c>
      <c r="BK5" s="16">
        <f t="shared" si="29"/>
        <v>9.1728938493189496</v>
      </c>
      <c r="BL5" s="16">
        <f t="shared" si="10"/>
        <v>1.884232134345638E-2</v>
      </c>
      <c r="BM5" s="18">
        <f>T5-'Без ПКМ'!B5</f>
        <v>-22.244085922223377</v>
      </c>
      <c r="BN5" s="19">
        <f>AY5-'Без ПКМ'!H5</f>
        <v>5.0370470895367419</v>
      </c>
      <c r="BO5" s="17"/>
      <c r="BP5" s="17"/>
    </row>
    <row r="6" spans="1:70" x14ac:dyDescent="0.35">
      <c r="A6" s="16">
        <v>-15</v>
      </c>
      <c r="B6" s="7">
        <f>0.151140511695727*[4]syngas_streams_zaryad!$E$2</f>
        <v>0.90487193357427198</v>
      </c>
      <c r="C6" s="7">
        <f>[4]gas_streams_zaryad!$E$13</f>
        <v>0.35761932500617938</v>
      </c>
      <c r="D6" s="17">
        <f>[4]electric_zaryad!$E$5</f>
        <v>32.72743657288737</v>
      </c>
      <c r="E6" s="17">
        <f>[4]GTU_input_zaryad!$B$3</f>
        <v>0.85554614311137545</v>
      </c>
      <c r="F6" s="17">
        <f>[4]electric_zaryad!$C$5</f>
        <v>141.72977406783039</v>
      </c>
      <c r="G6" s="17">
        <f>[4]electric_zaryad!$B$7</f>
        <v>43.833132183224521</v>
      </c>
      <c r="H6" s="17">
        <f>[4]electric_zaryad!$C$12</f>
        <v>4.51248653098896E-2</v>
      </c>
      <c r="I6" s="17">
        <f>[4]electric_zaryad!$C$6</f>
        <v>6.2506063566995671</v>
      </c>
      <c r="J6" s="17">
        <f>[4]electric_zaryad!$C$2</f>
        <v>1.8921244639639521</v>
      </c>
      <c r="K6" s="17">
        <f>[4]heaters_zaryad!$B$9</f>
        <v>105.5851161317199</v>
      </c>
      <c r="L6" s="17">
        <f>[4]heaters_zaryad!$B$8</f>
        <v>34.150275929514109</v>
      </c>
      <c r="M6" s="17">
        <f>[4]heaters_zaryad!$B$10</f>
        <v>9.3105482394223493</v>
      </c>
      <c r="N6" s="17">
        <f t="shared" si="0"/>
        <v>149.04594030065635</v>
      </c>
      <c r="O6" s="17">
        <f>[4]heaters_zaryad!$B$17/1000</f>
        <v>19.148130062581441</v>
      </c>
      <c r="P6" s="18">
        <f>[4]heaters_zaryad!$B$11/1000</f>
        <v>17.230861169927721</v>
      </c>
      <c r="Q6" s="17">
        <f>[4]gas_streams_zaryad!$E$4</f>
        <v>6.8652861653667312</v>
      </c>
      <c r="R6" s="17">
        <f>[29]!PropsSI("H","P",[4]gas_streams_zaryad!$C$4*10^6,"T",[4]gas_streams_zaryad!$B$4+273.15,"REFPROP::"&amp;[29]!MixtureString($R$16:$R$20,$S$16:$S$20))/1000-[29]!PropsSI("H","P",[4]gas_streams_zaryad!$C$4*10^6,"T",S21+273.15,"REFPROP::"&amp;[29]!MixtureString($R$16:$R$20,$S$16:$S$20))/1000</f>
        <v>896.4142916678345</v>
      </c>
      <c r="S6" s="19">
        <f t="shared" si="1"/>
        <v>6.1541406350242021</v>
      </c>
      <c r="T6" s="17">
        <f t="shared" si="2"/>
        <v>175.94626465601419</v>
      </c>
      <c r="U6" s="16">
        <f t="shared" si="11"/>
        <v>168.19407036323778</v>
      </c>
      <c r="V6" s="16">
        <f t="shared" si="12"/>
        <v>17.952490115310205</v>
      </c>
      <c r="W6" s="16">
        <f t="shared" si="3"/>
        <v>45.424571065428459</v>
      </c>
      <c r="X6" s="20">
        <f t="shared" si="4"/>
        <v>0.61949618435150011</v>
      </c>
      <c r="Y6" s="20">
        <f t="shared" si="5"/>
        <v>0.64463734026804698</v>
      </c>
      <c r="Z6" s="20">
        <f t="shared" si="6"/>
        <v>0.77916950197391988</v>
      </c>
      <c r="AA6" s="20">
        <f t="shared" si="13"/>
        <v>0.93243928266534704</v>
      </c>
      <c r="AB6" s="20">
        <f t="shared" si="7"/>
        <v>0.63593152341236958</v>
      </c>
      <c r="AC6" s="20">
        <f t="shared" si="14"/>
        <v>0.79709736990754965</v>
      </c>
      <c r="AD6" s="16">
        <f t="shared" si="15"/>
        <v>496.43809164728191</v>
      </c>
      <c r="AE6" s="16">
        <f t="shared" si="16"/>
        <v>9.8892050128940614</v>
      </c>
      <c r="AF6" s="7">
        <f>[4]syngas_streams_razryad!$E$10</f>
        <v>1.0811111111111109</v>
      </c>
      <c r="AG6" s="7">
        <f>[4]syngas_streams_razryad!$E$9</f>
        <v>1.109337962154876</v>
      </c>
      <c r="AH6" s="17">
        <f>[4]accumulation_razryad!$E$3</f>
        <v>23.54273504191962</v>
      </c>
      <c r="AI6" s="17">
        <f>[4]electric_razryad!$E$5</f>
        <v>34.094845350390223</v>
      </c>
      <c r="AJ6" s="17">
        <f>[4]GTU_input_razryad!$B$3</f>
        <v>1</v>
      </c>
      <c r="AK6" s="17">
        <f>[4]electric_razryad!$C$5</f>
        <v>165.66</v>
      </c>
      <c r="AL6" s="17">
        <f>[4]electric_razryad!$B$7</f>
        <v>49.827978897102618</v>
      </c>
      <c r="AM6" s="17">
        <f>[4]electric_razryad!$C$12</f>
        <v>8.3352490765482012E-2</v>
      </c>
      <c r="AN6" s="17">
        <f>[4]electric_razryad!$C$6</f>
        <v>6.3013810203264402</v>
      </c>
      <c r="AO6" s="17">
        <f>[4]electric_razryad!$C$2</f>
        <v>0.77284943768987546</v>
      </c>
      <c r="AP6" s="17">
        <f>[4]electric_razryad!$B$13</f>
        <v>15727.525060507151</v>
      </c>
      <c r="AQ6" s="17">
        <f>[4]electric_razryad!$B$14</f>
        <v>23599.602952261721</v>
      </c>
      <c r="AR6" s="17">
        <f>[4]heaters_razryad!$B$9</f>
        <v>105.91898164933011</v>
      </c>
      <c r="AS6" s="17">
        <f>[4]heaters_razryad!$B$8</f>
        <v>40.818333591551479</v>
      </c>
      <c r="AT6" s="17">
        <f>[4]heaters_razryad!$B$10</f>
        <v>9.4539567957899777</v>
      </c>
      <c r="AU6" s="17">
        <f t="shared" si="8"/>
        <v>156.19127203667156</v>
      </c>
      <c r="AV6" s="17">
        <f>[4]heaters_razryad!$B$18/1000</f>
        <v>11.97940543018607</v>
      </c>
      <c r="AW6" s="18">
        <f t="shared" si="17"/>
        <v>206.79135522902862</v>
      </c>
      <c r="AX6" s="17">
        <f t="shared" si="9"/>
        <v>7.4833602249873117</v>
      </c>
      <c r="AY6" s="19">
        <f t="shared" si="18"/>
        <v>214.27471545401593</v>
      </c>
      <c r="AZ6" s="19">
        <f t="shared" si="19"/>
        <v>168.17067746685763</v>
      </c>
      <c r="BA6" s="16">
        <f t="shared" si="20"/>
        <v>485.87989855218387</v>
      </c>
      <c r="BB6" s="16">
        <f t="shared" si="21"/>
        <v>26.1168497149553</v>
      </c>
      <c r="BC6" s="20">
        <f t="shared" si="22"/>
        <v>0.6272322991988285</v>
      </c>
      <c r="BD6" s="20">
        <f t="shared" si="30"/>
        <v>0.6272322991988285</v>
      </c>
      <c r="BE6" s="20">
        <f t="shared" si="23"/>
        <v>0.74706244968624813</v>
      </c>
      <c r="BF6" s="20">
        <f t="shared" si="24"/>
        <v>0.52932906926108281</v>
      </c>
      <c r="BG6" s="20">
        <f t="shared" si="25"/>
        <v>0.74521873302461938</v>
      </c>
      <c r="BH6" s="20">
        <f t="shared" si="26"/>
        <v>0.62320671307814179</v>
      </c>
      <c r="BI6" s="20">
        <f t="shared" si="27"/>
        <v>0.7469684020753371</v>
      </c>
      <c r="BJ6" s="16">
        <f t="shared" si="28"/>
        <v>460.42758611241965</v>
      </c>
      <c r="BK6" s="16">
        <f t="shared" si="29"/>
        <v>9.1718642651876419</v>
      </c>
      <c r="BL6" s="16">
        <f t="shared" si="10"/>
        <v>1.3908276510366108E-2</v>
      </c>
      <c r="BM6" s="18">
        <f>T6-'Без ПКМ'!B6</f>
        <v>-22.540220497351044</v>
      </c>
      <c r="BN6" s="19">
        <f>AY6-'Без ПКМ'!H6</f>
        <v>4.5798326234789783</v>
      </c>
      <c r="BO6" s="17"/>
      <c r="BP6" s="17"/>
    </row>
    <row r="7" spans="1:70" x14ac:dyDescent="0.35">
      <c r="A7" s="16">
        <v>-10</v>
      </c>
      <c r="B7" s="7">
        <f>0.151140511695727*[5]syngas_streams_zaryad!$E$2</f>
        <v>0.90487138837198067</v>
      </c>
      <c r="C7" s="7">
        <f>[5]gas_streams_zaryad!$E$13</f>
        <v>0.35727576281681978</v>
      </c>
      <c r="D7" s="17">
        <f>[5]electric_zaryad!$E$5</f>
        <v>32.56966078561836</v>
      </c>
      <c r="E7" s="17">
        <f>[5]GTU_input_zaryad!$B$3</f>
        <v>0.8451928499409076</v>
      </c>
      <c r="F7" s="17">
        <f>[5]electric_zaryad!$C$5</f>
        <v>140.01464752121069</v>
      </c>
      <c r="G7" s="17">
        <f>[5]electric_zaryad!$B$7</f>
        <v>45.844772817235793</v>
      </c>
      <c r="H7" s="17">
        <f>[5]electric_zaryad!$C$12</f>
        <v>4.5136454938533258E-2</v>
      </c>
      <c r="I7" s="17">
        <f>[5]electric_zaryad!$C$6</f>
        <v>6.2469672362947293</v>
      </c>
      <c r="J7" s="17">
        <f>[5]electric_zaryad!$C$2</f>
        <v>1.838861598006992</v>
      </c>
      <c r="K7" s="17">
        <f>[5]heaters_zaryad!$B$9</f>
        <v>99.218147827972501</v>
      </c>
      <c r="L7" s="17">
        <f>[5]heaters_zaryad!$B$8</f>
        <v>40.738651877932163</v>
      </c>
      <c r="M7" s="17">
        <f>[5]heaters_zaryad!$B$10</f>
        <v>8.7483673538442197</v>
      </c>
      <c r="N7" s="17">
        <f t="shared" si="0"/>
        <v>148.7051670597489</v>
      </c>
      <c r="O7" s="17">
        <f>[5]heaters_zaryad!$B$17/1000</f>
        <v>19.28470199342247</v>
      </c>
      <c r="P7" s="18">
        <f>[5]heaters_zaryad!$B$11/1000</f>
        <v>17.241793177266928</v>
      </c>
      <c r="Q7" s="17">
        <f>[5]gas_streams_zaryad!$E$4</f>
        <v>6.8586907367066257</v>
      </c>
      <c r="R7" s="17">
        <f>[29]!PropsSI("H","P",[5]gas_streams_zaryad!$C$4*10^6,"T",[5]gas_streams_zaryad!$B$4+273.15,"REFPROP::"&amp;[29]!MixtureString($R$16:$R$20,$S$16:$S$20))/1000-[29]!PropsSI("H","P",[5]gas_streams_zaryad!$C$4*10^6,"T",S21+273.15,"REFPROP::"&amp;[29]!MixtureString($R$16:$R$20,$S$16:$S$20))/1000</f>
        <v>896.4142916678345</v>
      </c>
      <c r="S7" s="19">
        <f t="shared" si="1"/>
        <v>6.1482283985136084</v>
      </c>
      <c r="T7" s="17">
        <f t="shared" si="2"/>
        <v>176.24309114976802</v>
      </c>
      <c r="U7" s="16">
        <f t="shared" si="11"/>
        <v>167.98986905317136</v>
      </c>
      <c r="V7" s="16">
        <f t="shared" si="12"/>
        <v>17.935243293404355</v>
      </c>
      <c r="W7" s="16">
        <f t="shared" si="3"/>
        <v>45.424543696273432</v>
      </c>
      <c r="X7" s="20">
        <f t="shared" si="4"/>
        <v>0.62678094780104665</v>
      </c>
      <c r="Y7" s="20">
        <f t="shared" si="5"/>
        <v>0.65252469496379939</v>
      </c>
      <c r="Z7" s="20">
        <f>(T7+P7+N7)/((100*F7)/D7+S7)</f>
        <v>0.78476560446438082</v>
      </c>
      <c r="AA7" s="20">
        <f t="shared" si="13"/>
        <v>0.93475483567263806</v>
      </c>
      <c r="AB7" s="20">
        <f t="shared" si="7"/>
        <v>0.64394300217903166</v>
      </c>
      <c r="AC7" s="20">
        <f t="shared" si="14"/>
        <v>0.8024328336107649</v>
      </c>
      <c r="AD7" s="16">
        <f t="shared" si="15"/>
        <v>493.25265091240038</v>
      </c>
      <c r="AE7" s="16">
        <f t="shared" si="16"/>
        <v>9.8257500181753059</v>
      </c>
      <c r="AF7" s="7">
        <f>[5]syngas_streams_razryad!$E$10</f>
        <v>1.0811111111111109</v>
      </c>
      <c r="AG7" s="7">
        <f>[5]syngas_streams_razryad!$E$9</f>
        <v>1.109337962154876</v>
      </c>
      <c r="AH7" s="17">
        <f>[5]accumulation_razryad!$E$3</f>
        <v>23.54273504191962</v>
      </c>
      <c r="AI7" s="17">
        <f>[5]electric_razryad!$E$5</f>
        <v>34.086911016241331</v>
      </c>
      <c r="AJ7" s="17">
        <f>[5]GTU_input_razryad!$B$3</f>
        <v>1</v>
      </c>
      <c r="AK7" s="17">
        <f>[5]electric_razryad!$C$5</f>
        <v>165.66</v>
      </c>
      <c r="AL7" s="17">
        <f>[5]electric_razryad!$B$7</f>
        <v>51.883442627107179</v>
      </c>
      <c r="AM7" s="17">
        <f>[5]electric_razryad!$C$12</f>
        <v>8.3521851579593145E-2</v>
      </c>
      <c r="AN7" s="17">
        <f>[5]electric_razryad!$C$6</f>
        <v>6.3013810203264402</v>
      </c>
      <c r="AO7" s="17">
        <f>[5]electric_razryad!$C$2</f>
        <v>0.6808675069695368</v>
      </c>
      <c r="AP7" s="17">
        <f>[5]electric_razryad!$B$13</f>
        <v>15740.123442982909</v>
      </c>
      <c r="AQ7" s="17">
        <f>[5]electric_razryad!$B$14</f>
        <v>23617.662425475559</v>
      </c>
      <c r="AR7" s="17">
        <f>[5]heaters_razryad!$B$9</f>
        <v>98.499489026550776</v>
      </c>
      <c r="AS7" s="17">
        <f>[5]heaters_razryad!$B$8</f>
        <v>48.453832620392433</v>
      </c>
      <c r="AT7" s="17">
        <f>[5]heaters_razryad!$B$10</f>
        <v>8.7844678080065588</v>
      </c>
      <c r="AU7" s="17">
        <f t="shared" si="8"/>
        <v>155.73778945494976</v>
      </c>
      <c r="AV7" s="17">
        <f>[5]heaters_razryad!$B$18/1000</f>
        <v>12.235962001993959</v>
      </c>
      <c r="AW7" s="18">
        <f t="shared" si="17"/>
        <v>208.88318716051302</v>
      </c>
      <c r="AX7" s="17">
        <f t="shared" si="9"/>
        <v>7.4885351110731344</v>
      </c>
      <c r="AY7" s="19">
        <f t="shared" si="18"/>
        <v>216.37172227158615</v>
      </c>
      <c r="AZ7" s="19">
        <f t="shared" si="19"/>
        <v>167.97375145694372</v>
      </c>
      <c r="BA7" s="16">
        <f t="shared" si="20"/>
        <v>485.99299573102496</v>
      </c>
      <c r="BB7" s="16">
        <f t="shared" si="21"/>
        <v>26.1168497149553</v>
      </c>
      <c r="BC7" s="20">
        <f t="shared" si="22"/>
        <v>0.63249021723490451</v>
      </c>
      <c r="BD7" s="20">
        <f t="shared" si="30"/>
        <v>0.63249021723490451</v>
      </c>
      <c r="BE7" s="20">
        <f t="shared" si="23"/>
        <v>0.75025973587747741</v>
      </c>
      <c r="BF7" s="20">
        <f t="shared" si="24"/>
        <v>0.53948531721646886</v>
      </c>
      <c r="BG7" s="20">
        <f t="shared" si="25"/>
        <v>0.75524028848595204</v>
      </c>
      <c r="BH7" s="20">
        <f t="shared" si="26"/>
        <v>0.62873882179437801</v>
      </c>
      <c r="BI7" s="20">
        <f t="shared" si="27"/>
        <v>0.75051373674297472</v>
      </c>
      <c r="BJ7" s="16">
        <f t="shared" si="28"/>
        <v>460.54068329126073</v>
      </c>
      <c r="BK7" s="16">
        <f t="shared" si="29"/>
        <v>9.1741171970370665</v>
      </c>
      <c r="BL7" s="16">
        <f t="shared" si="10"/>
        <v>9.5943858510557315E-3</v>
      </c>
      <c r="BM7" s="18">
        <f>T7-'Без ПКМ'!B7</f>
        <v>-22.589764173007069</v>
      </c>
      <c r="BN7" s="19">
        <f>AY7-'Без ПКМ'!H7</f>
        <v>4.0711473002092475</v>
      </c>
      <c r="BO7" s="17"/>
      <c r="BP7" s="17"/>
    </row>
    <row r="8" spans="1:70" x14ac:dyDescent="0.35">
      <c r="A8" s="16">
        <v>-5</v>
      </c>
      <c r="B8" s="7">
        <f>0.151140511695727*[6]syngas_streams_zaryad!$E$2</f>
        <v>0.90487582945893463</v>
      </c>
      <c r="C8" s="7">
        <f>[6]gas_streams_zaryad!$E$13</f>
        <v>0.35693325631269091</v>
      </c>
      <c r="D8" s="17">
        <f>[6]electric_zaryad!$E$5</f>
        <v>32.474905706851438</v>
      </c>
      <c r="E8" s="17">
        <f>[6]GTU_input_zaryad!$B$3</f>
        <v>0.84039842261844044</v>
      </c>
      <c r="F8" s="17">
        <f>[6]electric_zaryad!$C$5</f>
        <v>139.22040269097079</v>
      </c>
      <c r="G8" s="17">
        <f>[6]electric_zaryad!$B$7</f>
        <v>47.821890535966361</v>
      </c>
      <c r="H8" s="17">
        <f>[6]electric_zaryad!$C$12</f>
        <v>4.5376545554363733E-2</v>
      </c>
      <c r="I8" s="17">
        <f>[6]electric_zaryad!$C$6</f>
        <v>6.245282023868941</v>
      </c>
      <c r="J8" s="17">
        <f>[6]electric_zaryad!$C$2</f>
        <v>1.6816080148064161</v>
      </c>
      <c r="K8" s="17">
        <f>[6]heaters_zaryad!$B$9</f>
        <v>91.841596068405636</v>
      </c>
      <c r="L8" s="17">
        <f>[6]heaters_zaryad!$B$8</f>
        <v>48.417971060112741</v>
      </c>
      <c r="M8" s="17">
        <f>[6]heaters_zaryad!$B$10</f>
        <v>8.0897613165639406</v>
      </c>
      <c r="N8" s="17">
        <f t="shared" si="0"/>
        <v>148.34932844508231</v>
      </c>
      <c r="O8" s="17">
        <f>[6]heaters_zaryad!$B$17/1000</f>
        <v>19.438164039967148</v>
      </c>
      <c r="P8" s="18">
        <f>[6]heaters_zaryad!$B$11/1000</f>
        <v>17.252849295126779</v>
      </c>
      <c r="Q8" s="17">
        <f>[6]gas_streams_zaryad!$E$4</f>
        <v>6.8521155742365796</v>
      </c>
      <c r="R8" s="17">
        <f>[29]!PropsSI("H","P",[6]gas_streams_zaryad!$C$4*10^6,"T",[6]gas_streams_zaryad!$B$4+273.15,"REFPROP::"&amp;[29]!MixtureString($R$16:$R$20,$S$16:$S$20))/1000-[29]!PropsSI("H","P",[6]gas_streams_zaryad!$C$4*10^6,"T",S21+273.15,"REFPROP::"&amp;[29]!MixtureString($R$16:$R$20,$S$16:$S$20))/1000</f>
        <v>896.4142916678345</v>
      </c>
      <c r="S8" s="19">
        <f t="shared" si="1"/>
        <v>6.1423343289054211</v>
      </c>
      <c r="T8" s="17">
        <f t="shared" si="2"/>
        <v>177.53567797157086</v>
      </c>
      <c r="U8" s="16">
        <f t="shared" si="11"/>
        <v>167.78749248504946</v>
      </c>
      <c r="V8" s="16">
        <f t="shared" si="12"/>
        <v>17.918049466897084</v>
      </c>
      <c r="W8" s="16">
        <f t="shared" si="3"/>
        <v>45.42476663883852</v>
      </c>
      <c r="X8" s="20">
        <f t="shared" si="4"/>
        <v>0.63325954324792988</v>
      </c>
      <c r="Y8" s="20">
        <f t="shared" si="5"/>
        <v>0.65939160668926033</v>
      </c>
      <c r="Z8" s="20">
        <f t="shared" si="6"/>
        <v>0.78910597610671429</v>
      </c>
      <c r="AA8" s="20">
        <f t="shared" si="13"/>
        <v>0.93736263901068329</v>
      </c>
      <c r="AB8" s="20">
        <f t="shared" si="7"/>
        <v>0.65105875138571945</v>
      </c>
      <c r="AC8" s="20">
        <f t="shared" si="14"/>
        <v>0.80661910427735006</v>
      </c>
      <c r="AD8" s="16">
        <f t="shared" si="15"/>
        <v>492.04430009987874</v>
      </c>
      <c r="AE8" s="16">
        <f t="shared" si="16"/>
        <v>9.8016792848581424</v>
      </c>
      <c r="AF8" s="7">
        <f>[6]syngas_streams_razryad!$E$10</f>
        <v>1.0811111111111109</v>
      </c>
      <c r="AG8" s="7">
        <f>[6]syngas_streams_razryad!$E$9</f>
        <v>1.109337962154876</v>
      </c>
      <c r="AH8" s="17">
        <f>[6]accumulation_razryad!$E$3</f>
        <v>23.54273504191962</v>
      </c>
      <c r="AI8" s="17">
        <f>[6]electric_razryad!$E$5</f>
        <v>34.061064584346838</v>
      </c>
      <c r="AJ8" s="17">
        <f>[6]GTU_input_razryad!$B$3</f>
        <v>1</v>
      </c>
      <c r="AK8" s="17">
        <f>[6]electric_razryad!$C$5</f>
        <v>165.66</v>
      </c>
      <c r="AL8" s="17">
        <f>[6]electric_razryad!$B$7</f>
        <v>53.872804981825738</v>
      </c>
      <c r="AM8" s="17">
        <f>[6]electric_razryad!$C$12</f>
        <v>8.6161590277344602E-2</v>
      </c>
      <c r="AN8" s="17">
        <f>[6]electric_razryad!$C$6</f>
        <v>6.3013810203264402</v>
      </c>
      <c r="AO8" s="17">
        <f>[6]electric_razryad!$C$2</f>
        <v>0.69146940063887463</v>
      </c>
      <c r="AP8" s="17">
        <f>[6]electric_razryad!$B$13</f>
        <v>15752.74961590571</v>
      </c>
      <c r="AQ8" s="17">
        <f>[6]electric_razryad!$B$14</f>
        <v>23635.76173288075</v>
      </c>
      <c r="AR8" s="17">
        <f>[6]heaters_razryad!$B$9</f>
        <v>89.898388744076954</v>
      </c>
      <c r="AS8" s="17">
        <f>[6]heaters_razryad!$B$8</f>
        <v>57.387194560079386</v>
      </c>
      <c r="AT8" s="17">
        <f>[6]heaters_razryad!$B$10</f>
        <v>7.9992736151163024</v>
      </c>
      <c r="AU8" s="17">
        <f t="shared" si="8"/>
        <v>155.28485691927264</v>
      </c>
      <c r="AV8" s="17">
        <f>[6]heaters_razryad!$B$18/1000</f>
        <v>12.492797759943119</v>
      </c>
      <c r="AW8" s="18">
        <f t="shared" si="17"/>
        <v>210.79918716313526</v>
      </c>
      <c r="AX8" s="17">
        <f t="shared" si="9"/>
        <v>7.4937214096533058</v>
      </c>
      <c r="AY8" s="19">
        <f t="shared" si="18"/>
        <v>218.29290857278858</v>
      </c>
      <c r="AZ8" s="19">
        <f t="shared" si="19"/>
        <v>167.77765467921577</v>
      </c>
      <c r="BA8" s="16">
        <f t="shared" si="20"/>
        <v>486.36178000182355</v>
      </c>
      <c r="BB8" s="16">
        <f t="shared" si="21"/>
        <v>26.1168497149553</v>
      </c>
      <c r="BC8" s="20">
        <f t="shared" si="22"/>
        <v>0.63670758203396272</v>
      </c>
      <c r="BD8" s="20">
        <f t="shared" si="30"/>
        <v>0.63670758203396272</v>
      </c>
      <c r="BE8" s="20">
        <f t="shared" si="23"/>
        <v>0.752699038318832</v>
      </c>
      <c r="BF8" s="20">
        <f t="shared" si="24"/>
        <v>0.55003617384888381</v>
      </c>
      <c r="BG8" s="20">
        <f t="shared" si="25"/>
        <v>0.76527297081131263</v>
      </c>
      <c r="BH8" s="20">
        <f t="shared" si="26"/>
        <v>0.6332819585120133</v>
      </c>
      <c r="BI8" s="20">
        <f t="shared" si="27"/>
        <v>0.75333982895124063</v>
      </c>
      <c r="BJ8" s="16">
        <f t="shared" si="28"/>
        <v>460.90946756205932</v>
      </c>
      <c r="BK8" s="16">
        <f>BJ8/$R$14</f>
        <v>9.181463497252178</v>
      </c>
      <c r="BL8" s="16">
        <f t="shared" si="10"/>
        <v>5.8632533855644932E-3</v>
      </c>
      <c r="BM8" s="18">
        <f>T8-'Без ПКМ'!B8</f>
        <v>-22.172531955170228</v>
      </c>
      <c r="BN8" s="19">
        <f>AY8-'Без ПКМ'!H8</f>
        <v>3.8795029946386705</v>
      </c>
      <c r="BO8" s="17"/>
      <c r="BP8" s="17"/>
    </row>
    <row r="9" spans="1:70" x14ac:dyDescent="0.35">
      <c r="A9" s="16">
        <v>0</v>
      </c>
      <c r="B9" s="7">
        <f>0.151140511695727*[7]syngas_streams_zaryad!$E$2</f>
        <v>0.90487526173394461</v>
      </c>
      <c r="C9" s="7">
        <f>[7]gas_streams_zaryad!$E$13</f>
        <v>0.35647995552402462</v>
      </c>
      <c r="D9" s="17">
        <f>[7]electric_zaryad!$E$5</f>
        <v>32.402912560083827</v>
      </c>
      <c r="E9" s="17">
        <f>[7]GTU_input_zaryad!$B$3</f>
        <v>0.83866883713933871</v>
      </c>
      <c r="F9" s="17">
        <f>[7]electric_zaryad!$C$5</f>
        <v>137.79714781864419</v>
      </c>
      <c r="G9" s="17">
        <f>[7]electric_zaryad!$B$7</f>
        <v>49.205809321233673</v>
      </c>
      <c r="H9" s="17">
        <f>[7]electric_zaryad!$C$12</f>
        <v>4.6309407083217111E-2</v>
      </c>
      <c r="I9" s="17">
        <f>[7]electric_zaryad!$C$6</f>
        <v>6.2422621908091722</v>
      </c>
      <c r="J9" s="17">
        <f>[7]electric_zaryad!$C$2</f>
        <v>1.625935185545212</v>
      </c>
      <c r="K9" s="17">
        <f>[7]heaters_zaryad!$B$9</f>
        <v>83.697854079890845</v>
      </c>
      <c r="L9" s="17">
        <f>[7]heaters_zaryad!$B$8</f>
        <v>56.964431055454277</v>
      </c>
      <c r="M9" s="17">
        <f>[7]heaters_zaryad!$B$10</f>
        <v>7.3483497147114534</v>
      </c>
      <c r="N9" s="17">
        <f t="shared" si="0"/>
        <v>148.01063485005656</v>
      </c>
      <c r="O9" s="17">
        <f>[7]heaters_zaryad!$B$17/1000</f>
        <v>19.576213209668868</v>
      </c>
      <c r="P9" s="18">
        <f>[7]heaters_zaryad!$B$11/1000</f>
        <v>17.267277936488568</v>
      </c>
      <c r="Q9" s="17">
        <f>[7]gas_streams_zaryad!$E$4</f>
        <v>6.8434134728243396</v>
      </c>
      <c r="R9" s="17">
        <f>[29]!PropsSI("H","P",[7]gas_streams_zaryad!$C$4*10^6,"T",[7]gas_streams_zaryad!$B$4+273.15,"REFPROP::"&amp;[29]!MixtureString($R$16:$R$20,$S$16:$S$20))/1000-[29]!PropsSI("H","P",[7]gas_streams_zaryad!$C$4*10^6,"T",S21+273.15,"REFPROP::"&amp;[29]!MixtureString($R$16:$R$20,$S$16:$S$20))/1000</f>
        <v>896.4142916678345</v>
      </c>
      <c r="S9" s="19">
        <f t="shared" si="1"/>
        <v>6.134533640831946</v>
      </c>
      <c r="T9" s="17">
        <f t="shared" si="2"/>
        <v>177.5163239869276</v>
      </c>
      <c r="U9" s="16">
        <f t="shared" si="11"/>
        <v>167.58684805972544</v>
      </c>
      <c r="V9" s="16">
        <f t="shared" si="12"/>
        <v>17.895293767306036</v>
      </c>
      <c r="W9" s="16">
        <f t="shared" si="3"/>
        <v>45.424738139044024</v>
      </c>
      <c r="X9" s="20">
        <f t="shared" si="4"/>
        <v>0.64027303614617892</v>
      </c>
      <c r="Y9" s="20">
        <f t="shared" si="5"/>
        <v>0.66705810815406774</v>
      </c>
      <c r="Z9" s="20">
        <f t="shared" si="6"/>
        <v>0.79461590324402842</v>
      </c>
      <c r="AA9" s="20">
        <f t="shared" si="13"/>
        <v>0.93973017519191038</v>
      </c>
      <c r="AB9" s="20">
        <f t="shared" si="7"/>
        <v>0.65886947173043775</v>
      </c>
      <c r="AC9" s="20">
        <f t="shared" si="14"/>
        <v>0.8118854654583133</v>
      </c>
      <c r="AD9" s="16">
        <f t="shared" si="15"/>
        <v>488.58164245796553</v>
      </c>
      <c r="AE9" s="16">
        <f t="shared" si="16"/>
        <v>9.7327020409953295</v>
      </c>
      <c r="AF9" s="7">
        <f>[7]syngas_streams_razryad!$E$10</f>
        <v>1.0811111111111109</v>
      </c>
      <c r="AG9" s="7">
        <f>[7]syngas_streams_razryad!$E$9</f>
        <v>1.109337962154876</v>
      </c>
      <c r="AH9" s="17">
        <f>[7]accumulation_razryad!$E$3</f>
        <v>23.54273504191962</v>
      </c>
      <c r="AI9" s="17">
        <f>[7]electric_razryad!$E$5</f>
        <v>34.012096926621403</v>
      </c>
      <c r="AJ9" s="17">
        <f>[7]GTU_input_razryad!$B$3</f>
        <v>1</v>
      </c>
      <c r="AK9" s="17">
        <f>[7]electric_razryad!$C$5</f>
        <v>164.30459999999999</v>
      </c>
      <c r="AL9" s="17">
        <f>[7]electric_razryad!$B$7</f>
        <v>55.072852341871702</v>
      </c>
      <c r="AM9" s="17">
        <f>[7]electric_razryad!$C$12</f>
        <v>9.0285356727038066E-2</v>
      </c>
      <c r="AN9" s="17">
        <f>[7]electric_razryad!$C$6</f>
        <v>6.2985051603460569</v>
      </c>
      <c r="AO9" s="17">
        <f>[7]electric_razryad!$C$2</f>
        <v>0.69597037887522628</v>
      </c>
      <c r="AP9" s="17">
        <f>[7]electric_razryad!$B$13</f>
        <v>15765.403268990751</v>
      </c>
      <c r="AQ9" s="17">
        <f>[7]electric_razryad!$B$14</f>
        <v>23653.900429679768</v>
      </c>
      <c r="AR9" s="17">
        <f>[7]heaters_razryad!$B$9</f>
        <v>80.556966178061515</v>
      </c>
      <c r="AS9" s="17">
        <f>[7]heaters_razryad!$B$8</f>
        <v>67.144502816502012</v>
      </c>
      <c r="AT9" s="17">
        <f>[7]heaters_razryad!$B$10</f>
        <v>7.1310312292739457</v>
      </c>
      <c r="AU9" s="17">
        <f t="shared" si="8"/>
        <v>154.83250022383749</v>
      </c>
      <c r="AV9" s="17">
        <f>[7]heaters_razryad!$B$18/1000</f>
        <v>12.749918430636301</v>
      </c>
      <c r="AW9" s="18">
        <f t="shared" si="17"/>
        <v>210.60177858939096</v>
      </c>
      <c r="AX9" s="17">
        <f t="shared" si="9"/>
        <v>7.4989189932643754</v>
      </c>
      <c r="AY9" s="19">
        <f t="shared" si="18"/>
        <v>218.10069758265533</v>
      </c>
      <c r="AZ9" s="19">
        <f t="shared" si="19"/>
        <v>167.5824186544738</v>
      </c>
      <c r="BA9" s="16">
        <f t="shared" si="20"/>
        <v>483.07694863529019</v>
      </c>
      <c r="BB9" s="16">
        <f t="shared" si="21"/>
        <v>26.1168497149553</v>
      </c>
      <c r="BC9" s="20">
        <f t="shared" si="22"/>
        <v>0.641600427999936</v>
      </c>
      <c r="BD9" s="20">
        <f t="shared" si="30"/>
        <v>0.641600427999936</v>
      </c>
      <c r="BE9" s="20">
        <f t="shared" si="23"/>
        <v>0.75647219318908399</v>
      </c>
      <c r="BF9" s="20">
        <f t="shared" si="24"/>
        <v>0.56100527740884698</v>
      </c>
      <c r="BG9" s="20">
        <f t="shared" si="25"/>
        <v>0.77531699438870594</v>
      </c>
      <c r="BH9" s="20">
        <f t="shared" si="26"/>
        <v>0.63844681572636408</v>
      </c>
      <c r="BI9" s="20">
        <f t="shared" si="27"/>
        <v>0.75743875413784911</v>
      </c>
      <c r="BJ9" s="16">
        <f t="shared" si="28"/>
        <v>457.62463619552597</v>
      </c>
      <c r="BK9" s="16">
        <f t="shared" si="29"/>
        <v>9.1160286094726288</v>
      </c>
      <c r="BL9" s="16">
        <f t="shared" si="10"/>
        <v>2.6430506348943711E-3</v>
      </c>
      <c r="BM9" s="18">
        <f>T9-'Без ПКМ'!B9</f>
        <v>-21.223154867171274</v>
      </c>
      <c r="BN9" s="19">
        <f>AY9-'Без ПКМ'!H9</f>
        <v>3.9271005623150756</v>
      </c>
      <c r="BO9" s="17"/>
      <c r="BP9" s="17"/>
    </row>
    <row r="10" spans="1:70" x14ac:dyDescent="0.35">
      <c r="A10" s="16">
        <v>5</v>
      </c>
      <c r="B10" s="7">
        <f>0.151140511695727*[8]syngas_streams_zaryad!$E$2</f>
        <v>0.90487229745872144</v>
      </c>
      <c r="C10" s="7">
        <f>[8]gas_streams_zaryad!$E$13</f>
        <v>0.35590021048697512</v>
      </c>
      <c r="D10" s="17">
        <f>[8]electric_zaryad!$E$5</f>
        <v>32.309290043918388</v>
      </c>
      <c r="E10" s="17">
        <f>[8]GTU_input_zaryad!$B$3</f>
        <v>0.84414887463897392</v>
      </c>
      <c r="F10" s="17">
        <f>[8]electric_zaryad!$C$5</f>
        <v>134.88367857238791</v>
      </c>
      <c r="G10" s="17">
        <f>[8]electric_zaryad!$B$7</f>
        <v>49.634609577963602</v>
      </c>
      <c r="H10" s="17">
        <f>[8]electric_zaryad!$C$12</f>
        <v>4.7201363192467982E-2</v>
      </c>
      <c r="I10" s="17">
        <f>[8]electric_zaryad!$C$6</f>
        <v>6.2360804513895269</v>
      </c>
      <c r="J10" s="17">
        <f>[8]electric_zaryad!$C$2</f>
        <v>1.68353532216139</v>
      </c>
      <c r="K10" s="17">
        <f>[8]heaters_zaryad!$B$9</f>
        <v>75.312154670495744</v>
      </c>
      <c r="L10" s="17">
        <f>[8]heaters_zaryad!$B$8</f>
        <v>65.813431792015365</v>
      </c>
      <c r="M10" s="17">
        <f>[8]heaters_zaryad!$B$10</f>
        <v>6.5676581594527166</v>
      </c>
      <c r="N10" s="17">
        <f t="shared" si="0"/>
        <v>147.69324462196383</v>
      </c>
      <c r="O10" s="17">
        <f>[8]heaters_zaryad!$B$17/1000</f>
        <v>19.694730286236471</v>
      </c>
      <c r="P10" s="18">
        <f>[8]heaters_zaryad!$B$11/1000</f>
        <v>17.28566050857442</v>
      </c>
      <c r="Q10" s="17">
        <f>[8]gas_streams_zaryad!$E$4</f>
        <v>6.8322839971389104</v>
      </c>
      <c r="R10" s="17">
        <f>[29]!PropsSI("H","P",[8]gas_streams_zaryad!$C$4*10^6,"T",[8]gas_streams_zaryad!$B$4+273.15,"REFPROP::"&amp;[29]!MixtureString($R$16:$R$20,$S$16:$S$20))/1000-[29]!PropsSI("H","P",[8]gas_streams_zaryad!$C$4*10^6,"T",S21+273.15,"REFPROP::"&amp;[29]!MixtureString($R$16:$R$20,$S$16:$S$20))/1000</f>
        <v>896.4142916678345</v>
      </c>
      <c r="S10" s="19">
        <f t="shared" si="1"/>
        <v>6.1245570197687575</v>
      </c>
      <c r="T10" s="17">
        <f t="shared" si="2"/>
        <v>174.96286593975464</v>
      </c>
      <c r="U10" s="16">
        <f t="shared" si="11"/>
        <v>167.38797490820031</v>
      </c>
      <c r="V10" s="16">
        <f t="shared" si="12"/>
        <v>17.866190566446154</v>
      </c>
      <c r="W10" s="16">
        <f t="shared" si="3"/>
        <v>45.424589332427821</v>
      </c>
      <c r="X10" s="20">
        <f>T10/((100*F10)/D10-N10)</f>
        <v>0.64853133733879786</v>
      </c>
      <c r="Y10" s="20">
        <f t="shared" si="5"/>
        <v>0.67651937544909369</v>
      </c>
      <c r="Z10" s="20">
        <f t="shared" si="6"/>
        <v>0.80250462526931265</v>
      </c>
      <c r="AA10" s="20">
        <f t="shared" si="13"/>
        <v>0.94177946138255986</v>
      </c>
      <c r="AB10" s="20">
        <f t="shared" si="7"/>
        <v>0.66828158146950156</v>
      </c>
      <c r="AC10" s="20">
        <f t="shared" si="14"/>
        <v>0.81935700846397519</v>
      </c>
      <c r="AD10" s="16">
        <f t="shared" si="15"/>
        <v>480.76723446980071</v>
      </c>
      <c r="AE10" s="16">
        <f t="shared" si="16"/>
        <v>9.5770365432231213</v>
      </c>
      <c r="AF10" s="7">
        <f>[8]syngas_streams_razryad!$E$10</f>
        <v>1.0811111111111109</v>
      </c>
      <c r="AG10" s="7">
        <f>[8]syngas_streams_razryad!$E$9</f>
        <v>1.109337962154876</v>
      </c>
      <c r="AH10" s="17">
        <f>[8]accumulation_razryad!$E$3</f>
        <v>23.54273504191962</v>
      </c>
      <c r="AI10" s="17">
        <f>[8]electric_razryad!$E$5</f>
        <v>33.830241541168107</v>
      </c>
      <c r="AJ10" s="17">
        <f>[8]GTU_input_razryad!$B$3</f>
        <v>1</v>
      </c>
      <c r="AK10" s="17">
        <f>[8]electric_razryad!$C$5</f>
        <v>159.78659999999999</v>
      </c>
      <c r="AL10" s="17">
        <f>[8]electric_razryad!$B$7</f>
        <v>54.944009849714917</v>
      </c>
      <c r="AM10" s="17">
        <f>[8]electric_razryad!$C$12</f>
        <v>9.3570935488586818E-2</v>
      </c>
      <c r="AN10" s="17">
        <f>[8]electric_razryad!$C$6</f>
        <v>6.2889189604114444</v>
      </c>
      <c r="AO10" s="17">
        <f>[8]electric_razryad!$C$2</f>
        <v>0.6915278807309394</v>
      </c>
      <c r="AP10" s="17">
        <f>[8]electric_razryad!$B$13</f>
        <v>15778.08409004476</v>
      </c>
      <c r="AQ10" s="17">
        <f>[8]electric_razryad!$B$14</f>
        <v>23672.07806833971</v>
      </c>
      <c r="AR10" s="17">
        <f>[8]heaters_razryad!$B$9</f>
        <v>71.24223990165315</v>
      </c>
      <c r="AS10" s="17">
        <f>[8]heaters_razryad!$B$8</f>
        <v>76.890501891831533</v>
      </c>
      <c r="AT10" s="17">
        <f>[8]heaters_razryad!$B$10</f>
        <v>6.2480246234290506</v>
      </c>
      <c r="AU10" s="17">
        <f t="shared" si="8"/>
        <v>154.38076641691373</v>
      </c>
      <c r="AV10" s="17">
        <f>[8]heaters_razryad!$B$18/1000</f>
        <v>13.00732972477301</v>
      </c>
      <c r="AW10" s="18">
        <f t="shared" si="17"/>
        <v>205.96959191442147</v>
      </c>
      <c r="AX10" s="17">
        <f t="shared" si="9"/>
        <v>7.5041277336593195</v>
      </c>
      <c r="AY10" s="19">
        <f t="shared" si="18"/>
        <v>213.47371964808079</v>
      </c>
      <c r="AZ10" s="19">
        <f t="shared" si="19"/>
        <v>167.38809614168673</v>
      </c>
      <c r="BA10" s="16">
        <f t="shared" si="20"/>
        <v>472.31882694527997</v>
      </c>
      <c r="BB10" s="16">
        <f t="shared" si="21"/>
        <v>26.1168497149553</v>
      </c>
      <c r="BC10" s="20">
        <f t="shared" si="22"/>
        <v>0.64782930226135982</v>
      </c>
      <c r="BD10" s="20">
        <f t="shared" si="30"/>
        <v>0.64782930226135982</v>
      </c>
      <c r="BE10" s="20">
        <f t="shared" si="23"/>
        <v>0.76293879848470081</v>
      </c>
      <c r="BF10" s="20">
        <f t="shared" si="24"/>
        <v>0.57241819222055079</v>
      </c>
      <c r="BG10" s="20">
        <f t="shared" si="25"/>
        <v>0.78537257296720764</v>
      </c>
      <c r="BH10" s="20">
        <f t="shared" si="26"/>
        <v>0.6448430141482937</v>
      </c>
      <c r="BI10" s="20">
        <f t="shared" si="27"/>
        <v>0.76411427516932462</v>
      </c>
      <c r="BJ10" s="16">
        <f t="shared" si="28"/>
        <v>446.86651450551574</v>
      </c>
      <c r="BK10" s="16">
        <f t="shared" si="29"/>
        <v>8.9017233965242166</v>
      </c>
      <c r="BL10" s="16">
        <f t="shared" si="10"/>
        <v>7.2426640259783397E-5</v>
      </c>
      <c r="BM10" s="18">
        <f>T10-'Без ПКМ'!B10</f>
        <v>-19.329578747815816</v>
      </c>
      <c r="BN10" s="19">
        <f>AY10-'Без ПКМ'!H10</f>
        <v>4.38024799672516</v>
      </c>
      <c r="BO10" s="17"/>
      <c r="BP10" s="17"/>
    </row>
    <row r="11" spans="1:70" x14ac:dyDescent="0.35">
      <c r="A11" s="16">
        <v>8</v>
      </c>
      <c r="B11" s="7">
        <f>0.151140511695727*[9]syngas_streams_zaryad!$E$2</f>
        <v>0.90487616171190755</v>
      </c>
      <c r="C11" s="7">
        <f>[9]gas_streams_zaryad!$E$13</f>
        <v>0.35544410633959478</v>
      </c>
      <c r="D11" s="17">
        <f>[9]electric_zaryad!$E$5</f>
        <v>32.120634019459501</v>
      </c>
      <c r="E11" s="17">
        <f>[9]GTU_input_zaryad!$B$3</f>
        <v>0.83962855770746192</v>
      </c>
      <c r="F11" s="17">
        <f>[9]electric_zaryad!$C$5</f>
        <v>131.88532740474571</v>
      </c>
      <c r="G11" s="17">
        <f>[9]electric_zaryad!$B$7</f>
        <v>49.291437404581259</v>
      </c>
      <c r="H11" s="17">
        <f>[9]electric_zaryad!$C$12</f>
        <v>4.5356027620595728E-2</v>
      </c>
      <c r="I11" s="17">
        <f>[9]electric_zaryad!$C$6</f>
        <v>6.2297186112462786</v>
      </c>
      <c r="J11" s="17">
        <f>[9]electric_zaryad!$C$2</f>
        <v>1.8467888575340661</v>
      </c>
      <c r="K11" s="17">
        <f>[9]heaters_zaryad!$B$9</f>
        <v>73.384509694523018</v>
      </c>
      <c r="L11" s="17">
        <f>[9]heaters_zaryad!$B$8</f>
        <v>67.285196163824622</v>
      </c>
      <c r="M11" s="17">
        <f>[9]heaters_zaryad!$B$10</f>
        <v>6.3701810953990794</v>
      </c>
      <c r="N11" s="17">
        <f>K11+L11+M11</f>
        <v>147.03988695374673</v>
      </c>
      <c r="O11" s="17">
        <f>[9]heaters_zaryad!$B$17/1000</f>
        <v>19.694252133661031</v>
      </c>
      <c r="P11" s="18">
        <f>[9]heaters_zaryad!$B$11/1000</f>
        <v>17.3003187102365</v>
      </c>
      <c r="Q11" s="17">
        <f>[9]gas_streams_zaryad!$E$4</f>
        <v>6.8235280791165209</v>
      </c>
      <c r="R11" s="17">
        <f>[29]!PropsSI("H","P",[9]gas_streams_zaryad!$C$4*10^6,"T",[9]gas_streams_zaryad!$B$4+273.15,"REFPROP::"&amp;[29]!MixtureString($R$16:$R$20,$S$16:$S$20))/1000-[29]!PropsSI("H","P",[9]gas_streams_zaryad!$C$4*10^6,"T",S21+273.15,"REFPROP::"&amp;[29]!MixtureString($R$16:$R$20,$S$16:$S$20))/1000</f>
        <v>896.4142916678345</v>
      </c>
      <c r="S11" s="19">
        <f>R11*Q11/1000</f>
        <v>6.1167080897168153</v>
      </c>
      <c r="T11" s="17">
        <f t="shared" si="2"/>
        <v>171.46631140579029</v>
      </c>
      <c r="U11" s="16">
        <f>N11+O11</f>
        <v>166.73413908740775</v>
      </c>
      <c r="V11" s="16">
        <f t="shared" si="12"/>
        <v>17.843294138247661</v>
      </c>
      <c r="W11" s="16">
        <f t="shared" si="3"/>
        <v>45.424783317937759</v>
      </c>
      <c r="X11" s="20">
        <f>T11/((100*F11)/D11-N11)</f>
        <v>0.65059295965543973</v>
      </c>
      <c r="Y11" s="20">
        <f t="shared" si="5"/>
        <v>0.67942352592342081</v>
      </c>
      <c r="Z11" s="20">
        <f>(T11+P11+N11)/((100*F11)/D11+S11)</f>
        <v>0.8058508763016925</v>
      </c>
      <c r="AA11" s="20">
        <f>(AF11+AG11)*AH11/(V11+W11-O11-S11+P11)</f>
        <v>0.94177459675721742</v>
      </c>
      <c r="AB11" s="20">
        <f>(T11)/((100*F11)/D11+$R$14*(B11+C11)-(AF11+AG11)*AH11-U11)</f>
        <v>0.67094723697600755</v>
      </c>
      <c r="AC11" s="20">
        <f>((AF11+AG11)*AH11+U11+T11)/((100*F11)/D11+$R$14*(B11+C11))</f>
        <v>0.82253847050819084</v>
      </c>
      <c r="AD11" s="16">
        <f t="shared" si="15"/>
        <v>473.86186375830579</v>
      </c>
      <c r="AE11" s="16">
        <f t="shared" si="16"/>
        <v>9.4394793577351752</v>
      </c>
      <c r="AF11" s="7">
        <f>[9]syngas_streams_razryad!$E$10</f>
        <v>1.0811111111111109</v>
      </c>
      <c r="AG11" s="7">
        <f>[9]syngas_streams_razryad!$E$9</f>
        <v>1.109903083735525</v>
      </c>
      <c r="AH11" s="17">
        <f>[9]accumulation_razryad!$E$3</f>
        <v>23.536662736376829</v>
      </c>
      <c r="AI11" s="17">
        <f>[9]electric_razryad!$E$5</f>
        <v>33.701191319931901</v>
      </c>
      <c r="AJ11" s="17">
        <f>[9]GTU_input_razryad!$B$3</f>
        <v>1</v>
      </c>
      <c r="AK11" s="17">
        <f>[9]electric_razryad!$C$5</f>
        <v>157.07579999999999</v>
      </c>
      <c r="AL11" s="17">
        <f>[9]electric_razryad!$B$7</f>
        <v>54.400099547660169</v>
      </c>
      <c r="AM11" s="17">
        <f>[9]electric_razryad!$C$12</f>
        <v>9.2197123894284264E-2</v>
      </c>
      <c r="AN11" s="17">
        <f>[9]electric_razryad!$C$6</f>
        <v>6.2831672404506769</v>
      </c>
      <c r="AO11" s="17">
        <f>[9]electric_razryad!$C$2</f>
        <v>0.68647749244745082</v>
      </c>
      <c r="AP11" s="17">
        <f>[9]electric_razryad!$B$13</f>
        <v>15789.335487543751</v>
      </c>
      <c r="AQ11" s="17">
        <f>[9]electric_razryad!$B$14</f>
        <v>23688.708701754269</v>
      </c>
      <c r="AR11" s="17">
        <f>[9]heaters_razryad!$B$9</f>
        <v>69.163466914362772</v>
      </c>
      <c r="AS11" s="17">
        <f>[9]heaters_razryad!$B$8</f>
        <v>78.47438579105841</v>
      </c>
      <c r="AT11" s="17">
        <f>[9]heaters_razryad!$B$10</f>
        <v>6.0315437403562484</v>
      </c>
      <c r="AU11" s="17">
        <f>AT11+AS11+AR11</f>
        <v>153.66939644577744</v>
      </c>
      <c r="AV11" s="17">
        <f>[9]heaters_razryad!$B$18/1000</f>
        <v>13.06576288895501</v>
      </c>
      <c r="AW11" s="18">
        <f t="shared" si="17"/>
        <v>202.74367248120834</v>
      </c>
      <c r="AX11" s="17">
        <f t="shared" si="9"/>
        <v>7.5092364046491156</v>
      </c>
      <c r="AY11" s="19">
        <f t="shared" si="18"/>
        <v>210.25290888585744</v>
      </c>
      <c r="AZ11" s="19">
        <f>AU11+AV11</f>
        <v>166.73515933473246</v>
      </c>
      <c r="BA11" s="16">
        <f t="shared" si="20"/>
        <v>466.08382032803871</v>
      </c>
      <c r="BB11" s="16">
        <f t="shared" si="21"/>
        <v>26.123414551947665</v>
      </c>
      <c r="BC11" s="20">
        <f t="shared" si="22"/>
        <v>0.64895746477318772</v>
      </c>
      <c r="BD11" s="43">
        <f t="shared" si="30"/>
        <v>0.64895746477318772</v>
      </c>
      <c r="BE11" s="20">
        <f t="shared" si="23"/>
        <v>0.76469736425550117</v>
      </c>
      <c r="BF11" s="20">
        <f t="shared" si="24"/>
        <v>0.57508322311364912</v>
      </c>
      <c r="BG11" s="20">
        <f t="shared" si="25"/>
        <v>0.78760757911986401</v>
      </c>
      <c r="BH11" s="20">
        <f t="shared" si="26"/>
        <v>0.64599369556858866</v>
      </c>
      <c r="BI11" s="20">
        <f t="shared" si="27"/>
        <v>0.76591330136077718</v>
      </c>
      <c r="BJ11" s="16">
        <f t="shared" si="28"/>
        <v>440.63807272526685</v>
      </c>
      <c r="BK11" s="16">
        <f>BJ11/$R$14</f>
        <v>8.7776508511009332</v>
      </c>
      <c r="BL11" s="16">
        <f t="shared" si="10"/>
        <v>6.1190067630274348E-4</v>
      </c>
      <c r="BM11" s="18">
        <f>T11-'Без ПКМ'!B11</f>
        <v>-19.706150129946025</v>
      </c>
      <c r="BN11" s="19">
        <f>AY11-'Без ПКМ'!H11</f>
        <v>4.2998259590844725</v>
      </c>
      <c r="BO11" s="17"/>
      <c r="BP11" s="17"/>
    </row>
    <row r="14" spans="1:70" x14ac:dyDescent="0.35">
      <c r="Q14" s="1" t="s">
        <v>54</v>
      </c>
      <c r="R14" s="17">
        <f>BP4</f>
        <v>50.2</v>
      </c>
      <c r="S14" s="3" t="s">
        <v>53</v>
      </c>
      <c r="U14" s="42"/>
      <c r="BL14" s="16">
        <f>(BM14-BN14)*100</f>
        <v>-3.9131551916796514</v>
      </c>
      <c r="BM14" s="18">
        <v>0.59138137125468226</v>
      </c>
      <c r="BN14" s="16">
        <v>0.63051292317147878</v>
      </c>
    </row>
    <row r="15" spans="1:70" x14ac:dyDescent="0.35">
      <c r="R15" s="1" t="s">
        <v>40</v>
      </c>
      <c r="BL15" s="16">
        <f>(BM15-BN15)*100</f>
        <v>-3.8484080150588129</v>
      </c>
      <c r="BM15" s="18">
        <v>0.60853305569834903</v>
      </c>
      <c r="BN15" s="16">
        <v>0.64701713584893716</v>
      </c>
    </row>
    <row r="16" spans="1:70" x14ac:dyDescent="0.35">
      <c r="R16" s="1" t="s">
        <v>41</v>
      </c>
      <c r="S16" s="3">
        <v>0.71032059101601497</v>
      </c>
      <c r="BL16" s="16">
        <f t="shared" ref="BL15:BL22" si="31">(BM16-BN16)*100</f>
        <v>-3.3468976088756541</v>
      </c>
      <c r="BM16" s="18">
        <v>0.62775298552026604</v>
      </c>
      <c r="BN16" s="16">
        <v>0.66122196160902258</v>
      </c>
    </row>
    <row r="17" spans="18:66" x14ac:dyDescent="0.35">
      <c r="R17" s="6" t="s">
        <v>44</v>
      </c>
      <c r="S17" s="3">
        <v>0.18053127301225799</v>
      </c>
      <c r="BL17" s="16">
        <f t="shared" si="31"/>
        <v>-3.5369783083985751</v>
      </c>
      <c r="BM17" s="18">
        <v>0.63593152341236958</v>
      </c>
      <c r="BN17" s="16">
        <v>0.67130130649635533</v>
      </c>
    </row>
    <row r="18" spans="18:66" x14ac:dyDescent="0.35">
      <c r="R18" s="6" t="s">
        <v>43</v>
      </c>
      <c r="S18" s="3">
        <v>9.0538556815177001E-2</v>
      </c>
      <c r="BL18" s="16">
        <f t="shared" si="31"/>
        <v>-3.6796265802649719</v>
      </c>
      <c r="BM18" s="18">
        <v>0.64394300217903166</v>
      </c>
      <c r="BN18" s="16">
        <v>0.68073926798168138</v>
      </c>
    </row>
    <row r="19" spans="18:66" x14ac:dyDescent="0.35">
      <c r="R19" s="6" t="s">
        <v>42</v>
      </c>
      <c r="S19" s="3">
        <v>9.9671027033589304E-3</v>
      </c>
      <c r="BL19" s="16">
        <f t="shared" si="31"/>
        <v>-3.6961689134075382</v>
      </c>
      <c r="BM19" s="18">
        <v>0.65105875138571945</v>
      </c>
      <c r="BN19" s="16">
        <v>0.68802044051979483</v>
      </c>
    </row>
    <row r="20" spans="18:66" x14ac:dyDescent="0.35">
      <c r="R20" s="1" t="s">
        <v>45</v>
      </c>
      <c r="S20" s="3">
        <v>8.6424764531917806E-3</v>
      </c>
      <c r="BL20" s="16">
        <f t="shared" si="31"/>
        <v>-3.6675012973449328</v>
      </c>
      <c r="BM20" s="18">
        <v>0.65886947173043775</v>
      </c>
      <c r="BN20" s="16">
        <v>0.69554448470388708</v>
      </c>
    </row>
    <row r="21" spans="18:66" x14ac:dyDescent="0.35">
      <c r="R21" s="1" t="s">
        <v>46</v>
      </c>
      <c r="S21" s="3">
        <v>60</v>
      </c>
      <c r="BL21" s="16">
        <f t="shared" si="31"/>
        <v>-3.5980943546066735</v>
      </c>
      <c r="BM21" s="18">
        <v>0.66828158146950156</v>
      </c>
      <c r="BN21" s="16">
        <v>0.7042625250155683</v>
      </c>
    </row>
    <row r="22" spans="18:66" x14ac:dyDescent="0.35">
      <c r="BL22" s="16">
        <f t="shared" si="31"/>
        <v>-3.6281953140660517</v>
      </c>
      <c r="BM22" s="18">
        <v>0.67094723697600755</v>
      </c>
      <c r="BN22" s="16">
        <v>0.70722919011666807</v>
      </c>
    </row>
    <row r="23" spans="18:66" x14ac:dyDescent="0.35">
      <c r="R23" s="1" t="s">
        <v>47</v>
      </c>
      <c r="S23" s="3">
        <f>[29]!PropsSI("Q","P",0.1*10^6,"T",S21+273.15,"REFPROP::"&amp;[29]!MixtureString($R$16:$R$20,$S$16:$S$20))</f>
        <v>998</v>
      </c>
      <c r="BL23" s="16">
        <f>AVERAGE(BL14:BL22)</f>
        <v>-3.657225064855874</v>
      </c>
    </row>
    <row r="39" spans="18:20" x14ac:dyDescent="0.35">
      <c r="R39" s="6"/>
      <c r="S39" s="5"/>
      <c r="T39" s="6"/>
    </row>
  </sheetData>
  <mergeCells count="33">
    <mergeCell ref="AD1:AD2"/>
    <mergeCell ref="AE1:AE2"/>
    <mergeCell ref="BJ1:BJ2"/>
    <mergeCell ref="BH1:BH2"/>
    <mergeCell ref="BI1:BI2"/>
    <mergeCell ref="AF1:AV1"/>
    <mergeCell ref="AW1:AW2"/>
    <mergeCell ref="AX1:AX2"/>
    <mergeCell ref="AY1:AY2"/>
    <mergeCell ref="AZ1:AZ2"/>
    <mergeCell ref="BA1:BA2"/>
    <mergeCell ref="BB1:BB2"/>
    <mergeCell ref="BC1:BC2"/>
    <mergeCell ref="BD1:BD2"/>
    <mergeCell ref="BE1:BE2"/>
    <mergeCell ref="BF1:BF2"/>
    <mergeCell ref="BL1:BL2"/>
    <mergeCell ref="BM1:BM2"/>
    <mergeCell ref="BN1:BN2"/>
    <mergeCell ref="BK1:BK2"/>
    <mergeCell ref="BG1:BG2"/>
    <mergeCell ref="AC1:AC2"/>
    <mergeCell ref="A1:A2"/>
    <mergeCell ref="B1:O1"/>
    <mergeCell ref="T1:T2"/>
    <mergeCell ref="U1:U2"/>
    <mergeCell ref="V1:V2"/>
    <mergeCell ref="W1:W2"/>
    <mergeCell ref="X1:X2"/>
    <mergeCell ref="Y1:Y2"/>
    <mergeCell ref="Z1:Z2"/>
    <mergeCell ref="AA1:AA2"/>
    <mergeCell ref="AB1:AB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FE69-2D03-42B9-9E9E-A2A11B6052D6}">
  <dimension ref="A1:BR39"/>
  <sheetViews>
    <sheetView topLeftCell="BX1" zoomScale="85" zoomScaleNormal="85" workbookViewId="0">
      <selection activeCell="CO32" sqref="CO32"/>
    </sheetView>
  </sheetViews>
  <sheetFormatPr defaultColWidth="9.1796875" defaultRowHeight="15.5" x14ac:dyDescent="0.35"/>
  <cols>
    <col min="1" max="1" width="7.1796875" style="4" bestFit="1" customWidth="1"/>
    <col min="2" max="3" width="16.1796875" style="1" bestFit="1" customWidth="1"/>
    <col min="4" max="4" width="10.453125" style="1" bestFit="1" customWidth="1"/>
    <col min="5" max="5" width="7.54296875" style="1" bestFit="1" customWidth="1"/>
    <col min="6" max="6" width="7.453125" style="1" bestFit="1" customWidth="1"/>
    <col min="7" max="7" width="7.81640625" style="1" bestFit="1" customWidth="1"/>
    <col min="8" max="9" width="5.1796875" style="1" bestFit="1" customWidth="1"/>
    <col min="10" max="10" width="5.26953125" style="1" bestFit="1" customWidth="1"/>
    <col min="11" max="12" width="7.453125" style="1" bestFit="1" customWidth="1"/>
    <col min="13" max="13" width="6.453125" style="1" bestFit="1" customWidth="1"/>
    <col min="14" max="14" width="10.81640625" style="1" bestFit="1" customWidth="1"/>
    <col min="15" max="15" width="10.7265625" style="1" bestFit="1" customWidth="1"/>
    <col min="16" max="16" width="6.453125" style="2" bestFit="1" customWidth="1"/>
    <col min="17" max="17" width="11.453125" style="1" bestFit="1" customWidth="1"/>
    <col min="18" max="18" width="12.54296875" style="1" bestFit="1" customWidth="1"/>
    <col min="19" max="19" width="11.453125" style="3" bestFit="1" customWidth="1"/>
    <col min="20" max="20" width="13.453125" style="1" bestFit="1" customWidth="1"/>
    <col min="21" max="22" width="11.81640625" style="4" bestFit="1" customWidth="1"/>
    <col min="23" max="23" width="12.26953125" style="4" bestFit="1" customWidth="1"/>
    <col min="24" max="24" width="18.81640625" style="4" bestFit="1" customWidth="1"/>
    <col min="25" max="25" width="21.1796875" style="4" bestFit="1" customWidth="1"/>
    <col min="26" max="26" width="11.453125" style="4" bestFit="1" customWidth="1"/>
    <col min="27" max="27" width="21.54296875" style="4" bestFit="1" customWidth="1"/>
    <col min="28" max="28" width="31" style="4" bestFit="1" customWidth="1"/>
    <col min="29" max="29" width="21.453125" style="4" bestFit="1" customWidth="1"/>
    <col min="30" max="31" width="21.453125" style="4" customWidth="1"/>
    <col min="32" max="32" width="11.1796875" style="1" bestFit="1" customWidth="1"/>
    <col min="33" max="33" width="11.453125" style="1" bestFit="1" customWidth="1"/>
    <col min="34" max="34" width="7" style="1" bestFit="1" customWidth="1"/>
    <col min="35" max="35" width="10.453125" style="1" bestFit="1" customWidth="1"/>
    <col min="36" max="36" width="7.54296875" style="1" bestFit="1" customWidth="1"/>
    <col min="37" max="37" width="7.453125" style="1" bestFit="1" customWidth="1"/>
    <col min="38" max="38" width="7.81640625" style="1" bestFit="1" customWidth="1"/>
    <col min="39" max="40" width="5.1796875" style="1" bestFit="1" customWidth="1"/>
    <col min="41" max="41" width="5.26953125" style="1" bestFit="1" customWidth="1"/>
    <col min="42" max="42" width="12.81640625" style="1" bestFit="1" customWidth="1"/>
    <col min="43" max="43" width="11.26953125" style="1" bestFit="1" customWidth="1"/>
    <col min="44" max="45" width="7.453125" style="1" bestFit="1" customWidth="1"/>
    <col min="46" max="46" width="6.453125" style="1" bestFit="1" customWidth="1"/>
    <col min="47" max="47" width="10.81640625" style="1" bestFit="1" customWidth="1"/>
    <col min="48" max="48" width="8.54296875" style="1" bestFit="1" customWidth="1"/>
    <col min="49" max="49" width="14.453125" style="2" bestFit="1" customWidth="1"/>
    <col min="50" max="50" width="15.453125" style="1" bestFit="1" customWidth="1"/>
    <col min="51" max="51" width="14.81640625" style="3" bestFit="1" customWidth="1"/>
    <col min="52" max="52" width="11.81640625" style="3" bestFit="1" customWidth="1"/>
    <col min="53" max="54" width="11" style="4" bestFit="1" customWidth="1"/>
    <col min="55" max="55" width="18.81640625" style="4" bestFit="1" customWidth="1"/>
    <col min="56" max="56" width="21.1796875" style="4" bestFit="1" customWidth="1"/>
    <col min="57" max="57" width="11.453125" style="4" bestFit="1" customWidth="1"/>
    <col min="58" max="58" width="24.54296875" style="4" bestFit="1" customWidth="1"/>
    <col min="59" max="59" width="15.1796875" style="4" bestFit="1" customWidth="1"/>
    <col min="60" max="60" width="31" style="4" bestFit="1" customWidth="1"/>
    <col min="61" max="61" width="21.453125" style="4" bestFit="1" customWidth="1"/>
    <col min="62" max="63" width="21.453125" style="4" customWidth="1"/>
    <col min="64" max="64" width="13.1796875" style="4" bestFit="1" customWidth="1"/>
    <col min="65" max="65" width="11.26953125" style="2" bestFit="1" customWidth="1"/>
    <col min="66" max="66" width="12.453125" style="3" bestFit="1" customWidth="1"/>
    <col min="67" max="67" width="9.7265625" style="1" bestFit="1" customWidth="1"/>
    <col min="68" max="68" width="6.453125" style="1" bestFit="1" customWidth="1"/>
    <col min="69" max="16384" width="9.1796875" style="1"/>
  </cols>
  <sheetData>
    <row r="1" spans="1:70" ht="15.65" customHeight="1" x14ac:dyDescent="0.35">
      <c r="A1" s="45" t="s">
        <v>0</v>
      </c>
      <c r="B1" s="47" t="s">
        <v>7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9"/>
      <c r="P1" s="8"/>
      <c r="Q1" s="9"/>
      <c r="R1" s="9"/>
      <c r="S1" s="10"/>
      <c r="T1" s="49" t="s">
        <v>14</v>
      </c>
      <c r="U1" s="45" t="s">
        <v>17</v>
      </c>
      <c r="V1" s="45" t="s">
        <v>58</v>
      </c>
      <c r="W1" s="45" t="s">
        <v>59</v>
      </c>
      <c r="X1" s="45" t="s">
        <v>49</v>
      </c>
      <c r="Y1" s="45" t="s">
        <v>50</v>
      </c>
      <c r="Z1" s="45" t="s">
        <v>52</v>
      </c>
      <c r="AA1" s="45" t="s">
        <v>55</v>
      </c>
      <c r="AB1" s="45" t="s">
        <v>68</v>
      </c>
      <c r="AC1" s="45" t="s">
        <v>60</v>
      </c>
      <c r="AD1" s="52" t="s">
        <v>88</v>
      </c>
      <c r="AE1" s="52" t="s">
        <v>87</v>
      </c>
      <c r="AF1" s="47" t="s">
        <v>8</v>
      </c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9"/>
      <c r="AW1" s="47" t="s">
        <v>15</v>
      </c>
      <c r="AX1" s="48" t="s">
        <v>16</v>
      </c>
      <c r="AY1" s="49" t="s">
        <v>22</v>
      </c>
      <c r="AZ1" s="49" t="s">
        <v>17</v>
      </c>
      <c r="BA1" s="45" t="s">
        <v>62</v>
      </c>
      <c r="BB1" s="45" t="s">
        <v>61</v>
      </c>
      <c r="BC1" s="45" t="s">
        <v>49</v>
      </c>
      <c r="BD1" s="45" t="s">
        <v>50</v>
      </c>
      <c r="BE1" s="45" t="s">
        <v>52</v>
      </c>
      <c r="BF1" s="45" t="s">
        <v>63</v>
      </c>
      <c r="BG1" s="45" t="s">
        <v>64</v>
      </c>
      <c r="BH1" s="45" t="s">
        <v>68</v>
      </c>
      <c r="BI1" s="45" t="s">
        <v>60</v>
      </c>
      <c r="BJ1" s="52" t="s">
        <v>88</v>
      </c>
      <c r="BK1" s="52" t="s">
        <v>87</v>
      </c>
      <c r="BL1" s="45" t="s">
        <v>23</v>
      </c>
      <c r="BM1" s="47" t="s">
        <v>33</v>
      </c>
      <c r="BN1" s="49" t="s">
        <v>34</v>
      </c>
      <c r="BO1" s="11" t="s">
        <v>11</v>
      </c>
      <c r="BP1" s="11">
        <v>0.95</v>
      </c>
      <c r="BR1" s="1" t="s">
        <v>66</v>
      </c>
    </row>
    <row r="2" spans="1:70" ht="16" thickBot="1" x14ac:dyDescent="0.4">
      <c r="A2" s="46"/>
      <c r="B2" s="12" t="s">
        <v>57</v>
      </c>
      <c r="C2" s="12" t="s">
        <v>56</v>
      </c>
      <c r="D2" s="12" t="s">
        <v>27</v>
      </c>
      <c r="E2" s="12" t="s">
        <v>1</v>
      </c>
      <c r="F2" s="12" t="s">
        <v>2</v>
      </c>
      <c r="G2" s="12" t="s">
        <v>3</v>
      </c>
      <c r="H2" s="12" t="s">
        <v>4</v>
      </c>
      <c r="I2" s="12" t="s">
        <v>5</v>
      </c>
      <c r="J2" s="12" t="s">
        <v>6</v>
      </c>
      <c r="K2" s="12" t="s">
        <v>18</v>
      </c>
      <c r="L2" s="12" t="s">
        <v>19</v>
      </c>
      <c r="M2" s="12" t="s">
        <v>36</v>
      </c>
      <c r="N2" s="12" t="s">
        <v>35</v>
      </c>
      <c r="O2" s="12" t="s">
        <v>20</v>
      </c>
      <c r="P2" s="13" t="s">
        <v>37</v>
      </c>
      <c r="Q2" s="12" t="s">
        <v>38</v>
      </c>
      <c r="R2" s="12" t="s">
        <v>39</v>
      </c>
      <c r="S2" s="14" t="s">
        <v>48</v>
      </c>
      <c r="T2" s="50"/>
      <c r="U2" s="46"/>
      <c r="V2" s="46"/>
      <c r="W2" s="46"/>
      <c r="X2" s="46"/>
      <c r="Y2" s="46"/>
      <c r="Z2" s="46"/>
      <c r="AA2" s="46"/>
      <c r="AB2" s="46"/>
      <c r="AC2" s="46"/>
      <c r="AD2" s="53" t="s">
        <v>86</v>
      </c>
      <c r="AE2" s="53"/>
      <c r="AF2" s="12" t="s">
        <v>24</v>
      </c>
      <c r="AG2" s="12" t="s">
        <v>25</v>
      </c>
      <c r="AH2" s="12" t="s">
        <v>26</v>
      </c>
      <c r="AI2" s="12" t="s">
        <v>27</v>
      </c>
      <c r="AJ2" s="12" t="s">
        <v>1</v>
      </c>
      <c r="AK2" s="12" t="s">
        <v>2</v>
      </c>
      <c r="AL2" s="12" t="s">
        <v>3</v>
      </c>
      <c r="AM2" s="12" t="s">
        <v>4</v>
      </c>
      <c r="AN2" s="12" t="s">
        <v>5</v>
      </c>
      <c r="AO2" s="12" t="s">
        <v>6</v>
      </c>
      <c r="AP2" s="15" t="s">
        <v>9</v>
      </c>
      <c r="AQ2" s="15" t="s">
        <v>10</v>
      </c>
      <c r="AR2" s="12" t="s">
        <v>18</v>
      </c>
      <c r="AS2" s="12" t="s">
        <v>19</v>
      </c>
      <c r="AT2" s="12" t="s">
        <v>36</v>
      </c>
      <c r="AU2" s="12" t="s">
        <v>35</v>
      </c>
      <c r="AV2" s="15" t="s">
        <v>21</v>
      </c>
      <c r="AW2" s="51"/>
      <c r="AX2" s="54"/>
      <c r="AY2" s="50"/>
      <c r="AZ2" s="50"/>
      <c r="BA2" s="46"/>
      <c r="BB2" s="46"/>
      <c r="BC2" s="46"/>
      <c r="BD2" s="46"/>
      <c r="BE2" s="46"/>
      <c r="BF2" s="46"/>
      <c r="BG2" s="46"/>
      <c r="BH2" s="46"/>
      <c r="BI2" s="46"/>
      <c r="BJ2" s="53" t="s">
        <v>86</v>
      </c>
      <c r="BK2" s="53"/>
      <c r="BL2" s="46"/>
      <c r="BM2" s="51"/>
      <c r="BN2" s="50"/>
      <c r="BO2" s="11" t="s">
        <v>12</v>
      </c>
      <c r="BP2" s="11">
        <v>0.99</v>
      </c>
      <c r="BR2" s="1" t="s">
        <v>67</v>
      </c>
    </row>
    <row r="3" spans="1:70" x14ac:dyDescent="0.35">
      <c r="A3" s="16">
        <v>-29</v>
      </c>
      <c r="B3" s="7">
        <f>0.151140511695727*[10]syngas_streams_zaryad!$E$2</f>
        <v>1.3573077525453046</v>
      </c>
      <c r="C3" s="7">
        <f>[10]gas_streams_zaryad!$E$13</f>
        <v>0.53490675574729651</v>
      </c>
      <c r="D3" s="17">
        <f>[10]electric_zaryad!$E$5</f>
        <v>30.992943752494529</v>
      </c>
      <c r="E3" s="17">
        <f>[10]GTU_input_zaryad!$B$3</f>
        <v>0.73636061375245909</v>
      </c>
      <c r="F3" s="17">
        <f>[10]electric_zaryad!$C$5</f>
        <v>121.9854992742324</v>
      </c>
      <c r="G3" s="17">
        <f>[10]electric_zaryad!$B$7</f>
        <v>33.90524709882861</v>
      </c>
      <c r="H3" s="17">
        <f>[10]electric_zaryad!$C$12</f>
        <v>4.5564720248426588E-2</v>
      </c>
      <c r="I3" s="17">
        <f>[10]electric_zaryad!$C$6</f>
        <v>6.2087133585288381</v>
      </c>
      <c r="J3" s="17">
        <f>[10]electric_zaryad!$C$2</f>
        <v>2.6912326256171188</v>
      </c>
      <c r="K3" s="17">
        <f>[10]heaters_zaryad!$B$9</f>
        <v>101.1812938027176</v>
      </c>
      <c r="L3" s="17">
        <f>[10]heaters_zaryad!$B$8</f>
        <v>20.006828800443341</v>
      </c>
      <c r="M3" s="17">
        <f>[10]heaters_zaryad!$B$10</f>
        <v>8.3698044851013496</v>
      </c>
      <c r="N3" s="17">
        <f t="shared" ref="N3:N10" si="0">K3+L3+M3</f>
        <v>129.55792708826229</v>
      </c>
      <c r="O3" s="17">
        <f>[10]heaters_zaryad!$B$17/1000</f>
        <v>27.60769180121877</v>
      </c>
      <c r="P3" s="18">
        <f>[10]heaters_zaryad!$B$11/1000</f>
        <v>25.894800291501653</v>
      </c>
      <c r="Q3" s="17">
        <f>[10]gas_streams_zaryad!$E$4</f>
        <v>10.26870667554015</v>
      </c>
      <c r="R3" s="17">
        <f>[29]!PropsSI("H","P",[10]gas_streams_zaryad!$C$4*10^6,"T",[10]gas_streams_zaryad!$B$4+273.15,"REFPROP::"&amp;[29]!MixtureString($R$16:$R$20,$S$16:$S$20))/1000-[29]!PropsSI("H","P",[10]gas_streams_zaryad!$C$4*10^6,"T",S13+273.15,"REFPROP::"&amp;[29]!MixtureString($R$16:$R$20,$S$16:$S$20))/1000</f>
        <v>1246.7674708223194</v>
      </c>
      <c r="S3" s="19">
        <f>R3*Q3/1000</f>
        <v>12.802689450479461</v>
      </c>
      <c r="T3" s="17">
        <f t="shared" ref="T3:T11" si="1">F3+G3*$BP$2*$BP$3-H3/$BP$1/$BP$2-I3-J3/$BP$1/$BP$2</f>
        <v>145.76171795256545</v>
      </c>
      <c r="U3" s="16">
        <f>N3+O3</f>
        <v>157.16561888948107</v>
      </c>
      <c r="V3" s="16">
        <f>C3*$R$14</f>
        <v>26.852319138514286</v>
      </c>
      <c r="W3" s="16">
        <f t="shared" ref="W3:W11" si="2">B3*$R$14</f>
        <v>68.136849177774295</v>
      </c>
      <c r="X3" s="20">
        <f t="shared" ref="X3:X9" si="3">T3/((100*F3)/D3-N3)</f>
        <v>0.55205814126264074</v>
      </c>
      <c r="Y3" s="20">
        <f>T3/((100*F3)/D3-N3-P3+S3)</f>
        <v>0.58086013736570852</v>
      </c>
      <c r="Z3" s="20">
        <f t="shared" ref="Z3:Z10" si="4">(T3+P3+N3)/((100*F3)/D3+S3)</f>
        <v>0.74118842100624172</v>
      </c>
      <c r="AA3" s="20">
        <f>(AF3+AG3)*AH3/(V3+W3-O3-S3+P3)</f>
        <v>0.96123145212593097</v>
      </c>
      <c r="AB3" s="20">
        <f t="shared" ref="AB3:AB10" si="5">(T3)/((100*F3)/D3+$R$14*(B3+C3)-(AF3+AG3)*AH3-U3)</f>
        <v>0.57372723211363552</v>
      </c>
      <c r="AC3" s="20">
        <f>((AF3+AG3)*AH3+U3+T3)/((100*F3)/D3+$R$14*(B3+C3))</f>
        <v>0.77833884581869406</v>
      </c>
      <c r="AD3" s="16">
        <f>(100*F3)/D3+$R$14*(B3+C3)</f>
        <v>488.58036845652737</v>
      </c>
      <c r="AE3" s="16">
        <f>AD3/$R$14</f>
        <v>9.7326766624806247</v>
      </c>
      <c r="AF3" s="7">
        <f>[10]syngas_streams_razryad!$E$10</f>
        <v>1.0811111111111109</v>
      </c>
      <c r="AG3" s="7">
        <f>[10]syngas_streams_razryad!$E$9</f>
        <v>2.2045624987878698</v>
      </c>
      <c r="AH3" s="17">
        <f>[10]accumulation_razryad!$E$3</f>
        <v>23.54273504191962</v>
      </c>
      <c r="AI3" s="17">
        <f>[10]electric_razryad!$E$5</f>
        <v>34.07583168780608</v>
      </c>
      <c r="AJ3" s="17">
        <f>[10]GTU_input_razryad!$B$3</f>
        <v>1</v>
      </c>
      <c r="AK3" s="17">
        <f>[10]electric_razryad!$C$5</f>
        <v>165.66</v>
      </c>
      <c r="AL3" s="17">
        <f>[10]electric_razryad!$B$7</f>
        <v>43.147398746878949</v>
      </c>
      <c r="AM3" s="17">
        <f>[10]electric_razryad!$C$12</f>
        <v>0.12976316416015471</v>
      </c>
      <c r="AN3" s="17">
        <f>[10]electric_razryad!$C$6</f>
        <v>6.3013810203264402</v>
      </c>
      <c r="AO3" s="17">
        <f>[10]electric_razryad!$C$2</f>
        <v>1.0128026458503281</v>
      </c>
      <c r="AP3" s="17">
        <f>[10]electric_razryad!$B$13</f>
        <v>31213.3847120629</v>
      </c>
      <c r="AQ3" s="17">
        <f>[10]electric_razryad!$B$14</f>
        <v>46839.366324814247</v>
      </c>
      <c r="AR3" s="17">
        <f>[10]heaters_razryad!$B$9</f>
        <v>100.3073010662318</v>
      </c>
      <c r="AS3" s="17">
        <f>[10]heaters_razryad!$B$8</f>
        <v>25.814546488961991</v>
      </c>
      <c r="AT3" s="17">
        <f>[10]heaters_razryad!$B$10</f>
        <v>8.4286631160964571</v>
      </c>
      <c r="AU3" s="17">
        <f t="shared" ref="AU3:AU10" si="6">AT3+AS3+AR3</f>
        <v>134.55051067129025</v>
      </c>
      <c r="AV3" s="17">
        <f>[10]heaters_razryad!$B$18/1000</f>
        <v>22.587263718247812</v>
      </c>
      <c r="AW3" s="18">
        <f t="shared" ref="AW3:AW11" si="7">AK3+AL3*$BP$2*$BP$3-AM3/$BP$1/$BP$2-AN3-AO3/$BP$1/$BP$2</f>
        <v>200.00537589779188</v>
      </c>
      <c r="AX3" s="17">
        <f t="shared" ref="AX3:AX11" si="8">(-AP3/1000/$BP$2+AQ3/1000)*$BP$2*$BP$3</f>
        <v>14.854436190513141</v>
      </c>
      <c r="AY3" s="19">
        <f t="shared" ref="AY3:AY11" si="9">AW3+AX3</f>
        <v>214.85981208830503</v>
      </c>
      <c r="AZ3" s="19">
        <f t="shared" ref="AZ3:AZ10" si="10">AU3+AV3</f>
        <v>157.13777438953807</v>
      </c>
      <c r="BA3" s="16">
        <f>(100*AK3)/AI3</f>
        <v>486.15101024601216</v>
      </c>
      <c r="BB3" s="16">
        <f>AG3*AH3</f>
        <v>51.901430792315061</v>
      </c>
      <c r="BC3" s="20">
        <f t="shared" ref="BC3:BC11" si="11">AW3/((100*AK3)/AI3-AU3)</f>
        <v>0.56884269544471133</v>
      </c>
      <c r="BD3" s="20">
        <f>AW3/(BA3-AU3)</f>
        <v>0.56884269544471133</v>
      </c>
      <c r="BE3" s="20">
        <f>(AW3+AU3)/(BA3)</f>
        <v>0.68817276837454944</v>
      </c>
      <c r="BF3" s="20">
        <f>AX3/(BB3-AV3)</f>
        <v>0.50673233024089925</v>
      </c>
      <c r="BG3" s="20">
        <f>(AX3+AV3)/(BB3)</f>
        <v>0.7214001490360622</v>
      </c>
      <c r="BH3" s="20">
        <f>AY3/(BB3+BA3-AZ3)</f>
        <v>0.56406284898032044</v>
      </c>
      <c r="BI3" s="20">
        <f>(AY3+AZ3)/(BA3+BB3)</f>
        <v>0.69137793661890401</v>
      </c>
      <c r="BJ3" s="16">
        <f>BA3-AF3*AH3</f>
        <v>460.69869780624794</v>
      </c>
      <c r="BK3" s="16">
        <f>BJ3/$R$14</f>
        <v>9.1772648965388033</v>
      </c>
      <c r="BL3" s="16">
        <f t="shared" ref="BL3:BL11" si="12">ABS(AZ3-U3)/U3*100</f>
        <v>1.7716661022778156E-2</v>
      </c>
      <c r="BM3" s="18">
        <f>T3-'Без ПКМ'!B3</f>
        <v>-29.302537552548813</v>
      </c>
      <c r="BN3" s="19">
        <f>AY3-'Без ПКМ'!H3</f>
        <v>9.7221224993948567</v>
      </c>
      <c r="BO3" s="11" t="s">
        <v>13</v>
      </c>
      <c r="BP3" s="11">
        <v>0.98</v>
      </c>
      <c r="BR3" s="1" t="s">
        <v>65</v>
      </c>
    </row>
    <row r="4" spans="1:70" x14ac:dyDescent="0.35">
      <c r="A4" s="16">
        <v>-25</v>
      </c>
      <c r="B4" s="7">
        <f>0.151140511695727*[11]syngas_streams_zaryad!$E$2</f>
        <v>1.3573077371085644</v>
      </c>
      <c r="C4" s="7">
        <f>[11]gas_streams_zaryad!$E$13</f>
        <v>0.53531101194452646</v>
      </c>
      <c r="D4" s="17">
        <f>[11]electric_zaryad!$E$5</f>
        <v>31.706807450106151</v>
      </c>
      <c r="E4" s="17">
        <f>[11]GTU_input_zaryad!$B$3</f>
        <v>0.78674674452191151</v>
      </c>
      <c r="F4" s="17">
        <f>[11]electric_zaryad!$C$5</f>
        <v>130.33246569749991</v>
      </c>
      <c r="G4" s="17">
        <f>[11]electric_zaryad!$B$7</f>
        <v>35.824529131565171</v>
      </c>
      <c r="H4" s="17">
        <f>[11]electric_zaryad!$C$12</f>
        <v>4.5166004330883899E-2</v>
      </c>
      <c r="I4" s="17">
        <f>[11]electric_zaryad!$C$6</f>
        <v>6.2264237810567131</v>
      </c>
      <c r="J4" s="17">
        <f>[11]electric_zaryad!$C$2</f>
        <v>2.5741844213351319</v>
      </c>
      <c r="K4" s="17">
        <f>[11]heaters_zaryad!$B$9</f>
        <v>105.3921340237506</v>
      </c>
      <c r="L4" s="17">
        <f>[11]heaters_zaryad!$B$8</f>
        <v>21.488764205851091</v>
      </c>
      <c r="M4" s="17">
        <f>[11]heaters_zaryad!$B$10</f>
        <v>8.9930551281994742</v>
      </c>
      <c r="N4" s="17">
        <f t="shared" si="0"/>
        <v>135.87395335780116</v>
      </c>
      <c r="O4" s="17">
        <f>[11]heaters_zaryad!$B$17/1000</f>
        <v>27.881643296139277</v>
      </c>
      <c r="P4" s="18">
        <f>[11]heaters_zaryad!$B$11/1000</f>
        <v>25.881916241254761</v>
      </c>
      <c r="Q4" s="17">
        <f>[11]gas_streams_zaryad!$E$4</f>
        <v>10.276467258607241</v>
      </c>
      <c r="R4" s="17">
        <f>[29]!PropsSI("H","P",[11]gas_streams_zaryad!$C$4*10^6,"T",[11]gas_streams_zaryad!$B$4+273.15,"REFPROP::"&amp;[29]!MixtureString($R$16:$R$20,$S$16:$S$20))/1000-[29]!PropsSI("H","P",[11]gas_streams_zaryad!$C$4*10^6,"T",R14+273.15,"REFPROP::"&amp;[29]!MixtureString($R$16:$R$20,$S$16:$S$20))/1000</f>
        <v>1005.1820610676375</v>
      </c>
      <c r="S4" s="19">
        <f t="shared" ref="S3:S10" si="13">R4*Q4/1000</f>
        <v>10.32972053950092</v>
      </c>
      <c r="T4" s="17">
        <f t="shared" si="1"/>
        <v>156.07793848959955</v>
      </c>
      <c r="U4" s="16">
        <f t="shared" ref="U4:U10" si="14">N4+O4</f>
        <v>163.75559665394044</v>
      </c>
      <c r="V4" s="16">
        <f t="shared" ref="V4:V11" si="15">C4*$R$14</f>
        <v>26.872612799615229</v>
      </c>
      <c r="W4" s="16">
        <f t="shared" si="2"/>
        <v>68.136848402849935</v>
      </c>
      <c r="X4" s="20">
        <f t="shared" si="3"/>
        <v>0.56718242020479603</v>
      </c>
      <c r="Y4" s="20">
        <f t="shared" ref="Y3:Y11" si="16">T4/((100*F4)/D4-N4-P4+S4)</f>
        <v>0.60115756120526298</v>
      </c>
      <c r="Z4" s="20">
        <f t="shared" si="4"/>
        <v>0.7542601276649239</v>
      </c>
      <c r="AA4" s="20">
        <f t="shared" ref="AA4:AA10" si="17">(AF4+AG4)*AH4/(V4+W4-O4-S4+P4)</f>
        <v>0.93557971094141223</v>
      </c>
      <c r="AB4" s="20">
        <f t="shared" si="5"/>
        <v>0.58907277548209014</v>
      </c>
      <c r="AC4" s="20">
        <f t="shared" ref="AC4:AC10" si="18">((AF4+AG4)*AH4+U4+T4)/((100*F4)/D4+$R$14*(B4+C4))</f>
        <v>0.78485487360552852</v>
      </c>
      <c r="AD4" s="16">
        <f t="shared" ref="AD4:AD11" si="19">(100*F4)/D4+$R$14*(B4+C4)</f>
        <v>506.06461364123135</v>
      </c>
      <c r="AE4" s="16">
        <f t="shared" ref="AE4:AE11" si="20">AD4/$R$14</f>
        <v>10.080968399227716</v>
      </c>
      <c r="AF4" s="7">
        <f>[11]syngas_streams_razryad!$E$10</f>
        <v>1.0811111111111109</v>
      </c>
      <c r="AG4" s="7">
        <f>[11]syngas_streams_razryad!$E$9</f>
        <v>2.2045624987878698</v>
      </c>
      <c r="AH4" s="17">
        <f>[11]accumulation_razryad!$E$3</f>
        <v>23.54273504191962</v>
      </c>
      <c r="AI4" s="17">
        <f>[11]electric_razryad!$E$5</f>
        <v>34.082383064645562</v>
      </c>
      <c r="AJ4" s="17">
        <f>[11]GTU_input_razryad!$B$3</f>
        <v>1</v>
      </c>
      <c r="AK4" s="17">
        <f>[11]electric_razryad!$C$5</f>
        <v>165.66</v>
      </c>
      <c r="AL4" s="17">
        <f>[11]electric_razryad!$B$7</f>
        <v>44.982903645779267</v>
      </c>
      <c r="AM4" s="17">
        <f>[11]electric_razryad!$C$12</f>
        <v>0.125066132074037</v>
      </c>
      <c r="AN4" s="17">
        <f>[11]electric_razryad!$C$6</f>
        <v>6.3013810203264402</v>
      </c>
      <c r="AO4" s="17">
        <f>[11]electric_razryad!$C$2</f>
        <v>0.96978754564472947</v>
      </c>
      <c r="AP4" s="17">
        <f>[11]electric_razryad!$B$13</f>
        <v>31232.48568046244</v>
      </c>
      <c r="AQ4" s="17">
        <f>[11]electric_razryad!$B$14</f>
        <v>46866.747109419157</v>
      </c>
      <c r="AR4" s="17">
        <f>[11]heaters_razryad!$B$9</f>
        <v>104.53093190603271</v>
      </c>
      <c r="AS4" s="17">
        <f>[11]heaters_razryad!$B$8</f>
        <v>27.337068517210589</v>
      </c>
      <c r="AT4" s="17">
        <f>[11]heaters_razryad!$B$10</f>
        <v>9.0538467157035925</v>
      </c>
      <c r="AU4" s="17">
        <f t="shared" si="6"/>
        <v>140.92184713894687</v>
      </c>
      <c r="AV4" s="17">
        <f>[11]heaters_razryad!$B$18/1000</f>
        <v>22.80670693068636</v>
      </c>
      <c r="AW4" s="18">
        <f t="shared" si="7"/>
        <v>201.83691335388596</v>
      </c>
      <c r="AX4" s="17">
        <f t="shared" si="8"/>
        <v>14.862282078705276</v>
      </c>
      <c r="AY4" s="19">
        <f t="shared" si="9"/>
        <v>216.69919543259124</v>
      </c>
      <c r="AZ4" s="19">
        <f t="shared" si="10"/>
        <v>163.72855406963322</v>
      </c>
      <c r="BA4" s="16">
        <f t="shared" ref="BA4:BA11" si="21">(100*AK4)/AI4</f>
        <v>486.0575614263397</v>
      </c>
      <c r="BB4" s="16">
        <f t="shared" ref="BB4:BB11" si="22">AG4*AH4</f>
        <v>51.901430792315061</v>
      </c>
      <c r="BC4" s="20">
        <f t="shared" si="11"/>
        <v>0.58480448414509012</v>
      </c>
      <c r="BD4" s="20">
        <f t="shared" ref="BD4:BD11" si="23">AW4/(BA4-AU4)</f>
        <v>0.58480448414509012</v>
      </c>
      <c r="BE4" s="20">
        <f t="shared" ref="BE4:BE11" si="24">(AW4+AU4)/(BA4)</f>
        <v>0.70518141819871005</v>
      </c>
      <c r="BF4" s="20">
        <f t="shared" ref="BF4:BF11" si="25">AX4/(BB4-AV4)</f>
        <v>0.51082396070808755</v>
      </c>
      <c r="BG4" s="20">
        <f t="shared" ref="BG4:BG11" si="26">(AX4+AV4)/(BB4)</f>
        <v>0.72577939440870309</v>
      </c>
      <c r="BH4" s="20">
        <f t="shared" ref="BH4:BH11" si="27">AY4/(BB4+BA4-AZ4)</f>
        <v>0.57905283307366862</v>
      </c>
      <c r="BI4" s="20">
        <f t="shared" ref="BI4:BI11" si="28">(AY4+AZ4)/(BA4+BB4)</f>
        <v>0.70716867829137176</v>
      </c>
      <c r="BJ4" s="16">
        <f t="shared" ref="BJ4:BJ11" si="29">BA4-AF4*AH4</f>
        <v>460.60524898657548</v>
      </c>
      <c r="BK4" s="16">
        <f t="shared" ref="BK4:BK11" si="30">BJ4/$R$14</f>
        <v>9.175403366266444</v>
      </c>
      <c r="BL4" s="16">
        <f t="shared" si="12"/>
        <v>1.6513990886291879E-2</v>
      </c>
      <c r="BM4" s="18">
        <f>T4-'Без ПКМ'!B4</f>
        <v>-31.379282182149524</v>
      </c>
      <c r="BN4" s="19">
        <f>AY4-'Без ПКМ'!H4</f>
        <v>11.571083427976703</v>
      </c>
      <c r="BO4" s="17" t="s">
        <v>28</v>
      </c>
      <c r="BP4" s="17">
        <v>50.2</v>
      </c>
      <c r="BR4" s="1" t="s">
        <v>31</v>
      </c>
    </row>
    <row r="5" spans="1:70" x14ac:dyDescent="0.35">
      <c r="A5" s="16">
        <v>-20</v>
      </c>
      <c r="B5" s="7">
        <f>0.151140511695727*[12]syngas_streams_zaryad!$E$2</f>
        <v>1.3573172022115221</v>
      </c>
      <c r="C5" s="7">
        <f>[12]gas_streams_zaryad!$E$13</f>
        <v>0.53541446663542436</v>
      </c>
      <c r="D5" s="17">
        <f>[12]electric_zaryad!$E$5</f>
        <v>32.194116049520481</v>
      </c>
      <c r="E5" s="17">
        <f>[12]GTU_input_zaryad!$B$3</f>
        <v>0.8193872626715365</v>
      </c>
      <c r="F5" s="17">
        <f>[12]electric_zaryad!$C$5</f>
        <v>135.7396939341667</v>
      </c>
      <c r="G5" s="17">
        <f>[12]electric_zaryad!$B$7</f>
        <v>38.493123156767822</v>
      </c>
      <c r="H5" s="17">
        <f>[12]electric_zaryad!$C$12</f>
        <v>4.4182308670529739E-2</v>
      </c>
      <c r="I5" s="17">
        <f>[12]electric_zaryad!$C$6</f>
        <v>6.237896727264939</v>
      </c>
      <c r="J5" s="17">
        <f>[12]electric_zaryad!$C$2</f>
        <v>2.163096221707324</v>
      </c>
      <c r="K5" s="17">
        <f>[12]heaters_zaryad!$B$9</f>
        <v>105.80885065285911</v>
      </c>
      <c r="L5" s="17">
        <f>[12]heaters_zaryad!$B$8</f>
        <v>25.18479056152675</v>
      </c>
      <c r="M5" s="17">
        <f>[12]heaters_zaryad!$B$10</f>
        <v>9.2302569005209794</v>
      </c>
      <c r="N5" s="17">
        <f t="shared" si="0"/>
        <v>140.22389811490683</v>
      </c>
      <c r="O5" s="17">
        <f>[12]heaters_zaryad!$B$17/1000</f>
        <v>28.216283901721667</v>
      </c>
      <c r="P5" s="18">
        <f>[12]heaters_zaryad!$B$11/1000</f>
        <v>25.878918616130768</v>
      </c>
      <c r="Q5" s="17">
        <f>[12]gas_streams_zaryad!$E$4</f>
        <v>10.27845329797508</v>
      </c>
      <c r="R5" s="17">
        <f>[29]!PropsSI("H","P",[12]gas_streams_zaryad!$C$4*10^6,"T",[12]gas_streams_zaryad!$B$4+273.15,"REFPROP::"&amp;[29]!MixtureString($R$16:$R$20,$S$16:$S$20))/1000-[29]!PropsSI("H","P",[12]gas_streams_zaryad!$C$4*10^6,"T",S15+273.15,"REFPROP::"&amp;[29]!MixtureString($R$16:$R$20,$S$16:$S$20))/1000</f>
        <v>1246.7674708223194</v>
      </c>
      <c r="S5" s="19">
        <f t="shared" si="13"/>
        <v>12.814841222281718</v>
      </c>
      <c r="T5" s="17">
        <f t="shared" si="1"/>
        <v>164.50090500611481</v>
      </c>
      <c r="U5" s="16">
        <f t="shared" si="14"/>
        <v>168.44018201662851</v>
      </c>
      <c r="V5" s="16">
        <f t="shared" si="15"/>
        <v>26.877806225098304</v>
      </c>
      <c r="W5" s="16">
        <f t="shared" si="2"/>
        <v>68.137323551018412</v>
      </c>
      <c r="X5" s="20">
        <f t="shared" si="3"/>
        <v>0.58456996191431299</v>
      </c>
      <c r="Y5" s="20">
        <f t="shared" si="16"/>
        <v>0.61302953267219085</v>
      </c>
      <c r="Z5" s="20">
        <f t="shared" si="4"/>
        <v>0.76098168410704603</v>
      </c>
      <c r="AA5" s="20">
        <f t="shared" si="17"/>
        <v>0.96858141508623508</v>
      </c>
      <c r="AB5" s="20">
        <f t="shared" si="5"/>
        <v>0.60735037102610789</v>
      </c>
      <c r="AC5" s="20">
        <f t="shared" si="18"/>
        <v>0.7941538372058633</v>
      </c>
      <c r="AD5" s="16">
        <f t="shared" si="19"/>
        <v>516.64401912153016</v>
      </c>
      <c r="AE5" s="16">
        <f t="shared" si="20"/>
        <v>10.291713528317333</v>
      </c>
      <c r="AF5" s="7">
        <f>[12]syngas_streams_razryad!$E$10</f>
        <v>1.0811111111111109</v>
      </c>
      <c r="AG5" s="7">
        <f>[12]syngas_streams_razryad!$E$9</f>
        <v>2.2045624987878698</v>
      </c>
      <c r="AH5" s="17">
        <f>[12]accumulation_razryad!$E$3</f>
        <v>23.54273504191962</v>
      </c>
      <c r="AI5" s="17">
        <f>[12]electric_razryad!$E$5</f>
        <v>34.091218921592109</v>
      </c>
      <c r="AJ5" s="17">
        <f>[12]GTU_input_razryad!$B$3</f>
        <v>1</v>
      </c>
      <c r="AK5" s="17">
        <f>[12]electric_razryad!$C$5</f>
        <v>165.66</v>
      </c>
      <c r="AL5" s="17">
        <f>[12]electric_razryad!$B$7</f>
        <v>47.871527091002278</v>
      </c>
      <c r="AM5" s="17">
        <f>[12]electric_razryad!$C$12</f>
        <v>0.12295017631158769</v>
      </c>
      <c r="AN5" s="17">
        <f>[12]electric_razryad!$C$6</f>
        <v>6.3013810203264402</v>
      </c>
      <c r="AO5" s="17">
        <f>[12]electric_razryad!$C$2</f>
        <v>0.88032488757835747</v>
      </c>
      <c r="AP5" s="17">
        <f>[12]electric_razryad!$B$13</f>
        <v>31256.402985641711</v>
      </c>
      <c r="AQ5" s="17">
        <f>[12]electric_razryad!$B$14</f>
        <v>46901.031993915138</v>
      </c>
      <c r="AR5" s="17">
        <f>[12]heaters_razryad!$B$9</f>
        <v>103.7782126522268</v>
      </c>
      <c r="AS5" s="17">
        <f>[12]heaters_razryad!$B$8</f>
        <v>32.141886624782622</v>
      </c>
      <c r="AT5" s="17">
        <f>[12]heaters_razryad!$B$10</f>
        <v>9.1835556386358927</v>
      </c>
      <c r="AU5" s="17">
        <f t="shared" si="6"/>
        <v>145.10365491564531</v>
      </c>
      <c r="AV5" s="17">
        <f>[12]heaters_razryad!$B$18/1000</f>
        <v>23.315200239376711</v>
      </c>
      <c r="AW5" s="18">
        <f t="shared" si="7"/>
        <v>204.73682808394884</v>
      </c>
      <c r="AX5" s="17">
        <f t="shared" si="8"/>
        <v>14.872106314567592</v>
      </c>
      <c r="AY5" s="19">
        <f t="shared" si="9"/>
        <v>219.60893439851642</v>
      </c>
      <c r="AZ5" s="19">
        <f t="shared" si="10"/>
        <v>168.41885515502202</v>
      </c>
      <c r="BA5" s="16">
        <f t="shared" si="21"/>
        <v>485.93158367557555</v>
      </c>
      <c r="BB5" s="16">
        <f t="shared" si="22"/>
        <v>51.901430792315061</v>
      </c>
      <c r="BC5" s="20">
        <f t="shared" si="11"/>
        <v>0.60070437545674193</v>
      </c>
      <c r="BD5" s="20">
        <f t="shared" si="23"/>
        <v>0.60070437545674193</v>
      </c>
      <c r="BE5" s="20">
        <f t="shared" si="24"/>
        <v>0.71993773352497203</v>
      </c>
      <c r="BF5" s="20">
        <f t="shared" si="25"/>
        <v>0.52025419325665179</v>
      </c>
      <c r="BG5" s="20">
        <f t="shared" si="26"/>
        <v>0.7357659696656883</v>
      </c>
      <c r="BH5" s="20">
        <f t="shared" si="27"/>
        <v>0.59447893065875324</v>
      </c>
      <c r="BI5" s="20">
        <f t="shared" si="28"/>
        <v>0.72146517434865332</v>
      </c>
      <c r="BJ5" s="16">
        <f t="shared" si="29"/>
        <v>460.47927123581132</v>
      </c>
      <c r="BK5" s="16">
        <f t="shared" si="30"/>
        <v>9.1728938493189496</v>
      </c>
      <c r="BL5" s="16">
        <f t="shared" si="12"/>
        <v>1.2661385989473195E-2</v>
      </c>
      <c r="BM5" s="18">
        <f>T5-'Без ПКМ'!B5</f>
        <v>-33.351121993257834</v>
      </c>
      <c r="BN5" s="19">
        <f>AY5-'Без ПКМ'!H5</f>
        <v>12.659574887171402</v>
      </c>
      <c r="BO5" s="17"/>
      <c r="BP5" s="17"/>
    </row>
    <row r="6" spans="1:70" x14ac:dyDescent="0.35">
      <c r="A6" s="16">
        <v>-15</v>
      </c>
      <c r="B6" s="7">
        <f>0.151140511695727*[13]syngas_streams_zaryad!$E$2</f>
        <v>1.357313515670195</v>
      </c>
      <c r="C6" s="7">
        <f>[13]gas_streams_zaryad!$E$13</f>
        <v>0.53497050918686018</v>
      </c>
      <c r="D6" s="17">
        <f>[13]electric_zaryad!$E$5</f>
        <v>32.074316189536653</v>
      </c>
      <c r="E6" s="17">
        <f>[13]GTU_input_zaryad!$B$3</f>
        <v>0.81103918493380567</v>
      </c>
      <c r="F6" s="17">
        <f>[13]electric_zaryad!$C$5</f>
        <v>134.35675137613421</v>
      </c>
      <c r="G6" s="17">
        <f>[13]electric_zaryad!$B$7</f>
        <v>40.47615186585238</v>
      </c>
      <c r="H6" s="17">
        <f>[13]electric_zaryad!$C$12</f>
        <v>4.5078653811338902E-2</v>
      </c>
      <c r="I6" s="17">
        <f>[13]electric_zaryad!$C$6</f>
        <v>6.2349624280486076</v>
      </c>
      <c r="J6" s="17">
        <f>[13]electric_zaryad!$C$2</f>
        <v>2.1166588436644611</v>
      </c>
      <c r="K6" s="17">
        <f>[13]heaters_zaryad!$B$9</f>
        <v>101.1026412300991</v>
      </c>
      <c r="L6" s="17">
        <f>[13]heaters_zaryad!$B$8</f>
        <v>29.8783152061484</v>
      </c>
      <c r="M6" s="17">
        <f>[13]heaters_zaryad!$B$10</f>
        <v>8.8247730710245982</v>
      </c>
      <c r="N6" s="17">
        <f t="shared" si="0"/>
        <v>139.80572950727208</v>
      </c>
      <c r="O6" s="17">
        <f>[13]heaters_zaryad!$B$17/1000</f>
        <v>28.41859211673378</v>
      </c>
      <c r="P6" s="18">
        <f>[13]heaters_zaryad!$B$11/1000</f>
        <v>25.892950814821539</v>
      </c>
      <c r="Q6" s="17">
        <f>[13]gas_streams_zaryad!$E$4</f>
        <v>10.26993056243894</v>
      </c>
      <c r="R6" s="17">
        <f>[29]!PropsSI("H","P",[13]gas_streams_zaryad!$C$4*10^6,"T",[13]gas_streams_zaryad!$B$4+273.15,"REFPROP::"&amp;[29]!MixtureString($R$16:$R$20,$S$16:$S$20))/1000-[29]!PropsSI("H","P",[13]gas_streams_zaryad!$C$4*10^6,"T",S16+273.15,"REFPROP::"&amp;[29]!MixtureString($R$16:$R$20,$S$16:$S$20))/1000</f>
        <v>1245.3598293915852</v>
      </c>
      <c r="S6" s="19">
        <f t="shared" si="13"/>
        <v>12.789758973102385</v>
      </c>
      <c r="T6" s="17">
        <f t="shared" si="1"/>
        <v>165.09325335173182</v>
      </c>
      <c r="U6" s="16">
        <f t="shared" si="14"/>
        <v>168.22432162400585</v>
      </c>
      <c r="V6" s="16">
        <f t="shared" si="15"/>
        <v>26.855519561180383</v>
      </c>
      <c r="W6" s="16">
        <f t="shared" si="2"/>
        <v>68.137138486643792</v>
      </c>
      <c r="X6" s="20">
        <f t="shared" si="3"/>
        <v>0.59154913107185003</v>
      </c>
      <c r="Y6" s="20">
        <f t="shared" si="16"/>
        <v>0.62069076357497488</v>
      </c>
      <c r="Z6" s="20">
        <f t="shared" si="4"/>
        <v>0.76628653062987062</v>
      </c>
      <c r="AA6" s="20">
        <f t="shared" si="17"/>
        <v>0.97083842233431883</v>
      </c>
      <c r="AB6" s="20">
        <f t="shared" si="5"/>
        <v>0.61531562954158259</v>
      </c>
      <c r="AC6" s="20">
        <f t="shared" si="18"/>
        <v>0.79915073319501728</v>
      </c>
      <c r="AD6" s="16">
        <f t="shared" si="19"/>
        <v>513.88467925937641</v>
      </c>
      <c r="AE6" s="16">
        <f t="shared" si="20"/>
        <v>10.236746598792358</v>
      </c>
      <c r="AF6" s="7">
        <f>[13]syngas_streams_razryad!$E$10</f>
        <v>1.0811111111111109</v>
      </c>
      <c r="AG6" s="7">
        <f>[13]syngas_streams_razryad!$E$9</f>
        <v>2.2045624987878698</v>
      </c>
      <c r="AH6" s="17">
        <f>[13]accumulation_razryad!$E$3</f>
        <v>23.54273504191962</v>
      </c>
      <c r="AI6" s="17">
        <f>[13]electric_razryad!$E$5</f>
        <v>34.094845350390223</v>
      </c>
      <c r="AJ6" s="17">
        <f>[13]GTU_input_razryad!$B$3</f>
        <v>1</v>
      </c>
      <c r="AK6" s="17">
        <f>[13]electric_razryad!$C$5</f>
        <v>165.66</v>
      </c>
      <c r="AL6" s="17">
        <f>[13]electric_razryad!$B$7</f>
        <v>50.191840485203677</v>
      </c>
      <c r="AM6" s="17">
        <f>[13]electric_razryad!$C$12</f>
        <v>0.12582252762852861</v>
      </c>
      <c r="AN6" s="17">
        <f>[13]electric_razryad!$C$6</f>
        <v>6.3013810203264402</v>
      </c>
      <c r="AO6" s="17">
        <f>[13]electric_razryad!$C$2</f>
        <v>0.76008172279874997</v>
      </c>
      <c r="AP6" s="17">
        <f>[13]electric_razryad!$B$13</f>
        <v>31280.365311004189</v>
      </c>
      <c r="AQ6" s="17">
        <f>[13]electric_razryad!$B$14</f>
        <v>46935.381408750429</v>
      </c>
      <c r="AR6" s="17">
        <f>[13]heaters_razryad!$B$9</f>
        <v>97.186597050098825</v>
      </c>
      <c r="AS6" s="17">
        <f>[13]heaters_razryad!$B$8</f>
        <v>38.59878399424781</v>
      </c>
      <c r="AT6" s="17">
        <f>[13]heaters_razryad!$B$10</f>
        <v>8.5997608336880766</v>
      </c>
      <c r="AU6" s="17">
        <f t="shared" si="6"/>
        <v>144.38514187803472</v>
      </c>
      <c r="AV6" s="17">
        <f>[13]heaters_razryad!$B$18/1000</f>
        <v>23.824187339316119</v>
      </c>
      <c r="AW6" s="18">
        <f t="shared" si="7"/>
        <v>207.1127923255662</v>
      </c>
      <c r="AX6" s="17">
        <f t="shared" si="8"/>
        <v>14.881949037985562</v>
      </c>
      <c r="AY6" s="19">
        <f t="shared" si="9"/>
        <v>221.99474136355175</v>
      </c>
      <c r="AZ6" s="19">
        <f t="shared" si="10"/>
        <v>168.20932921735084</v>
      </c>
      <c r="BA6" s="16">
        <f t="shared" si="21"/>
        <v>485.87989855218387</v>
      </c>
      <c r="BB6" s="16">
        <f t="shared" si="22"/>
        <v>51.901430792315061</v>
      </c>
      <c r="BC6" s="20">
        <f t="shared" si="11"/>
        <v>0.6064889380518107</v>
      </c>
      <c r="BD6" s="20">
        <f t="shared" si="23"/>
        <v>0.6064889380518107</v>
      </c>
      <c r="BE6" s="20">
        <f t="shared" si="24"/>
        <v>0.72342555279810528</v>
      </c>
      <c r="BF6" s="20">
        <f t="shared" si="25"/>
        <v>0.53003597247350198</v>
      </c>
      <c r="BG6" s="20">
        <f t="shared" si="26"/>
        <v>0.74576241514776931</v>
      </c>
      <c r="BH6" s="20">
        <f t="shared" si="27"/>
        <v>0.60068062863846938</v>
      </c>
      <c r="BI6" s="20">
        <f t="shared" si="28"/>
        <v>0.72558128980885583</v>
      </c>
      <c r="BJ6" s="16">
        <f t="shared" si="29"/>
        <v>460.42758611241965</v>
      </c>
      <c r="BK6" s="16">
        <f t="shared" si="30"/>
        <v>9.1718642651876419</v>
      </c>
      <c r="BL6" s="16">
        <f t="shared" si="12"/>
        <v>8.9121516498194032E-3</v>
      </c>
      <c r="BM6" s="18">
        <f>T6-'Без ПКМ'!B6</f>
        <v>-33.393231801633419</v>
      </c>
      <c r="BN6" s="19">
        <f>AY6-'Без ПКМ'!H6</f>
        <v>12.299858533014799</v>
      </c>
      <c r="BO6" s="17"/>
      <c r="BP6" s="17"/>
    </row>
    <row r="7" spans="1:70" x14ac:dyDescent="0.35">
      <c r="A7" s="16">
        <v>-10</v>
      </c>
      <c r="B7" s="7">
        <f>0.151140511695727*[14]syngas_streams_zaryad!$E$2</f>
        <v>1.3573138274869692</v>
      </c>
      <c r="C7" s="7">
        <f>[14]gas_streams_zaryad!$E$13</f>
        <v>0.5344533240201389</v>
      </c>
      <c r="D7" s="17">
        <f>[14]electric_zaryad!$E$5</f>
        <v>31.92110362104518</v>
      </c>
      <c r="E7" s="17">
        <f>[14]GTU_input_zaryad!$B$3</f>
        <v>0.8011341805929133</v>
      </c>
      <c r="F7" s="17">
        <f>[14]electric_zaryad!$C$5</f>
        <v>132.71588835702201</v>
      </c>
      <c r="G7" s="17">
        <f>[14]electric_zaryad!$B$7</f>
        <v>42.428754598975907</v>
      </c>
      <c r="H7" s="17">
        <f>[14]electric_zaryad!$C$12</f>
        <v>4.5316549194728058E-2</v>
      </c>
      <c r="I7" s="17">
        <f>[14]electric_zaryad!$C$6</f>
        <v>6.2314808784765594</v>
      </c>
      <c r="J7" s="17">
        <f>[14]electric_zaryad!$C$2</f>
        <v>2.068015934813928</v>
      </c>
      <c r="K7" s="17">
        <f>[14]heaters_zaryad!$B$9</f>
        <v>95.249873931687858</v>
      </c>
      <c r="L7" s="17">
        <f>[14]heaters_zaryad!$B$8</f>
        <v>35.824709720388427</v>
      </c>
      <c r="M7" s="17">
        <f>[14]heaters_zaryad!$B$10</f>
        <v>8.3158290872785905</v>
      </c>
      <c r="N7" s="17">
        <f t="shared" si="0"/>
        <v>139.39041273935487</v>
      </c>
      <c r="O7" s="17">
        <f>[14]heaters_zaryad!$B$17/1000</f>
        <v>28.620804175347942</v>
      </c>
      <c r="P7" s="18">
        <f>[14]heaters_zaryad!$B$11/1000</f>
        <v>25.909443264898819</v>
      </c>
      <c r="Q7" s="17">
        <f>[14]gas_streams_zaryad!$E$4</f>
        <v>10.260002060476801</v>
      </c>
      <c r="R7" s="17">
        <f>[29]!PropsSI("H","P",[14]gas_streams_zaryad!$C$4*10^6,"T",[14]gas_streams_zaryad!$B$4+273.15,"REFPROP::"&amp;[29]!MixtureString($R$16:$R$20,$S$16:$S$20))/1000-[29]!PropsSI("H","P",[14]gas_streams_zaryad!$C$4*10^6,"T",S17+273.15,"REFPROP::"&amp;[29]!MixtureString($R$16:$R$20,$S$16:$S$20))/1000</f>
        <v>1246.4115417513406</v>
      </c>
      <c r="S7" s="19">
        <f t="shared" si="13"/>
        <v>12.788184986570819</v>
      </c>
      <c r="T7" s="17">
        <f t="shared" si="1"/>
        <v>165.40175437281249</v>
      </c>
      <c r="U7" s="16">
        <f t="shared" si="14"/>
        <v>168.0112169147028</v>
      </c>
      <c r="V7" s="16">
        <f t="shared" si="15"/>
        <v>26.829556865810975</v>
      </c>
      <c r="W7" s="16">
        <f t="shared" si="2"/>
        <v>68.137154139845862</v>
      </c>
      <c r="X7" s="20">
        <f t="shared" si="3"/>
        <v>0.59847550058209242</v>
      </c>
      <c r="Y7" s="20">
        <f t="shared" si="16"/>
        <v>0.62830545426216289</v>
      </c>
      <c r="Z7" s="20">
        <f t="shared" si="4"/>
        <v>0.7716749494028754</v>
      </c>
      <c r="AA7" s="20">
        <f t="shared" si="17"/>
        <v>0.97340509286233579</v>
      </c>
      <c r="AB7" s="20">
        <f t="shared" si="5"/>
        <v>0.62330147991337359</v>
      </c>
      <c r="AC7" s="20">
        <f t="shared" si="18"/>
        <v>0.80427540200323866</v>
      </c>
      <c r="AD7" s="16">
        <f t="shared" si="19"/>
        <v>510.7289287929018</v>
      </c>
      <c r="AE7" s="16">
        <f t="shared" si="20"/>
        <v>10.173883043683302</v>
      </c>
      <c r="AF7" s="7">
        <f>[14]syngas_streams_razryad!$E$10</f>
        <v>1.0811111111111109</v>
      </c>
      <c r="AG7" s="7">
        <f>[14]syngas_streams_razryad!$E$9</f>
        <v>2.2045624987878698</v>
      </c>
      <c r="AH7" s="17">
        <f>[14]accumulation_razryad!$E$3</f>
        <v>23.54273504191962</v>
      </c>
      <c r="AI7" s="17">
        <f>[14]electric_razryad!$E$5</f>
        <v>34.086911016241331</v>
      </c>
      <c r="AJ7" s="17">
        <f>[14]GTU_input_razryad!$B$3</f>
        <v>1</v>
      </c>
      <c r="AK7" s="17">
        <f>[14]electric_razryad!$C$5</f>
        <v>165.66</v>
      </c>
      <c r="AL7" s="17">
        <f>[14]electric_razryad!$B$7</f>
        <v>52.211884607183507</v>
      </c>
      <c r="AM7" s="17">
        <f>[14]electric_razryad!$C$12</f>
        <v>0.12579382769901959</v>
      </c>
      <c r="AN7" s="17">
        <f>[14]electric_razryad!$C$6</f>
        <v>6.3013810203264402</v>
      </c>
      <c r="AO7" s="17">
        <f>[14]electric_razryad!$C$2</f>
        <v>0.67644431360819834</v>
      </c>
      <c r="AP7" s="17">
        <f>[14]electric_razryad!$B$13</f>
        <v>31304.371981576129</v>
      </c>
      <c r="AQ7" s="17">
        <f>[14]electric_razryad!$B$14</f>
        <v>46969.794386349182</v>
      </c>
      <c r="AR7" s="17">
        <f>[14]heaters_razryad!$B$9</f>
        <v>89.660079442300585</v>
      </c>
      <c r="AS7" s="17">
        <f>[14]heaters_razryad!$B$8</f>
        <v>46.082022464117777</v>
      </c>
      <c r="AT7" s="17">
        <f>[14]heaters_razryad!$B$10</f>
        <v>7.9256329816331874</v>
      </c>
      <c r="AU7" s="17">
        <f t="shared" si="6"/>
        <v>143.66773488805154</v>
      </c>
      <c r="AV7" s="17">
        <f>[14]heaters_razryad!$B$18/1000</f>
        <v>24.333679118510567</v>
      </c>
      <c r="AW7" s="18">
        <f t="shared" si="7"/>
        <v>209.16159831306197</v>
      </c>
      <c r="AX7" s="17">
        <f t="shared" si="8"/>
        <v>14.891809971691364</v>
      </c>
      <c r="AY7" s="19">
        <f t="shared" si="9"/>
        <v>224.05340828475335</v>
      </c>
      <c r="AZ7" s="19">
        <f t="shared" si="10"/>
        <v>168.0014140065621</v>
      </c>
      <c r="BA7" s="16">
        <f t="shared" si="21"/>
        <v>485.99299573102496</v>
      </c>
      <c r="BB7" s="16">
        <f t="shared" si="22"/>
        <v>51.901430792315061</v>
      </c>
      <c r="BC7" s="20">
        <f t="shared" si="11"/>
        <v>0.61100252373430775</v>
      </c>
      <c r="BD7" s="20">
        <f t="shared" si="23"/>
        <v>0.61100252373430775</v>
      </c>
      <c r="BE7" s="20">
        <f t="shared" si="24"/>
        <v>0.72599674542714709</v>
      </c>
      <c r="BF7" s="20">
        <f t="shared" si="25"/>
        <v>0.54018949923442261</v>
      </c>
      <c r="BG7" s="20">
        <f t="shared" si="26"/>
        <v>0.755768935295132</v>
      </c>
      <c r="BH7" s="20">
        <f t="shared" si="27"/>
        <v>0.60572490072272056</v>
      </c>
      <c r="BI7" s="20">
        <f t="shared" si="28"/>
        <v>0.72886946389340135</v>
      </c>
      <c r="BJ7" s="16">
        <f t="shared" si="29"/>
        <v>460.54068329126073</v>
      </c>
      <c r="BK7" s="16">
        <f t="shared" si="30"/>
        <v>9.1741171970370665</v>
      </c>
      <c r="BL7" s="16">
        <f t="shared" si="12"/>
        <v>5.8346748036924153E-3</v>
      </c>
      <c r="BM7" s="18">
        <f>T7-'Без ПКМ'!B7</f>
        <v>-33.431100949962598</v>
      </c>
      <c r="BN7" s="19">
        <f>AY7-'Без ПКМ'!H7</f>
        <v>11.752833313376442</v>
      </c>
      <c r="BO7" s="17"/>
      <c r="BP7" s="17"/>
    </row>
    <row r="8" spans="1:70" x14ac:dyDescent="0.35">
      <c r="A8" s="16">
        <v>-5</v>
      </c>
      <c r="B8" s="7">
        <f>0.151140511695727*[15]syngas_streams_zaryad!$E$2</f>
        <v>1.3573096268465741</v>
      </c>
      <c r="C8" s="7">
        <f>[15]gas_streams_zaryad!$E$13</f>
        <v>0.53394220549657145</v>
      </c>
      <c r="D8" s="17">
        <f>[15]electric_zaryad!$E$5</f>
        <v>31.826955124044421</v>
      </c>
      <c r="E8" s="17">
        <f>[15]GTU_input_zaryad!$B$3</f>
        <v>0.79635805344723476</v>
      </c>
      <c r="F8" s="17">
        <f>[15]electric_zaryad!$C$5</f>
        <v>131.92467513406891</v>
      </c>
      <c r="G8" s="17">
        <f>[15]electric_zaryad!$B$7</f>
        <v>44.386817809084178</v>
      </c>
      <c r="H8" s="17">
        <f>[15]electric_zaryad!$C$12</f>
        <v>4.5394478927505047E-2</v>
      </c>
      <c r="I8" s="17">
        <f>[15]electric_zaryad!$C$6</f>
        <v>6.2298020984530664</v>
      </c>
      <c r="J8" s="17">
        <f>[15]electric_zaryad!$C$2</f>
        <v>1.9283794221568571</v>
      </c>
      <c r="K8" s="17">
        <f>[15]heaters_zaryad!$B$9</f>
        <v>88.388061586893286</v>
      </c>
      <c r="L8" s="17">
        <f>[15]heaters_zaryad!$B$8</f>
        <v>42.853799154155382</v>
      </c>
      <c r="M8" s="17">
        <f>[15]heaters_zaryad!$B$10</f>
        <v>7.712680030754318</v>
      </c>
      <c r="N8" s="17">
        <f t="shared" si="0"/>
        <v>138.95454077180298</v>
      </c>
      <c r="O8" s="17">
        <f>[15]heaters_zaryad!$B$17/1000</f>
        <v>28.846277892689479</v>
      </c>
      <c r="P8" s="18">
        <f>[15]heaters_zaryad!$B$11/1000</f>
        <v>25.925599608297283</v>
      </c>
      <c r="Q8" s="17">
        <f>[15]gas_streams_zaryad!$E$4</f>
        <v>10.25019002101654</v>
      </c>
      <c r="R8" s="17">
        <f>[29]!PropsSI("H","P",[15]gas_streams_zaryad!$C$4*10^6,"T",[15]gas_streams_zaryad!$B$4+273.15,"REFPROP::"&amp;[29]!MixtureString($R$16:$R$20,$S$16:$S$20))/1000-[29]!PropsSI("H","P",[15]gas_streams_zaryad!$C$4*10^6,"T",S18+273.15,"REFPROP::"&amp;[29]!MixtureString($R$16:$R$20,$S$16:$S$20))/1000</f>
        <v>1246.5891221948264</v>
      </c>
      <c r="S8" s="19">
        <f t="shared" si="13"/>
        <v>12.777775380629176</v>
      </c>
      <c r="T8" s="17">
        <f t="shared" si="1"/>
        <v>166.66032050430897</v>
      </c>
      <c r="U8" s="16">
        <f t="shared" si="14"/>
        <v>167.80081866449245</v>
      </c>
      <c r="V8" s="16">
        <f t="shared" si="15"/>
        <v>26.80389871592789</v>
      </c>
      <c r="W8" s="16">
        <f t="shared" si="2"/>
        <v>68.13694326769803</v>
      </c>
      <c r="X8" s="20">
        <f t="shared" si="3"/>
        <v>0.60482441847992396</v>
      </c>
      <c r="Y8" s="20">
        <f t="shared" si="16"/>
        <v>0.6351293403789009</v>
      </c>
      <c r="Z8" s="20">
        <f t="shared" si="4"/>
        <v>0.77592548777820181</v>
      </c>
      <c r="AA8" s="20">
        <f t="shared" si="17"/>
        <v>0.97616622710900969</v>
      </c>
      <c r="AB8" s="20">
        <f t="shared" si="5"/>
        <v>0.63059067815721181</v>
      </c>
      <c r="AC8" s="20">
        <f t="shared" si="18"/>
        <v>0.808356742428328</v>
      </c>
      <c r="AD8" s="16">
        <f t="shared" si="19"/>
        <v>509.44695675300045</v>
      </c>
      <c r="AE8" s="16">
        <f>AD8/$R$14</f>
        <v>10.148345752051801</v>
      </c>
      <c r="AF8" s="7">
        <f>[15]syngas_streams_razryad!$E$10</f>
        <v>1.0811111111111109</v>
      </c>
      <c r="AG8" s="7">
        <f>[15]syngas_streams_razryad!$E$9</f>
        <v>2.2045624987878698</v>
      </c>
      <c r="AH8" s="17">
        <f>[15]accumulation_razryad!$E$3</f>
        <v>23.54273504191962</v>
      </c>
      <c r="AI8" s="17">
        <f>[15]electric_razryad!$E$5</f>
        <v>34.061064584346838</v>
      </c>
      <c r="AJ8" s="17">
        <f>[15]GTU_input_razryad!$B$3</f>
        <v>1</v>
      </c>
      <c r="AK8" s="17">
        <f>[15]electric_razryad!$C$5</f>
        <v>165.66</v>
      </c>
      <c r="AL8" s="17">
        <f>[15]electric_razryad!$B$7</f>
        <v>54.266549200256627</v>
      </c>
      <c r="AM8" s="17">
        <f>[15]electric_razryad!$C$12</f>
        <v>0.13026796717489281</v>
      </c>
      <c r="AN8" s="17">
        <f>[15]electric_razryad!$C$6</f>
        <v>6.3013810203264402</v>
      </c>
      <c r="AO8" s="17">
        <f>[15]electric_razryad!$C$2</f>
        <v>0.68688229213264651</v>
      </c>
      <c r="AP8" s="17">
        <f>[15]electric_razryad!$B$13</f>
        <v>31328.42233743042</v>
      </c>
      <c r="AQ8" s="17">
        <f>[15]electric_razryad!$B$14</f>
        <v>47004.269980704878</v>
      </c>
      <c r="AR8" s="17">
        <f>[15]heaters_razryad!$B$9</f>
        <v>80.715960720388722</v>
      </c>
      <c r="AS8" s="17">
        <f>[15]heaters_razryad!$B$8</f>
        <v>55.11950570887668</v>
      </c>
      <c r="AT8" s="17">
        <f>[15]heaters_razryad!$B$10</f>
        <v>7.1159962827015768</v>
      </c>
      <c r="AU8" s="17">
        <f t="shared" si="6"/>
        <v>142.951462711967</v>
      </c>
      <c r="AV8" s="17">
        <f>[15]heaters_razryad!$B$18/1000</f>
        <v>24.843686457817743</v>
      </c>
      <c r="AW8" s="18">
        <f t="shared" si="7"/>
        <v>211.13917837973005</v>
      </c>
      <c r="AX8" s="17">
        <f t="shared" si="8"/>
        <v>14.901688844598056</v>
      </c>
      <c r="AY8" s="19">
        <f t="shared" si="9"/>
        <v>226.04086722432811</v>
      </c>
      <c r="AZ8" s="19">
        <f t="shared" si="10"/>
        <v>167.79514916978474</v>
      </c>
      <c r="BA8" s="16">
        <f t="shared" si="21"/>
        <v>486.36178000182355</v>
      </c>
      <c r="BB8" s="16">
        <f t="shared" si="22"/>
        <v>51.901430792315061</v>
      </c>
      <c r="BC8" s="20">
        <f t="shared" si="11"/>
        <v>0.61483062025046087</v>
      </c>
      <c r="BD8" s="20">
        <f t="shared" si="23"/>
        <v>0.61483062025046087</v>
      </c>
      <c r="BE8" s="20">
        <f t="shared" si="24"/>
        <v>0.72803961094634007</v>
      </c>
      <c r="BF8" s="20">
        <f t="shared" si="25"/>
        <v>0.55073655292097357</v>
      </c>
      <c r="BG8" s="20">
        <f t="shared" si="26"/>
        <v>0.76578573452932264</v>
      </c>
      <c r="BH8" s="20">
        <f t="shared" si="27"/>
        <v>0.61014940460246314</v>
      </c>
      <c r="BI8" s="20">
        <f t="shared" si="28"/>
        <v>0.73167923888585684</v>
      </c>
      <c r="BJ8" s="16">
        <f t="shared" si="29"/>
        <v>460.90946756205932</v>
      </c>
      <c r="BK8" s="16">
        <f>BJ8/$R$14</f>
        <v>9.181463497252178</v>
      </c>
      <c r="BL8" s="16">
        <f t="shared" si="12"/>
        <v>3.3787050342426604E-3</v>
      </c>
      <c r="BM8" s="18">
        <f>T8-'Без ПКМ'!B8</f>
        <v>-33.047889422432121</v>
      </c>
      <c r="BN8" s="19">
        <f>AY8-'Без ПКМ'!H8</f>
        <v>11.627461646178205</v>
      </c>
      <c r="BO8" s="17"/>
      <c r="BP8" s="17"/>
    </row>
    <row r="9" spans="1:70" x14ac:dyDescent="0.35">
      <c r="A9" s="16">
        <v>0</v>
      </c>
      <c r="B9" s="7">
        <f>0.151140511695727*[16]syngas_streams_zaryad!$E$2</f>
        <v>1.3573128857265244</v>
      </c>
      <c r="C9" s="7">
        <f>[16]gas_streams_zaryad!$E$13</f>
        <v>0.53324176972692894</v>
      </c>
      <c r="D9" s="17">
        <f>[16]electric_zaryad!$E$5</f>
        <v>31.73308500389226</v>
      </c>
      <c r="E9" s="17">
        <f>[16]GTU_input_zaryad!$B$3</f>
        <v>0.79305837522360789</v>
      </c>
      <c r="F9" s="17">
        <f>[16]electric_zaryad!$C$5</f>
        <v>130.3031391177648</v>
      </c>
      <c r="G9" s="17">
        <f>[16]electric_zaryad!$B$7</f>
        <v>45.783509334891008</v>
      </c>
      <c r="H9" s="17">
        <f>[16]electric_zaryad!$C$12</f>
        <v>4.528386039323555E-2</v>
      </c>
      <c r="I9" s="17">
        <f>[16]electric_zaryad!$C$6</f>
        <v>6.226361556520029</v>
      </c>
      <c r="J9" s="17">
        <f>[16]electric_zaryad!$C$2</f>
        <v>1.899223696104968</v>
      </c>
      <c r="K9" s="17">
        <f>[16]heaters_zaryad!$B$9</f>
        <v>80.770397340015776</v>
      </c>
      <c r="L9" s="17">
        <f>[16]heaters_zaryad!$B$8</f>
        <v>50.747606712158131</v>
      </c>
      <c r="M9" s="17">
        <f>[16]heaters_zaryad!$B$10</f>
        <v>7.0309140815239362</v>
      </c>
      <c r="N9" s="17">
        <f t="shared" si="0"/>
        <v>138.54891813369787</v>
      </c>
      <c r="O9" s="17">
        <f>[16]heaters_zaryad!$B$17/1000</f>
        <v>29.044073374398021</v>
      </c>
      <c r="P9" s="18">
        <f>[16]heaters_zaryad!$B$11/1000</f>
        <v>25.948025455860211</v>
      </c>
      <c r="Q9" s="17">
        <f>[16]gas_streams_zaryad!$E$4</f>
        <v>10.23674362239429</v>
      </c>
      <c r="R9" s="17">
        <f>[29]!PropsSI("H","P",[16]gas_streams_zaryad!$C$4*10^6,"T",[16]gas_streams_zaryad!$B$4+273.15,"REFPROP::"&amp;[29]!MixtureString($R$16:$R$20,$S$16:$S$20))/1000-[29]!PropsSI("H","P",[16]gas_streams_zaryad!$C$4*10^6,"T",S19+273.15,"REFPROP::"&amp;[29]!MixtureString($R$16:$R$20,$S$16:$S$20))/1000</f>
        <v>1246.7478520836039</v>
      </c>
      <c r="S9" s="19">
        <f t="shared" si="13"/>
        <v>12.762638123550611</v>
      </c>
      <c r="T9" s="17">
        <f t="shared" si="1"/>
        <v>166.42841300535827</v>
      </c>
      <c r="U9" s="16">
        <f t="shared" si="14"/>
        <v>167.59299150809588</v>
      </c>
      <c r="V9" s="16">
        <f t="shared" si="15"/>
        <v>26.768736840291833</v>
      </c>
      <c r="W9" s="16">
        <f t="shared" si="2"/>
        <v>68.13710686347153</v>
      </c>
      <c r="X9" s="20">
        <f t="shared" si="3"/>
        <v>0.61170402545695535</v>
      </c>
      <c r="Y9" s="20">
        <f t="shared" si="16"/>
        <v>0.64285862955507822</v>
      </c>
      <c r="Z9" s="20">
        <f t="shared" si="4"/>
        <v>0.78161806984240567</v>
      </c>
      <c r="AA9" s="20">
        <f t="shared" si="17"/>
        <v>0.97857716229540392</v>
      </c>
      <c r="AB9" s="20">
        <f t="shared" si="5"/>
        <v>0.63868094904344286</v>
      </c>
      <c r="AC9" s="20">
        <f t="shared" si="18"/>
        <v>0.81375312696140478</v>
      </c>
      <c r="AD9" s="16">
        <f t="shared" si="19"/>
        <v>505.52819290738574</v>
      </c>
      <c r="AE9" s="16">
        <f t="shared" si="20"/>
        <v>10.070282727238759</v>
      </c>
      <c r="AF9" s="7">
        <f>[16]syngas_streams_razryad!$E$10</f>
        <v>1.0811111111111109</v>
      </c>
      <c r="AG9" s="7">
        <f>[16]syngas_streams_razryad!$E$9</f>
        <v>2.2045624987878698</v>
      </c>
      <c r="AH9" s="17">
        <f>[16]accumulation_razryad!$E$3</f>
        <v>23.54273504191962</v>
      </c>
      <c r="AI9" s="17">
        <f>[16]electric_razryad!$E$5</f>
        <v>34.012096926621403</v>
      </c>
      <c r="AJ9" s="17">
        <f>[16]GTU_input_razryad!$B$3</f>
        <v>1</v>
      </c>
      <c r="AK9" s="17">
        <f>[16]electric_razryad!$C$5</f>
        <v>164.30459999999999</v>
      </c>
      <c r="AL9" s="17">
        <f>[16]electric_razryad!$B$7</f>
        <v>55.411324057670107</v>
      </c>
      <c r="AM9" s="17">
        <f>[16]electric_razryad!$C$12</f>
        <v>0.13565771055147541</v>
      </c>
      <c r="AN9" s="17">
        <f>[16]electric_razryad!$C$6</f>
        <v>6.2985051603460569</v>
      </c>
      <c r="AO9" s="17">
        <f>[16]electric_razryad!$C$2</f>
        <v>0.69090684237077149</v>
      </c>
      <c r="AP9" s="17">
        <f>[16]electric_razryad!$B$13</f>
        <v>31352.515736200028</v>
      </c>
      <c r="AQ9" s="17">
        <f>[16]electric_razryad!$B$14</f>
        <v>47038.807270983983</v>
      </c>
      <c r="AR9" s="17">
        <f>[16]heaters_razryad!$B$9</f>
        <v>71.042772462778444</v>
      </c>
      <c r="AS9" s="17">
        <f>[16]heaters_razryad!$B$8</f>
        <v>64.967822630589311</v>
      </c>
      <c r="AT9" s="17">
        <f>[16]heaters_razryad!$B$10</f>
        <v>6.2257819387619051</v>
      </c>
      <c r="AU9" s="17">
        <f t="shared" si="6"/>
        <v>142.23637703212967</v>
      </c>
      <c r="AV9" s="17">
        <f>[16]heaters_razryad!$B$18/1000</f>
        <v>25.35422022616568</v>
      </c>
      <c r="AW9" s="18">
        <f t="shared" si="7"/>
        <v>210.88730492480502</v>
      </c>
      <c r="AX9" s="17">
        <f t="shared" si="8"/>
        <v>14.911585392832627</v>
      </c>
      <c r="AY9" s="19">
        <f t="shared" si="9"/>
        <v>225.79889031763764</v>
      </c>
      <c r="AZ9" s="19">
        <f t="shared" si="10"/>
        <v>167.59059725829536</v>
      </c>
      <c r="BA9" s="16">
        <f t="shared" si="21"/>
        <v>483.07694863529019</v>
      </c>
      <c r="BB9" s="16">
        <f t="shared" si="22"/>
        <v>51.901430792315061</v>
      </c>
      <c r="BC9" s="20">
        <f t="shared" si="11"/>
        <v>0.61872711905418454</v>
      </c>
      <c r="BD9" s="20">
        <f t="shared" si="23"/>
        <v>0.61872711905418454</v>
      </c>
      <c r="BE9" s="20">
        <f t="shared" si="24"/>
        <v>0.73098847493038488</v>
      </c>
      <c r="BF9" s="20">
        <f t="shared" si="25"/>
        <v>0.56170064857384838</v>
      </c>
      <c r="BG9" s="20">
        <f t="shared" si="26"/>
        <v>0.77581301718102891</v>
      </c>
      <c r="BH9" s="20">
        <f t="shared" si="27"/>
        <v>0.61460642208721772</v>
      </c>
      <c r="BI9" s="20">
        <f t="shared" si="28"/>
        <v>0.73533717006813648</v>
      </c>
      <c r="BJ9" s="16">
        <f t="shared" si="29"/>
        <v>457.62463619552597</v>
      </c>
      <c r="BK9" s="16">
        <f t="shared" si="30"/>
        <v>9.1160286094726288</v>
      </c>
      <c r="BL9" s="16">
        <f t="shared" si="12"/>
        <v>1.4286097401640372E-3</v>
      </c>
      <c r="BM9" s="18">
        <f>T9-'Без ПКМ'!B9</f>
        <v>-32.311065848740611</v>
      </c>
      <c r="BN9" s="19">
        <f>AY9-'Без ПКМ'!H9</f>
        <v>11.625293297297389</v>
      </c>
      <c r="BO9" s="17"/>
      <c r="BP9" s="17"/>
    </row>
    <row r="10" spans="1:70" x14ac:dyDescent="0.35">
      <c r="A10" s="16">
        <v>5</v>
      </c>
      <c r="B10" s="7">
        <f>0.151140511695727*[17]syngas_streams_zaryad!$E$2</f>
        <v>1.357308650890467</v>
      </c>
      <c r="C10" s="7">
        <f>[17]gas_streams_zaryad!$E$13</f>
        <v>0.53235951456671082</v>
      </c>
      <c r="D10" s="17">
        <f>[17]electric_zaryad!$E$5</f>
        <v>31.639608946072041</v>
      </c>
      <c r="E10" s="17">
        <f>[17]GTU_input_zaryad!$B$3</f>
        <v>0.79830806621350536</v>
      </c>
      <c r="F10" s="17">
        <f>[17]electric_zaryad!$C$5</f>
        <v>127.55893165283091</v>
      </c>
      <c r="G10" s="17">
        <f>[17]electric_zaryad!$B$7</f>
        <v>46.406416770496968</v>
      </c>
      <c r="H10" s="17">
        <f>[17]electric_zaryad!$C$12</f>
        <v>4.5424703862569263E-2</v>
      </c>
      <c r="I10" s="17">
        <f>[17]electric_zaryad!$C$6</f>
        <v>6.2205389532838824</v>
      </c>
      <c r="J10" s="17">
        <f>[17]electric_zaryad!$C$2</f>
        <v>1.960412597464485</v>
      </c>
      <c r="K10" s="17">
        <f>[17]heaters_zaryad!$B$9</f>
        <v>72.776780751953552</v>
      </c>
      <c r="L10" s="17">
        <f>[17]heaters_zaryad!$B$8</f>
        <v>59.092738858110472</v>
      </c>
      <c r="M10" s="17">
        <f>[17]heaters_zaryad!$B$10</f>
        <v>6.2989264907356111</v>
      </c>
      <c r="N10" s="17">
        <f t="shared" si="0"/>
        <v>138.16844610079966</v>
      </c>
      <c r="O10" s="17">
        <f>[17]heaters_zaryad!$B$17/1000</f>
        <v>29.219356138874438</v>
      </c>
      <c r="P10" s="18">
        <f>[17]heaters_zaryad!$B$11/1000</f>
        <v>25.976008765663838</v>
      </c>
      <c r="Q10" s="17">
        <f>[17]gas_streams_zaryad!$E$4</f>
        <v>10.219806802367399</v>
      </c>
      <c r="R10" s="17">
        <f>[29]!PropsSI("H","P",[17]gas_streams_zaryad!$C$4*10^6,"T",[17]gas_streams_zaryad!$B$4+273.15,"REFPROP::"&amp;[29]!MixtureString($R$16:$R$20,$S$16:$S$20))/1000-[29]!PropsSI("H","P",[17]gas_streams_zaryad!$C$4*10^6,"T",S20+273.15,"REFPROP::"&amp;[29]!MixtureString($R$16:$R$20,$S$16:$S$20))/1000</f>
        <v>1246.7504596517715</v>
      </c>
      <c r="S10" s="19">
        <f t="shared" si="13"/>
        <v>12.741548828403857</v>
      </c>
      <c r="T10" s="17">
        <f t="shared" si="1"/>
        <v>164.22916321431606</v>
      </c>
      <c r="U10" s="16">
        <f t="shared" si="14"/>
        <v>167.3878022396741</v>
      </c>
      <c r="V10" s="16">
        <f t="shared" si="15"/>
        <v>26.724447631248886</v>
      </c>
      <c r="W10" s="16">
        <f t="shared" si="2"/>
        <v>68.136894274701447</v>
      </c>
      <c r="X10" s="20">
        <f>T10/((100*F10)/D10-N10)</f>
        <v>0.61974738649689998</v>
      </c>
      <c r="Y10" s="20">
        <f t="shared" si="16"/>
        <v>0.65232621625312426</v>
      </c>
      <c r="Z10" s="20">
        <f t="shared" si="4"/>
        <v>0.78954240870748238</v>
      </c>
      <c r="AA10" s="20">
        <f t="shared" si="17"/>
        <v>0.98069509270277688</v>
      </c>
      <c r="AB10" s="20">
        <f t="shared" si="5"/>
        <v>0.64840450486812495</v>
      </c>
      <c r="AC10" s="20">
        <f t="shared" si="18"/>
        <v>0.82118756447809571</v>
      </c>
      <c r="AD10" s="16">
        <f t="shared" si="19"/>
        <v>498.02350446696056</v>
      </c>
      <c r="AE10" s="16">
        <f t="shared" si="20"/>
        <v>9.9207869415729188</v>
      </c>
      <c r="AF10" s="7">
        <f>[17]syngas_streams_razryad!$E$10</f>
        <v>1.0811111111111109</v>
      </c>
      <c r="AG10" s="7">
        <f>[17]syngas_streams_razryad!$E$9</f>
        <v>2.2058560438167678</v>
      </c>
      <c r="AH10" s="17">
        <f>[17]accumulation_razryad!$E$3</f>
        <v>23.533470091451669</v>
      </c>
      <c r="AI10" s="17">
        <f>[17]electric_razryad!$E$5</f>
        <v>33.830241541168107</v>
      </c>
      <c r="AJ10" s="17">
        <f>[17]GTU_input_razryad!$B$3</f>
        <v>1</v>
      </c>
      <c r="AK10" s="17">
        <f>[17]electric_razryad!$C$5</f>
        <v>159.78659999999999</v>
      </c>
      <c r="AL10" s="17">
        <f>[17]electric_razryad!$B$7</f>
        <v>55.092269029986909</v>
      </c>
      <c r="AM10" s="17">
        <f>[17]electric_razryad!$C$12</f>
        <v>0.1405552941493193</v>
      </c>
      <c r="AN10" s="17">
        <f>[17]electric_razryad!$C$6</f>
        <v>6.2889189604114444</v>
      </c>
      <c r="AO10" s="17">
        <f>[17]electric_razryad!$C$2</f>
        <v>0.68634011046711674</v>
      </c>
      <c r="AP10" s="17">
        <f>[17]electric_razryad!$B$13</f>
        <v>31381.683745781858</v>
      </c>
      <c r="AQ10" s="17">
        <f>[17]electric_razryad!$B$14</f>
        <v>47081.741869573241</v>
      </c>
      <c r="AR10" s="17">
        <f>[17]heaters_razryad!$B$9</f>
        <v>61.414011838648413</v>
      </c>
      <c r="AS10" s="17">
        <f>[17]heaters_razryad!$B$8</f>
        <v>74.780543448787114</v>
      </c>
      <c r="AT10" s="17">
        <f>[17]heaters_razryad!$B$10</f>
        <v>5.3232755179963709</v>
      </c>
      <c r="AU10" s="17">
        <f t="shared" si="6"/>
        <v>141.51783080543188</v>
      </c>
      <c r="AV10" s="17">
        <f>[17]heaters_razryad!$B$18/1000</f>
        <v>25.87003215293554</v>
      </c>
      <c r="AW10" s="18">
        <f t="shared" si="7"/>
        <v>206.06899215411241</v>
      </c>
      <c r="AX10" s="17">
        <f t="shared" si="8"/>
        <v>14.924655890993735</v>
      </c>
      <c r="AY10" s="19">
        <f t="shared" si="9"/>
        <v>220.99364804510614</v>
      </c>
      <c r="AZ10" s="19">
        <f t="shared" si="10"/>
        <v>167.38786295836744</v>
      </c>
      <c r="BA10" s="16">
        <f t="shared" si="21"/>
        <v>472.31882694527997</v>
      </c>
      <c r="BB10" s="16">
        <f t="shared" si="22"/>
        <v>51.911447233209806</v>
      </c>
      <c r="BC10" s="20">
        <f t="shared" si="11"/>
        <v>0.62293945471372025</v>
      </c>
      <c r="BD10" s="20">
        <f t="shared" si="23"/>
        <v>0.62293945471372025</v>
      </c>
      <c r="BE10" s="20">
        <f t="shared" si="24"/>
        <v>0.73591566359435767</v>
      </c>
      <c r="BF10" s="20">
        <f t="shared" si="25"/>
        <v>0.57311232300501203</v>
      </c>
      <c r="BG10" s="20">
        <f t="shared" si="26"/>
        <v>0.78585148783583325</v>
      </c>
      <c r="BH10" s="20">
        <f t="shared" si="27"/>
        <v>0.61930320246822812</v>
      </c>
      <c r="BI10" s="20">
        <f t="shared" si="28"/>
        <v>0.74086051518504537</v>
      </c>
      <c r="BJ10" s="16">
        <f t="shared" si="29"/>
        <v>446.87653094641053</v>
      </c>
      <c r="BK10" s="16">
        <f t="shared" si="30"/>
        <v>8.9019229272193332</v>
      </c>
      <c r="BL10" s="16">
        <f t="shared" si="12"/>
        <v>3.6274264027162138E-5</v>
      </c>
      <c r="BM10" s="18">
        <f>T10-'Без ПКМ'!B10</f>
        <v>-30.063281473254392</v>
      </c>
      <c r="BN10" s="19">
        <f>AY10-'Без ПКМ'!H10</f>
        <v>11.900176393750513</v>
      </c>
      <c r="BO10" s="17"/>
      <c r="BP10" s="17"/>
    </row>
    <row r="11" spans="1:70" x14ac:dyDescent="0.35">
      <c r="A11" s="16">
        <v>8</v>
      </c>
      <c r="B11" s="7">
        <f>0.151140511695727*[18]syngas_streams_zaryad!$E$2</f>
        <v>1.3573114448033095</v>
      </c>
      <c r="C11" s="7">
        <f>[18]gas_streams_zaryad!$E$13</f>
        <v>0.53172983374144744</v>
      </c>
      <c r="D11" s="17">
        <f>[18]electric_zaryad!$E$5</f>
        <v>31.515360130831031</v>
      </c>
      <c r="E11" s="17">
        <f>[18]GTU_input_zaryad!$B$3</f>
        <v>0.79806263098953356</v>
      </c>
      <c r="F11" s="17">
        <f>[18]electric_zaryad!$C$5</f>
        <v>125.3563262127858</v>
      </c>
      <c r="G11" s="17">
        <f>[18]electric_zaryad!$B$7</f>
        <v>46.261009593385573</v>
      </c>
      <c r="H11" s="17">
        <f>[18]electric_zaryad!$C$12</f>
        <v>4.5207987878274028E-2</v>
      </c>
      <c r="I11" s="17">
        <f>[18]electric_zaryad!$C$6</f>
        <v>6.2158655101397171</v>
      </c>
      <c r="J11" s="17">
        <f>[18]electric_zaryad!$C$2</f>
        <v>2.052315383226337</v>
      </c>
      <c r="K11" s="17">
        <f>[18]heaters_zaryad!$B$9</f>
        <v>70.716306489812737</v>
      </c>
      <c r="L11" s="17">
        <f>[18]heaters_zaryad!$B$8</f>
        <v>60.690808477986529</v>
      </c>
      <c r="M11" s="17">
        <f>[18]heaters_zaryad!$B$10</f>
        <v>6.0918174475111346</v>
      </c>
      <c r="N11" s="17">
        <f>K11+L11+M11</f>
        <v>137.49893241531041</v>
      </c>
      <c r="O11" s="17">
        <f>[18]heaters_zaryad!$B$17/1000</f>
        <v>29.2337383683934</v>
      </c>
      <c r="P11" s="18">
        <f>[18]heaters_zaryad!$B$11/1000</f>
        <v>25.996164957186537</v>
      </c>
      <c r="Q11" s="17">
        <f>[18]gas_streams_zaryad!$E$4</f>
        <v>10.207718699862861</v>
      </c>
      <c r="R11" s="17">
        <f>[29]!PropsSI("H","P",[18]gas_streams_zaryad!$C$4*10^6,"T",[18]gas_streams_zaryad!$B$4+273.15,"REFPROP::"&amp;[29]!MixtureString($R$16:$R$20,$S$16:$S$20))/1000-[29]!PropsSI("H","P",[18]gas_streams_zaryad!$C$4*10^6,"T",S21+273.15,"REFPROP::"&amp;[29]!MixtureString($R$16:$R$20,$S$16:$S$20))/1000</f>
        <v>896.4142916678345</v>
      </c>
      <c r="S11" s="19">
        <f>R11*Q11/1000</f>
        <v>9.1503449278820757</v>
      </c>
      <c r="T11" s="17">
        <f t="shared" si="1"/>
        <v>161.79267065660849</v>
      </c>
      <c r="U11" s="16">
        <f>N11+O11</f>
        <v>166.73267078370381</v>
      </c>
      <c r="V11" s="16">
        <f t="shared" si="15"/>
        <v>26.692837653820664</v>
      </c>
      <c r="W11" s="16">
        <f t="shared" si="2"/>
        <v>68.13703452912614</v>
      </c>
      <c r="X11" s="20">
        <f>T11/((100*F11)/D11-N11)</f>
        <v>0.62164900590452776</v>
      </c>
      <c r="Y11" s="20">
        <f t="shared" si="16"/>
        <v>0.66467044400449637</v>
      </c>
      <c r="Z11" s="20">
        <f>(T11+P11+N11)/((100*F11)/D11+S11)</f>
        <v>0.79940376882235953</v>
      </c>
      <c r="AA11" s="20">
        <f>(AF11+AG11)*AH11/(V11+W11-O11-S11+P11)</f>
        <v>0.93828129520783199</v>
      </c>
      <c r="AB11" s="20">
        <f>(T11)/((100*F11)/D11+$R$14*(B11+C11)-(AF11+AG11)*AH11-U11)</f>
        <v>0.65106118721528183</v>
      </c>
      <c r="AC11" s="20">
        <f>((AF11+AG11)*AH11+U11+T11)/((100*F11)/D11+$R$14*(B11+C11))</f>
        <v>0.8239652055489094</v>
      </c>
      <c r="AD11" s="16">
        <f t="shared" si="19"/>
        <v>492.59250504637868</v>
      </c>
      <c r="AE11" s="16">
        <f t="shared" si="20"/>
        <v>9.8125997021190958</v>
      </c>
      <c r="AF11" s="7">
        <f>[18]syngas_streams_razryad!$E$10</f>
        <v>1.0811111111111109</v>
      </c>
      <c r="AG11" s="7">
        <f>[18]syngas_streams_razryad!$E$9</f>
        <v>2.2069829412494109</v>
      </c>
      <c r="AH11" s="17">
        <f>[18]accumulation_razryad!$E$3</f>
        <v>23.525404687419758</v>
      </c>
      <c r="AI11" s="17">
        <f>[18]electric_razryad!$E$5</f>
        <v>33.701191319931901</v>
      </c>
      <c r="AJ11" s="17">
        <f>[18]GTU_input_razryad!$B$3</f>
        <v>1</v>
      </c>
      <c r="AK11" s="17">
        <f>[18]electric_razryad!$C$5</f>
        <v>157.07579999999999</v>
      </c>
      <c r="AL11" s="17">
        <f>[18]electric_razryad!$B$7</f>
        <v>54.865880911004098</v>
      </c>
      <c r="AM11" s="17">
        <f>[18]electric_razryad!$C$12</f>
        <v>0.14016985367415871</v>
      </c>
      <c r="AN11" s="17">
        <f>[18]electric_razryad!$C$6</f>
        <v>6.2831672404506769</v>
      </c>
      <c r="AO11" s="17">
        <f>[18]electric_razryad!$C$2</f>
        <v>0.68237407236820447</v>
      </c>
      <c r="AP11" s="17">
        <f>[18]electric_razryad!$B$13</f>
        <v>31400.577646319471</v>
      </c>
      <c r="AQ11" s="17">
        <f>[18]electric_razryad!$B$14</f>
        <v>47109.804080313108</v>
      </c>
      <c r="AR11" s="17">
        <f>[18]heaters_razryad!$B$9</f>
        <v>62.054081311791222</v>
      </c>
      <c r="AS11" s="17">
        <f>[18]heaters_razryad!$B$8</f>
        <v>73.340365465228459</v>
      </c>
      <c r="AT11" s="17">
        <f>[18]heaters_razryad!$B$10</f>
        <v>5.3551871695541884</v>
      </c>
      <c r="AU11" s="17">
        <f>AT11+AS11+AR11</f>
        <v>140.74963394657385</v>
      </c>
      <c r="AV11" s="17">
        <f>[18]heaters_razryad!$B$18/1000</f>
        <v>25.983537103332829</v>
      </c>
      <c r="AW11" s="18">
        <f t="shared" si="7"/>
        <v>203.14892889251303</v>
      </c>
      <c r="AX11" s="17">
        <f t="shared" si="8"/>
        <v>14.9333658253267</v>
      </c>
      <c r="AY11" s="19">
        <f t="shared" si="9"/>
        <v>218.08229471783972</v>
      </c>
      <c r="AZ11" s="19">
        <f>AU11+AV11</f>
        <v>166.73317104990667</v>
      </c>
      <c r="BA11" s="16">
        <f t="shared" si="21"/>
        <v>466.08382032803871</v>
      </c>
      <c r="BB11" s="16">
        <f t="shared" si="22"/>
        <v>51.920166831124334</v>
      </c>
      <c r="BC11" s="20">
        <f t="shared" si="11"/>
        <v>0.62443154576541904</v>
      </c>
      <c r="BD11" s="20">
        <f t="shared" si="23"/>
        <v>0.62443154576541904</v>
      </c>
      <c r="BE11" s="20">
        <f t="shared" si="24"/>
        <v>0.73784703059858303</v>
      </c>
      <c r="BF11" s="20">
        <f t="shared" si="25"/>
        <v>0.5757635429912995</v>
      </c>
      <c r="BG11" s="20">
        <f t="shared" si="26"/>
        <v>0.78807341012107968</v>
      </c>
      <c r="BH11" s="20">
        <f t="shared" si="27"/>
        <v>0.6208380677147094</v>
      </c>
      <c r="BI11" s="20">
        <f t="shared" si="28"/>
        <v>0.74288128143211996</v>
      </c>
      <c r="BJ11" s="16">
        <f t="shared" si="29"/>
        <v>440.65024392708381</v>
      </c>
      <c r="BK11" s="16">
        <f t="shared" si="30"/>
        <v>8.7778933053203936</v>
      </c>
      <c r="BL11" s="16">
        <f t="shared" si="12"/>
        <v>3.0004089811048979E-4</v>
      </c>
      <c r="BM11" s="18">
        <f>T11-'Без ПКМ'!B11</f>
        <v>-29.379790879127825</v>
      </c>
      <c r="BN11" s="19">
        <f>AY11-'Без ПКМ'!H11</f>
        <v>12.129211791066751</v>
      </c>
      <c r="BO11" s="17"/>
      <c r="BP11" s="17"/>
    </row>
    <row r="14" spans="1:70" x14ac:dyDescent="0.35">
      <c r="Q14" s="1" t="s">
        <v>54</v>
      </c>
      <c r="R14" s="17">
        <f>BP4</f>
        <v>50.2</v>
      </c>
      <c r="S14" s="3" t="s">
        <v>53</v>
      </c>
    </row>
    <row r="15" spans="1:70" x14ac:dyDescent="0.35">
      <c r="R15" s="1" t="s">
        <v>40</v>
      </c>
    </row>
    <row r="16" spans="1:70" x14ac:dyDescent="0.35">
      <c r="R16" s="1" t="s">
        <v>41</v>
      </c>
      <c r="S16" s="3">
        <v>0.71032059101601497</v>
      </c>
      <c r="BL16" s="16">
        <f>(BM16-BN16)*100</f>
        <v>-5.6785691057843257</v>
      </c>
      <c r="BM16" s="18">
        <v>0.57372723211363552</v>
      </c>
      <c r="BN16" s="16">
        <v>0.63051292317147878</v>
      </c>
    </row>
    <row r="17" spans="18:66" x14ac:dyDescent="0.35">
      <c r="R17" s="6" t="s">
        <v>44</v>
      </c>
      <c r="S17" s="3">
        <v>0.18053127301225799</v>
      </c>
      <c r="BL17" s="16">
        <f t="shared" ref="BL17:BL24" si="31">(BM17-BN17)*100</f>
        <v>-5.7944360366847025</v>
      </c>
      <c r="BM17" s="18">
        <v>0.58907277548209014</v>
      </c>
      <c r="BN17" s="16">
        <v>0.64701713584893716</v>
      </c>
    </row>
    <row r="18" spans="18:66" x14ac:dyDescent="0.35">
      <c r="R18" s="6" t="s">
        <v>43</v>
      </c>
      <c r="S18" s="3">
        <v>9.0538556815177001E-2</v>
      </c>
      <c r="BL18" s="16">
        <f t="shared" si="31"/>
        <v>-5.3871590582914681</v>
      </c>
      <c r="BM18" s="18">
        <v>0.60735037102610789</v>
      </c>
      <c r="BN18" s="16">
        <v>0.66122196160902258</v>
      </c>
    </row>
    <row r="19" spans="18:66" x14ac:dyDescent="0.35">
      <c r="R19" s="6" t="s">
        <v>42</v>
      </c>
      <c r="S19" s="3">
        <v>9.9671027033589304E-3</v>
      </c>
      <c r="BL19" s="16">
        <f t="shared" si="31"/>
        <v>-5.598567695477275</v>
      </c>
      <c r="BM19" s="18">
        <v>0.61531562954158259</v>
      </c>
      <c r="BN19" s="16">
        <v>0.67130130649635533</v>
      </c>
    </row>
    <row r="20" spans="18:66" x14ac:dyDescent="0.35">
      <c r="R20" s="1" t="s">
        <v>45</v>
      </c>
      <c r="S20" s="3">
        <v>8.6424764531917806E-3</v>
      </c>
      <c r="BL20" s="16">
        <f t="shared" si="31"/>
        <v>-5.7437788068307789</v>
      </c>
      <c r="BM20" s="18">
        <v>0.62330147991337359</v>
      </c>
      <c r="BN20" s="16">
        <v>0.68073926798168138</v>
      </c>
    </row>
    <row r="21" spans="18:66" x14ac:dyDescent="0.35">
      <c r="R21" s="1" t="s">
        <v>46</v>
      </c>
      <c r="S21" s="3">
        <v>60</v>
      </c>
      <c r="BL21" s="16">
        <f t="shared" si="31"/>
        <v>-5.7429762362583014</v>
      </c>
      <c r="BM21" s="18">
        <v>0.63059067815721181</v>
      </c>
      <c r="BN21" s="16">
        <v>0.68802044051979483</v>
      </c>
    </row>
    <row r="22" spans="18:66" x14ac:dyDescent="0.35">
      <c r="BL22" s="16">
        <f t="shared" si="31"/>
        <v>-5.6863535660444224</v>
      </c>
      <c r="BM22" s="18">
        <v>0.63868094904344286</v>
      </c>
      <c r="BN22" s="16">
        <v>0.69554448470388708</v>
      </c>
    </row>
    <row r="23" spans="18:66" x14ac:dyDescent="0.35">
      <c r="R23" s="1" t="s">
        <v>47</v>
      </c>
      <c r="S23" s="3">
        <f>[29]!PropsSI("Q","P",0.1*10^6,"T",S21+273.15,"REFPROP::"&amp;[29]!MixtureString($R$16:$R$20,$S$16:$S$20))</f>
        <v>998</v>
      </c>
      <c r="BL23" s="16">
        <f t="shared" si="31"/>
        <v>-5.5858020147443348</v>
      </c>
      <c r="BM23" s="18">
        <v>0.64840450486812495</v>
      </c>
      <c r="BN23" s="16">
        <v>0.7042625250155683</v>
      </c>
    </row>
    <row r="24" spans="18:66" x14ac:dyDescent="0.35">
      <c r="BL24" s="16">
        <f t="shared" si="31"/>
        <v>-5.6168002901386238</v>
      </c>
      <c r="BM24" s="18">
        <v>0.65106118721528183</v>
      </c>
      <c r="BN24" s="16">
        <v>0.70722919011666807</v>
      </c>
    </row>
    <row r="25" spans="18:66" x14ac:dyDescent="0.35">
      <c r="BL25" s="16">
        <f>AVERAGE(BL16:BL24)</f>
        <v>-5.6482714233615816</v>
      </c>
    </row>
    <row r="39" spans="18:20" x14ac:dyDescent="0.35">
      <c r="R39" s="6"/>
      <c r="S39" s="5"/>
      <c r="T39" s="6"/>
    </row>
  </sheetData>
  <mergeCells count="33">
    <mergeCell ref="AD1:AD2"/>
    <mergeCell ref="AE1:AE2"/>
    <mergeCell ref="BJ1:BJ2"/>
    <mergeCell ref="BK1:BK2"/>
    <mergeCell ref="BH1:BH2"/>
    <mergeCell ref="BI1:BI2"/>
    <mergeCell ref="BL1:BL2"/>
    <mergeCell ref="BM1:BM2"/>
    <mergeCell ref="BN1:BN2"/>
    <mergeCell ref="BG1:BG2"/>
    <mergeCell ref="AF1:AV1"/>
    <mergeCell ref="AW1:AW2"/>
    <mergeCell ref="AX1:AX2"/>
    <mergeCell ref="AY1:AY2"/>
    <mergeCell ref="AZ1:AZ2"/>
    <mergeCell ref="BA1:BA2"/>
    <mergeCell ref="BB1:BB2"/>
    <mergeCell ref="BC1:BC2"/>
    <mergeCell ref="BD1:BD2"/>
    <mergeCell ref="BE1:BE2"/>
    <mergeCell ref="BF1:BF2"/>
    <mergeCell ref="AC1:AC2"/>
    <mergeCell ref="A1:A2"/>
    <mergeCell ref="B1:O1"/>
    <mergeCell ref="T1:T2"/>
    <mergeCell ref="U1:U2"/>
    <mergeCell ref="V1:V2"/>
    <mergeCell ref="W1:W2"/>
    <mergeCell ref="X1:X2"/>
    <mergeCell ref="Y1:Y2"/>
    <mergeCell ref="Z1:Z2"/>
    <mergeCell ref="AA1:AA2"/>
    <mergeCell ref="AB1:AB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D5D9-FB45-439F-B4E0-95CA08E16843}">
  <dimension ref="A1:CB39"/>
  <sheetViews>
    <sheetView topLeftCell="AC1" zoomScale="85" zoomScaleNormal="85" workbookViewId="0">
      <selection activeCell="AI15" sqref="AI15"/>
    </sheetView>
  </sheetViews>
  <sheetFormatPr defaultColWidth="9.1796875" defaultRowHeight="15.5" x14ac:dyDescent="0.35"/>
  <cols>
    <col min="1" max="1" width="7.1796875" style="4" bestFit="1" customWidth="1"/>
    <col min="2" max="3" width="16.1796875" style="1" bestFit="1" customWidth="1"/>
    <col min="4" max="4" width="10.453125" style="1" bestFit="1" customWidth="1"/>
    <col min="5" max="5" width="7.54296875" style="1" bestFit="1" customWidth="1"/>
    <col min="6" max="6" width="7.453125" style="1" bestFit="1" customWidth="1"/>
    <col min="7" max="7" width="7.81640625" style="1" bestFit="1" customWidth="1"/>
    <col min="8" max="9" width="5.1796875" style="1" bestFit="1" customWidth="1"/>
    <col min="10" max="10" width="5.26953125" style="1" bestFit="1" customWidth="1"/>
    <col min="11" max="12" width="7.453125" style="1" bestFit="1" customWidth="1"/>
    <col min="13" max="13" width="6.453125" style="1" bestFit="1" customWidth="1"/>
    <col min="14" max="14" width="10.81640625" style="1" bestFit="1" customWidth="1"/>
    <col min="15" max="15" width="10.7265625" style="1" bestFit="1" customWidth="1"/>
    <col min="16" max="16" width="6.453125" style="2" bestFit="1" customWidth="1"/>
    <col min="17" max="17" width="11.453125" style="1" bestFit="1" customWidth="1"/>
    <col min="18" max="18" width="12.54296875" style="1" bestFit="1" customWidth="1"/>
    <col min="19" max="19" width="11.453125" style="3" bestFit="1" customWidth="1"/>
    <col min="20" max="20" width="13.453125" style="1" bestFit="1" customWidth="1"/>
    <col min="21" max="22" width="11.81640625" style="4" bestFit="1" customWidth="1"/>
    <col min="23" max="23" width="12.26953125" style="4" bestFit="1" customWidth="1"/>
    <col min="24" max="24" width="18.81640625" style="4" bestFit="1" customWidth="1"/>
    <col min="25" max="25" width="21.1796875" style="4" bestFit="1" customWidth="1"/>
    <col min="26" max="26" width="11.453125" style="4" bestFit="1" customWidth="1"/>
    <col min="27" max="27" width="21.54296875" style="4" bestFit="1" customWidth="1"/>
    <col min="28" max="28" width="31" style="4" bestFit="1" customWidth="1"/>
    <col min="29" max="29" width="21.453125" style="4" bestFit="1" customWidth="1"/>
    <col min="30" max="31" width="21.453125" style="4" customWidth="1"/>
    <col min="32" max="32" width="11.1796875" style="1" bestFit="1" customWidth="1"/>
    <col min="33" max="33" width="11.453125" style="1" bestFit="1" customWidth="1"/>
    <col min="34" max="34" width="7" style="1" bestFit="1" customWidth="1"/>
    <col min="35" max="35" width="10.453125" style="1" bestFit="1" customWidth="1"/>
    <col min="36" max="36" width="7.54296875" style="1" bestFit="1" customWidth="1"/>
    <col min="37" max="37" width="7.453125" style="1" bestFit="1" customWidth="1"/>
    <col min="38" max="38" width="7.81640625" style="1" bestFit="1" customWidth="1"/>
    <col min="39" max="40" width="5.1796875" style="1" bestFit="1" customWidth="1"/>
    <col min="41" max="41" width="5.26953125" style="1" bestFit="1" customWidth="1"/>
    <col min="42" max="42" width="12.81640625" style="1" bestFit="1" customWidth="1"/>
    <col min="43" max="43" width="11.26953125" style="1" bestFit="1" customWidth="1"/>
    <col min="44" max="45" width="7.453125" style="1" bestFit="1" customWidth="1"/>
    <col min="46" max="46" width="6.453125" style="1" bestFit="1" customWidth="1"/>
    <col min="47" max="47" width="10.81640625" style="1" bestFit="1" customWidth="1"/>
    <col min="48" max="48" width="8.54296875" style="1" bestFit="1" customWidth="1"/>
    <col min="49" max="49" width="14.453125" style="2" bestFit="1" customWidth="1"/>
    <col min="50" max="50" width="15.453125" style="1" bestFit="1" customWidth="1"/>
    <col min="51" max="51" width="14.81640625" style="3" bestFit="1" customWidth="1"/>
    <col min="52" max="52" width="11.81640625" style="3" bestFit="1" customWidth="1"/>
    <col min="53" max="54" width="11" style="4" bestFit="1" customWidth="1"/>
    <col min="55" max="55" width="18.81640625" style="4" bestFit="1" customWidth="1"/>
    <col min="56" max="56" width="21.1796875" style="4" bestFit="1" customWidth="1"/>
    <col min="57" max="57" width="11.453125" style="4" bestFit="1" customWidth="1"/>
    <col min="58" max="58" width="24.54296875" style="4" bestFit="1" customWidth="1"/>
    <col min="59" max="59" width="15.1796875" style="4" bestFit="1" customWidth="1"/>
    <col min="60" max="60" width="31" style="4" bestFit="1" customWidth="1"/>
    <col min="61" max="61" width="21.453125" style="4" bestFit="1" customWidth="1"/>
    <col min="62" max="63" width="21.453125" style="4" customWidth="1"/>
    <col min="64" max="64" width="13.1796875" style="4" bestFit="1" customWidth="1"/>
    <col min="65" max="65" width="11.26953125" style="2" bestFit="1" customWidth="1"/>
    <col min="66" max="66" width="12.453125" style="3" bestFit="1" customWidth="1"/>
    <col min="67" max="67" width="9.7265625" style="1" bestFit="1" customWidth="1"/>
    <col min="68" max="68" width="6.453125" style="1" bestFit="1" customWidth="1"/>
    <col min="69" max="16384" width="9.1796875" style="1"/>
  </cols>
  <sheetData>
    <row r="1" spans="1:80" ht="15.65" customHeight="1" x14ac:dyDescent="0.35">
      <c r="A1" s="45" t="s">
        <v>0</v>
      </c>
      <c r="B1" s="47" t="s">
        <v>7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9"/>
      <c r="P1" s="8"/>
      <c r="Q1" s="9"/>
      <c r="R1" s="9"/>
      <c r="S1" s="10"/>
      <c r="T1" s="49" t="s">
        <v>14</v>
      </c>
      <c r="U1" s="45" t="s">
        <v>17</v>
      </c>
      <c r="V1" s="45" t="s">
        <v>58</v>
      </c>
      <c r="W1" s="45" t="s">
        <v>59</v>
      </c>
      <c r="X1" s="45" t="s">
        <v>49</v>
      </c>
      <c r="Y1" s="45" t="s">
        <v>50</v>
      </c>
      <c r="Z1" s="45" t="s">
        <v>52</v>
      </c>
      <c r="AA1" s="45" t="s">
        <v>55</v>
      </c>
      <c r="AB1" s="45" t="s">
        <v>68</v>
      </c>
      <c r="AC1" s="45" t="s">
        <v>60</v>
      </c>
      <c r="AD1" s="52" t="s">
        <v>88</v>
      </c>
      <c r="AE1" s="52" t="s">
        <v>87</v>
      </c>
      <c r="AF1" s="47" t="s">
        <v>8</v>
      </c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9"/>
      <c r="AW1" s="47" t="s">
        <v>15</v>
      </c>
      <c r="AX1" s="48" t="s">
        <v>16</v>
      </c>
      <c r="AY1" s="49" t="s">
        <v>22</v>
      </c>
      <c r="AZ1" s="49" t="s">
        <v>17</v>
      </c>
      <c r="BA1" s="45" t="s">
        <v>62</v>
      </c>
      <c r="BB1" s="45" t="s">
        <v>61</v>
      </c>
      <c r="BC1" s="45" t="s">
        <v>49</v>
      </c>
      <c r="BD1" s="45" t="s">
        <v>50</v>
      </c>
      <c r="BE1" s="45" t="s">
        <v>52</v>
      </c>
      <c r="BF1" s="45" t="s">
        <v>63</v>
      </c>
      <c r="BG1" s="45" t="s">
        <v>64</v>
      </c>
      <c r="BH1" s="45" t="s">
        <v>68</v>
      </c>
      <c r="BI1" s="45" t="s">
        <v>60</v>
      </c>
      <c r="BJ1" s="52" t="s">
        <v>88</v>
      </c>
      <c r="BK1" s="52" t="s">
        <v>87</v>
      </c>
      <c r="BL1" s="45" t="s">
        <v>23</v>
      </c>
      <c r="BM1" s="47" t="s">
        <v>33</v>
      </c>
      <c r="BN1" s="49" t="s">
        <v>34</v>
      </c>
      <c r="BO1" s="11" t="s">
        <v>11</v>
      </c>
      <c r="BP1" s="11">
        <v>0.95</v>
      </c>
      <c r="BR1" s="1" t="s">
        <v>66</v>
      </c>
    </row>
    <row r="2" spans="1:80" ht="16" thickBot="1" x14ac:dyDescent="0.4">
      <c r="A2" s="46"/>
      <c r="B2" s="12" t="s">
        <v>57</v>
      </c>
      <c r="C2" s="12" t="s">
        <v>56</v>
      </c>
      <c r="D2" s="12" t="s">
        <v>27</v>
      </c>
      <c r="E2" s="12" t="s">
        <v>1</v>
      </c>
      <c r="F2" s="12" t="s">
        <v>2</v>
      </c>
      <c r="G2" s="12" t="s">
        <v>3</v>
      </c>
      <c r="H2" s="12" t="s">
        <v>4</v>
      </c>
      <c r="I2" s="12" t="s">
        <v>5</v>
      </c>
      <c r="J2" s="12" t="s">
        <v>6</v>
      </c>
      <c r="K2" s="12" t="s">
        <v>18</v>
      </c>
      <c r="L2" s="12" t="s">
        <v>19</v>
      </c>
      <c r="M2" s="12" t="s">
        <v>36</v>
      </c>
      <c r="N2" s="12" t="s">
        <v>35</v>
      </c>
      <c r="O2" s="12" t="s">
        <v>20</v>
      </c>
      <c r="P2" s="13" t="s">
        <v>37</v>
      </c>
      <c r="Q2" s="12" t="s">
        <v>38</v>
      </c>
      <c r="R2" s="12" t="s">
        <v>39</v>
      </c>
      <c r="S2" s="14" t="s">
        <v>48</v>
      </c>
      <c r="T2" s="50"/>
      <c r="U2" s="46"/>
      <c r="V2" s="46"/>
      <c r="W2" s="46"/>
      <c r="X2" s="46"/>
      <c r="Y2" s="46"/>
      <c r="Z2" s="46"/>
      <c r="AA2" s="46"/>
      <c r="AB2" s="46"/>
      <c r="AC2" s="46"/>
      <c r="AD2" s="53" t="s">
        <v>86</v>
      </c>
      <c r="AE2" s="53"/>
      <c r="AF2" s="12" t="s">
        <v>24</v>
      </c>
      <c r="AG2" s="12" t="s">
        <v>25</v>
      </c>
      <c r="AH2" s="12" t="s">
        <v>26</v>
      </c>
      <c r="AI2" s="12" t="s">
        <v>27</v>
      </c>
      <c r="AJ2" s="12" t="s">
        <v>1</v>
      </c>
      <c r="AK2" s="12" t="s">
        <v>2</v>
      </c>
      <c r="AL2" s="12" t="s">
        <v>3</v>
      </c>
      <c r="AM2" s="12" t="s">
        <v>4</v>
      </c>
      <c r="AN2" s="12" t="s">
        <v>5</v>
      </c>
      <c r="AO2" s="12" t="s">
        <v>6</v>
      </c>
      <c r="AP2" s="15" t="s">
        <v>9</v>
      </c>
      <c r="AQ2" s="15" t="s">
        <v>10</v>
      </c>
      <c r="AR2" s="12" t="s">
        <v>18</v>
      </c>
      <c r="AS2" s="12" t="s">
        <v>19</v>
      </c>
      <c r="AT2" s="12" t="s">
        <v>36</v>
      </c>
      <c r="AU2" s="12" t="s">
        <v>35</v>
      </c>
      <c r="AV2" s="15" t="s">
        <v>21</v>
      </c>
      <c r="AW2" s="51"/>
      <c r="AX2" s="54"/>
      <c r="AY2" s="50"/>
      <c r="AZ2" s="50"/>
      <c r="BA2" s="46"/>
      <c r="BB2" s="46"/>
      <c r="BC2" s="46"/>
      <c r="BD2" s="46"/>
      <c r="BE2" s="46"/>
      <c r="BF2" s="46"/>
      <c r="BG2" s="46"/>
      <c r="BH2" s="46"/>
      <c r="BI2" s="46"/>
      <c r="BJ2" s="53" t="s">
        <v>86</v>
      </c>
      <c r="BK2" s="53"/>
      <c r="BL2" s="46"/>
      <c r="BM2" s="51"/>
      <c r="BN2" s="50"/>
      <c r="BO2" s="11" t="s">
        <v>12</v>
      </c>
      <c r="BP2" s="11">
        <v>0.99</v>
      </c>
      <c r="BR2" s="1" t="s">
        <v>67</v>
      </c>
    </row>
    <row r="3" spans="1:80" x14ac:dyDescent="0.35">
      <c r="A3" s="16">
        <v>-29</v>
      </c>
      <c r="B3" s="7">
        <f>0.151140511695727*[19]syngas_streams_zaryad!$E$2</f>
        <v>1.8097389517879936</v>
      </c>
      <c r="C3" s="7">
        <f>[19]gas_streams_zaryad!$E$13</f>
        <v>0.71116685454431994</v>
      </c>
      <c r="D3" s="17">
        <f>[19]electric_zaryad!$E$5</f>
        <v>30.452624003549261</v>
      </c>
      <c r="E3" s="17">
        <f>[19]GTU_input_zaryad!$B$3</f>
        <v>0.69480218425926021</v>
      </c>
      <c r="F3" s="17">
        <f>[19]electric_zaryad!$C$5</f>
        <v>115.100929844389</v>
      </c>
      <c r="G3" s="17">
        <f>[19]electric_zaryad!$B$7</f>
        <v>30.933051544978241</v>
      </c>
      <c r="H3" s="17">
        <f>[19]electric_zaryad!$C$12</f>
        <v>4.4554993332421119E-2</v>
      </c>
      <c r="I3" s="17">
        <f>[19]electric_zaryad!$C$6</f>
        <v>6.1941058200121946</v>
      </c>
      <c r="J3" s="17">
        <f>[19]electric_zaryad!$C$2</f>
        <v>2.587841917640596</v>
      </c>
      <c r="K3" s="17">
        <f>[19]heaters_zaryad!$B$9</f>
        <v>95.729385314188406</v>
      </c>
      <c r="L3" s="17">
        <f>[19]heaters_zaryad!$B$8</f>
        <v>17.214316843686831</v>
      </c>
      <c r="M3" s="17">
        <f>[19]heaters_zaryad!$B$10</f>
        <v>7.8378461649447768</v>
      </c>
      <c r="N3" s="17">
        <f t="shared" ref="N3:N10" si="0">K3+L3+M3</f>
        <v>120.78154832282002</v>
      </c>
      <c r="O3" s="17">
        <f>[19]heaters_zaryad!$B$17/1000</f>
        <v>36.433017945101462</v>
      </c>
      <c r="P3" s="18">
        <f>[19]heaters_zaryad!$B$11/1000</f>
        <v>34.591334113016273</v>
      </c>
      <c r="Q3" s="17">
        <f>[19]gas_streams_zaryad!$E$4</f>
        <v>13.652405299087601</v>
      </c>
      <c r="R3" s="17">
        <f>[29]!PropsSI("H","P",[19]gas_streams_zaryad!$C$4*10^6,"T",[19]gas_streams_zaryad!$B$4+273.15,"REFPROP::"&amp;[29]!MixtureString($R$16:$R$20,$S$16:$S$20))/1000-[29]!PropsSI("H","P",[19]gas_streams_zaryad!$C$4*10^6,"T",S13+273.15,"REFPROP::"&amp;[29]!MixtureString($R$16:$R$20,$S$16:$S$20))/1000</f>
        <v>1246.7674708223194</v>
      </c>
      <c r="S3" s="19">
        <f t="shared" ref="S3:S10" si="1">R3*Q3/1000</f>
        <v>17.021374825384679</v>
      </c>
      <c r="T3" s="17">
        <f t="shared" ref="T3:T11" si="2">F3+G3*$BP$2*$BP$3-H3/$BP$1/$BP$2-I3-J3/$BP$1/$BP$2</f>
        <v>136.11913718198772</v>
      </c>
      <c r="U3" s="16">
        <f>N3+O3</f>
        <v>157.21456626792147</v>
      </c>
      <c r="V3" s="16">
        <f>C3*$R$14</f>
        <v>35.700576098124863</v>
      </c>
      <c r="W3" s="16">
        <f t="shared" ref="W3:W10" si="3">B3*$R$14</f>
        <v>90.84889537975728</v>
      </c>
      <c r="X3" s="20">
        <f t="shared" ref="X3:X9" si="4">T3/((100*F3)/D3-N3)</f>
        <v>0.5292641212244632</v>
      </c>
      <c r="Y3" s="20">
        <f t="shared" ref="Y3:Y11" si="5">T3/((100*F3)/D3-N3-P3+S3)</f>
        <v>0.56807271937666282</v>
      </c>
      <c r="Z3" s="20">
        <f t="shared" ref="Z3:Z10" si="6">(T3+P3+N3)/((100*F3)/D3+S3)</f>
        <v>0.73797582824956565</v>
      </c>
      <c r="AA3" s="20">
        <f t="shared" ref="AA3:AA11" si="7">(AF3+AG3)*AH3/(V3+W3-O3-S3+P3)</f>
        <v>0.95776543770142974</v>
      </c>
      <c r="AB3" s="20">
        <f t="shared" ref="AB3:AB11" si="8">(T3)/((100*F3)/D3+$R$14*(B3+C3)-(AF3+AG3)*AH3-U3)</f>
        <v>0.55749111299036869</v>
      </c>
      <c r="AC3" s="20">
        <f t="shared" ref="AC3:AC11" si="9">((AF3+AG3)*AH3+U3+T3)/((100*F3)/D3+$R$14*(B3+C3))</f>
        <v>0.78584524809329015</v>
      </c>
      <c r="AD3" s="16">
        <f>(100*F3)/D3+$R$14*(B3+C3)</f>
        <v>504.51667007125775</v>
      </c>
      <c r="AE3" s="16">
        <f>AD3/$R$14</f>
        <v>10.050132869945372</v>
      </c>
      <c r="AF3" s="7">
        <f>[19]syngas_streams_razryad!$E$10</f>
        <v>1.0811111111111109</v>
      </c>
      <c r="AG3" s="7">
        <f>[19]syngas_streams_razryad!$E$9</f>
        <v>3.2997870354208629</v>
      </c>
      <c r="AH3" s="17">
        <f>[19]accumulation_razryad!$E$3</f>
        <v>23.54273504191962</v>
      </c>
      <c r="AI3" s="17">
        <f>[19]electric_razryad!$E$5</f>
        <v>34.07583168780608</v>
      </c>
      <c r="AJ3" s="17">
        <f>[19]GTU_input_razryad!$B$3</f>
        <v>1</v>
      </c>
      <c r="AK3" s="17">
        <f>[19]electric_razryad!$C$5</f>
        <v>165.66</v>
      </c>
      <c r="AL3" s="17">
        <f>[19]electric_razryad!$B$7</f>
        <v>44.050113971134323</v>
      </c>
      <c r="AM3" s="17">
        <f>[19]electric_razryad!$C$12</f>
        <v>0.17052232115415961</v>
      </c>
      <c r="AN3" s="17">
        <f>[19]electric_razryad!$C$6</f>
        <v>6.3013810203264402</v>
      </c>
      <c r="AO3" s="17">
        <f>[19]electric_razryad!$C$2</f>
        <v>0.99949824150008271</v>
      </c>
      <c r="AP3" s="17">
        <f>[19]electric_razryad!$B$13</f>
        <v>46778.792791445863</v>
      </c>
      <c r="AQ3" s="17">
        <f>[19]electric_razryad!$B$14</f>
        <v>70193.160472000105</v>
      </c>
      <c r="AR3" s="17">
        <f>[19]heaters_razryad!$B$9</f>
        <v>91.866391547914262</v>
      </c>
      <c r="AS3" s="17">
        <f>[19]heaters_razryad!$B$8</f>
        <v>23.826863724290821</v>
      </c>
      <c r="AT3" s="17">
        <f>[19]heaters_razryad!$B$10</f>
        <v>7.6594562593142186</v>
      </c>
      <c r="AU3" s="17">
        <f t="shared" ref="AU3:AU10" si="10">AT3+AS3+AR3</f>
        <v>123.3527115315193</v>
      </c>
      <c r="AV3" s="17">
        <f>[19]heaters_razryad!$B$18/1000</f>
        <v>33.847514915620501</v>
      </c>
      <c r="AW3" s="18">
        <f>AK3+AL3*$BP$2*$BP$3-AM3/$BP$1/$BP$2-AN3-AO3/$BP$1/$BP$2</f>
        <v>200.85199855217755</v>
      </c>
      <c r="AX3" s="17">
        <f t="shared" ref="AX3:AX11" si="11">(-AP3/1000/$BP$2+AQ3/1000)*$BP$2*$BP$3</f>
        <v>22.258187354317553</v>
      </c>
      <c r="AY3" s="19">
        <f t="shared" ref="AY3:AY10" si="12">AW3+AX3</f>
        <v>223.1101859064951</v>
      </c>
      <c r="AZ3" s="19">
        <f t="shared" ref="AZ3:AZ10" si="13">AU3+AV3</f>
        <v>157.20022644713981</v>
      </c>
      <c r="BA3" s="16">
        <f>(100*AK3)/AI3</f>
        <v>486.15101024601216</v>
      </c>
      <c r="BB3" s="16">
        <f>AG3*AH3</f>
        <v>77.686011869674815</v>
      </c>
      <c r="BC3" s="20">
        <f t="shared" ref="BC3:BC11" si="14">AW3/((100*AK3)/AI3-AU3)</f>
        <v>0.55361890963617699</v>
      </c>
      <c r="BD3" s="20">
        <f>AW3/(BA3-AU3)</f>
        <v>0.55361890963617699</v>
      </c>
      <c r="BE3" s="20">
        <f>(AW3+AU3)/(BA3)</f>
        <v>0.66688066722238448</v>
      </c>
      <c r="BF3" s="20">
        <f>AX3/(BB3-AV3)</f>
        <v>0.5077315350853755</v>
      </c>
      <c r="BG3" s="20">
        <f>(AX3+AV3)/(BB3)</f>
        <v>0.72221112809935906</v>
      </c>
      <c r="BH3" s="20">
        <f>AY3/(BB3+BA3-AZ3)</f>
        <v>0.5486719064360176</v>
      </c>
      <c r="BI3" s="20">
        <f>(AY3+AZ3)/(BA3+BB3)</f>
        <v>0.67450415179655154</v>
      </c>
      <c r="BJ3" s="16">
        <f>BA3-AF3*AH3</f>
        <v>460.69869780624794</v>
      </c>
      <c r="BK3" s="16">
        <f>BJ3/$R$14</f>
        <v>9.1772648965388033</v>
      </c>
      <c r="BL3" s="16">
        <f t="shared" ref="BL3:BL11" si="15">ABS(AZ3-U3)/U3*100</f>
        <v>9.1211782229006777E-3</v>
      </c>
      <c r="BM3" s="18">
        <f>T3-'Без ПКМ'!B3</f>
        <v>-38.945118323126536</v>
      </c>
      <c r="BN3" s="19">
        <f>AY3-'Без ПКМ'!H3</f>
        <v>17.972496317584927</v>
      </c>
      <c r="BO3" s="11" t="s">
        <v>13</v>
      </c>
      <c r="BP3" s="11">
        <v>0.98</v>
      </c>
      <c r="BR3" s="1" t="s">
        <v>65</v>
      </c>
    </row>
    <row r="4" spans="1:80" x14ac:dyDescent="0.35">
      <c r="A4" s="16">
        <v>-25</v>
      </c>
      <c r="B4" s="7">
        <f>0.151140511695727*[20]syngas_streams_zaryad!$E$2</f>
        <v>1.8097478355340479</v>
      </c>
      <c r="C4" s="7">
        <f>[20]gas_streams_zaryad!$E$13</f>
        <v>0.71179635712151301</v>
      </c>
      <c r="D4" s="17">
        <f>[20]electric_zaryad!$E$5</f>
        <v>31.138984395053079</v>
      </c>
      <c r="E4" s="17">
        <f>[20]GTU_input_zaryad!$B$3</f>
        <v>0.7466406630312914</v>
      </c>
      <c r="F4" s="17">
        <f>[20]electric_zaryad!$C$5</f>
        <v>123.6884922377637</v>
      </c>
      <c r="G4" s="17">
        <f>[20]electric_zaryad!$B$7</f>
        <v>32.8827487516646</v>
      </c>
      <c r="H4" s="17">
        <f>[20]electric_zaryad!$C$12</f>
        <v>4.5370607446721938E-2</v>
      </c>
      <c r="I4" s="17">
        <f>[20]electric_zaryad!$C$6</f>
        <v>6.2123267341454058</v>
      </c>
      <c r="J4" s="17">
        <f>[20]electric_zaryad!$C$2</f>
        <v>2.5704854406649602</v>
      </c>
      <c r="K4" s="17">
        <f>[20]heaters_zaryad!$B$9</f>
        <v>99.914308030773768</v>
      </c>
      <c r="L4" s="17">
        <f>[20]heaters_zaryad!$B$8</f>
        <v>18.64256111232886</v>
      </c>
      <c r="M4" s="17">
        <f>[20]heaters_zaryad!$B$10</f>
        <v>8.4419812946116082</v>
      </c>
      <c r="N4" s="17">
        <f t="shared" si="0"/>
        <v>126.99885043771424</v>
      </c>
      <c r="O4" s="17">
        <f>[20]heaters_zaryad!$B$17/1000</f>
        <v>36.804291931202975</v>
      </c>
      <c r="P4" s="18">
        <f>[20]heaters_zaryad!$B$11/1000</f>
        <v>34.571553057120674</v>
      </c>
      <c r="Q4" s="17">
        <f>[20]gas_streams_zaryad!$E$4</f>
        <v>13.66448997973005</v>
      </c>
      <c r="R4" s="17">
        <f>[29]!PropsSI("H","P",[20]gas_streams_zaryad!$C$4*10^6,"T",[20]gas_streams_zaryad!$B$4+273.15,"REFPROP::"&amp;[29]!MixtureString($R$16:$R$20,$S$16:$S$20))/1000-[29]!PropsSI("H","P",[20]gas_streams_zaryad!$C$4*10^6,"T",R14+273.15,"REFPROP::"&amp;[29]!MixtureString($R$16:$R$20,$S$16:$S$20))/1000</f>
        <v>1005.1820610676375</v>
      </c>
      <c r="S4" s="19">
        <f t="shared" si="1"/>
        <v>13.735300201263131</v>
      </c>
      <c r="T4" s="17">
        <f t="shared" si="2"/>
        <v>146.59766219882388</v>
      </c>
      <c r="U4" s="16">
        <f t="shared" ref="U4:U10" si="16">N4+O4</f>
        <v>163.80314236891721</v>
      </c>
      <c r="V4" s="16">
        <f t="shared" ref="V4:V11" si="17">C4*$R$14</f>
        <v>35.732177127499952</v>
      </c>
      <c r="W4" s="16">
        <f t="shared" si="3"/>
        <v>90.849341343809215</v>
      </c>
      <c r="X4" s="20">
        <f t="shared" si="4"/>
        <v>0.54252143624485161</v>
      </c>
      <c r="Y4" s="20">
        <f t="shared" si="5"/>
        <v>0.58785045704233818</v>
      </c>
      <c r="Z4" s="20">
        <f t="shared" si="6"/>
        <v>0.74989264271664446</v>
      </c>
      <c r="AA4" s="20">
        <f t="shared" si="7"/>
        <v>0.93242093886436883</v>
      </c>
      <c r="AB4" s="20">
        <f t="shared" si="8"/>
        <v>0.57074242025422373</v>
      </c>
      <c r="AC4" s="20">
        <f t="shared" si="9"/>
        <v>0.78950448087802061</v>
      </c>
      <c r="AD4" s="16">
        <f t="shared" ref="AD4:AD11" si="18">(100*F4)/D4+$R$14*(B4+C4)</f>
        <v>523.79579710209703</v>
      </c>
      <c r="AE4" s="16">
        <f t="shared" ref="AE4:AE11" si="19">AD4/$R$14</f>
        <v>10.434179225141374</v>
      </c>
      <c r="AF4" s="7">
        <f>[20]syngas_streams_razryad!$E$10</f>
        <v>1.0811111111111109</v>
      </c>
      <c r="AG4" s="7">
        <f>[20]syngas_streams_razryad!$E$9</f>
        <v>3.2997870354208629</v>
      </c>
      <c r="AH4" s="17">
        <f>[20]accumulation_razryad!$E$3</f>
        <v>23.54273504191962</v>
      </c>
      <c r="AI4" s="17">
        <f>[20]electric_razryad!$E$5</f>
        <v>34.082383064645562</v>
      </c>
      <c r="AJ4" s="17">
        <f>[20]GTU_input_razryad!$B$3</f>
        <v>1</v>
      </c>
      <c r="AK4" s="17">
        <f>[20]electric_razryad!$C$5</f>
        <v>165.66</v>
      </c>
      <c r="AL4" s="17">
        <f>[20]electric_razryad!$B$7</f>
        <v>45.912917377624687</v>
      </c>
      <c r="AM4" s="17">
        <f>[20]electric_razryad!$C$12</f>
        <v>0.16687188131889169</v>
      </c>
      <c r="AN4" s="17">
        <f>[20]electric_razryad!$C$6</f>
        <v>6.3013810203264402</v>
      </c>
      <c r="AO4" s="17">
        <f>[20]electric_razryad!$C$2</f>
        <v>0.95593913148242637</v>
      </c>
      <c r="AP4" s="17">
        <f>[20]electric_razryad!$B$13</f>
        <v>46805.650471372763</v>
      </c>
      <c r="AQ4" s="17">
        <f>[20]electric_razryad!$B$14</f>
        <v>70231.660312158536</v>
      </c>
      <c r="AR4" s="17">
        <f>[20]heaters_razryad!$B$9</f>
        <v>95.996761822824112</v>
      </c>
      <c r="AS4" s="17">
        <f>[20]heaters_razryad!$B$8</f>
        <v>25.36534451136432</v>
      </c>
      <c r="AT4" s="17">
        <f>[20]heaters_razryad!$B$10</f>
        <v>8.25184262227509</v>
      </c>
      <c r="AU4" s="17">
        <f t="shared" si="10"/>
        <v>129.61394895646353</v>
      </c>
      <c r="AV4" s="17">
        <f>[20]heaters_razryad!$B$18/1000</f>
        <v>34.175183802657841</v>
      </c>
      <c r="AW4" s="18">
        <f t="shared" ref="AW3:AW11" si="20">AK4+AL4*$BP$2*$BP$3-AM4/$BP$1/$BP$2-AN4-AO4/$BP$1/$BP$2</f>
        <v>202.70948664241013</v>
      </c>
      <c r="AX4" s="17">
        <f t="shared" si="11"/>
        <v>22.269219372910904</v>
      </c>
      <c r="AY4" s="19">
        <f t="shared" si="12"/>
        <v>224.97870601532102</v>
      </c>
      <c r="AZ4" s="19">
        <f t="shared" si="13"/>
        <v>163.78913275912137</v>
      </c>
      <c r="BA4" s="16">
        <f t="shared" ref="BA4:BA11" si="21">(100*AK4)/AI4</f>
        <v>486.0575614263397</v>
      </c>
      <c r="BB4" s="16">
        <f t="shared" ref="BB4:BB11" si="22">AG4*AH4</f>
        <v>77.686011869674815</v>
      </c>
      <c r="BC4" s="20">
        <f t="shared" si="14"/>
        <v>0.5687000118694554</v>
      </c>
      <c r="BD4" s="20">
        <f t="shared" ref="BD4:BD11" si="23">AW4/(BA4-AU4)</f>
        <v>0.5687000118694554</v>
      </c>
      <c r="BE4" s="20">
        <f t="shared" ref="BE4:BE11" si="24">(AW4+AU4)/(BA4)</f>
        <v>0.68371209908486541</v>
      </c>
      <c r="BF4" s="20">
        <f t="shared" ref="BF4:BF11" si="25">AX4/(BB4-AV4)</f>
        <v>0.51180867756897286</v>
      </c>
      <c r="BG4" s="20">
        <f t="shared" ref="BG4:BG11" si="26">(AX4+AV4)/(BB4)</f>
        <v>0.726570998010031</v>
      </c>
      <c r="BH4" s="20">
        <f t="shared" ref="BH4:BH11" si="27">AY4/(BB4+BA4-AZ4)</f>
        <v>0.56251083426730497</v>
      </c>
      <c r="BI4" s="20">
        <f t="shared" ref="BI4:BI11" si="28">(AY4+AZ4)/(BA4+BB4)</f>
        <v>0.68961821861923978</v>
      </c>
      <c r="BJ4" s="16">
        <f t="shared" ref="BJ4:BJ11" si="29">BA4-AF4*AH4</f>
        <v>460.60524898657548</v>
      </c>
      <c r="BK4" s="16">
        <f t="shared" ref="BK4:BK11" si="30">BJ4/$R$14</f>
        <v>9.175403366266444</v>
      </c>
      <c r="BL4" s="16">
        <f t="shared" si="15"/>
        <v>8.5527112564681169E-3</v>
      </c>
      <c r="BM4" s="18">
        <f>T4-'Без ПКМ'!B4</f>
        <v>-40.859558472925187</v>
      </c>
      <c r="BN4" s="19">
        <f>AY4-'Без ПКМ'!H4</f>
        <v>19.850594010706487</v>
      </c>
      <c r="BO4" s="17" t="s">
        <v>28</v>
      </c>
      <c r="BP4" s="17">
        <v>50.2</v>
      </c>
      <c r="BR4" s="1" t="s">
        <v>31</v>
      </c>
    </row>
    <row r="5" spans="1:80" x14ac:dyDescent="0.35">
      <c r="A5" s="16">
        <v>-20</v>
      </c>
      <c r="B5" s="7">
        <f>0.151140511695727*[21]syngas_streams_zaryad!$E$2</f>
        <v>1.8097467594850216</v>
      </c>
      <c r="C5" s="7">
        <f>[21]gas_streams_zaryad!$E$13</f>
        <v>0.71196943258744461</v>
      </c>
      <c r="D5" s="17">
        <f>[21]electric_zaryad!$E$5</f>
        <v>31.60833630360203</v>
      </c>
      <c r="E5" s="17">
        <f>[21]GTU_input_zaryad!$B$3</f>
        <v>0.77936866286876294</v>
      </c>
      <c r="F5" s="17">
        <f>[21]electric_zaryad!$C$5</f>
        <v>129.11021269083929</v>
      </c>
      <c r="G5" s="17">
        <f>[21]electric_zaryad!$B$7</f>
        <v>35.45395799005653</v>
      </c>
      <c r="H5" s="17">
        <f>[21]electric_zaryad!$C$12</f>
        <v>4.5141605718147293E-2</v>
      </c>
      <c r="I5" s="17">
        <f>[21]electric_zaryad!$C$6</f>
        <v>6.2238304296418097</v>
      </c>
      <c r="J5" s="17">
        <f>[21]electric_zaryad!$C$2</f>
        <v>2.2797799773862408</v>
      </c>
      <c r="K5" s="17">
        <f>[21]heaters_zaryad!$B$9</f>
        <v>100.56379823483459</v>
      </c>
      <c r="L5" s="17">
        <f>[21]heaters_zaryad!$B$8</f>
        <v>21.980273923143599</v>
      </c>
      <c r="M5" s="17">
        <f>[21]heaters_zaryad!$B$10</f>
        <v>8.6886914567165707</v>
      </c>
      <c r="N5" s="17">
        <f t="shared" si="0"/>
        <v>131.23276361469476</v>
      </c>
      <c r="O5" s="17">
        <f>[21]heaters_zaryad!$B$17/1000</f>
        <v>37.246713942470322</v>
      </c>
      <c r="P5" s="18">
        <f>[21]heaters_zaryad!$B$11/1000</f>
        <v>34.566003133843296</v>
      </c>
      <c r="Q5" s="17">
        <f>[21]gas_streams_zaryad!$E$4</f>
        <v>13.667812542351079</v>
      </c>
      <c r="R5" s="17">
        <f>[29]!PropsSI("H","P",[21]gas_streams_zaryad!$C$4*10^6,"T",[21]gas_streams_zaryad!$B$4+273.15,"REFPROP::"&amp;[29]!MixtureString($R$16:$R$20,$S$16:$S$20))/1000-[29]!PropsSI("H","P",[21]gas_streams_zaryad!$C$4*10^6,"T",S15+273.15,"REFPROP::"&amp;[29]!MixtureString($R$16:$R$20,$S$16:$S$20))/1000</f>
        <v>1246.7674708223194</v>
      </c>
      <c r="S5" s="19">
        <f t="shared" si="1"/>
        <v>17.040584075100629</v>
      </c>
      <c r="T5" s="17">
        <f t="shared" si="2"/>
        <v>154.81180636683516</v>
      </c>
      <c r="U5" s="16">
        <f t="shared" si="16"/>
        <v>168.47947755716507</v>
      </c>
      <c r="V5" s="16">
        <f t="shared" si="17"/>
        <v>35.740865515889723</v>
      </c>
      <c r="W5" s="16">
        <f t="shared" si="3"/>
        <v>90.849287326148087</v>
      </c>
      <c r="X5" s="20">
        <f t="shared" si="4"/>
        <v>0.55841142381925557</v>
      </c>
      <c r="Y5" s="20">
        <f t="shared" si="5"/>
        <v>0.59609333241281448</v>
      </c>
      <c r="Z5" s="20">
        <f t="shared" si="6"/>
        <v>0.75347462544935606</v>
      </c>
      <c r="AA5" s="20">
        <f t="shared" si="7"/>
        <v>0.96509241588109396</v>
      </c>
      <c r="AB5" s="20">
        <f t="shared" si="8"/>
        <v>0.58765218465126401</v>
      </c>
      <c r="AC5" s="20">
        <f t="shared" si="9"/>
        <v>0.79697677012308477</v>
      </c>
      <c r="AD5" s="16">
        <f t="shared" si="18"/>
        <v>535.05901830436244</v>
      </c>
      <c r="AE5" s="16">
        <f t="shared" si="19"/>
        <v>10.658546181361801</v>
      </c>
      <c r="AF5" s="7">
        <f>[21]syngas_streams_razryad!$E$10</f>
        <v>1.0811111111111109</v>
      </c>
      <c r="AG5" s="7">
        <f>[21]syngas_streams_razryad!$E$9</f>
        <v>3.2997870354208629</v>
      </c>
      <c r="AH5" s="17">
        <f>[21]accumulation_razryad!$E$3</f>
        <v>23.54273504191962</v>
      </c>
      <c r="AI5" s="17">
        <f>[21]electric_razryad!$E$5</f>
        <v>34.091218921592109</v>
      </c>
      <c r="AJ5" s="17">
        <f>[21]GTU_input_razryad!$B$3</f>
        <v>1</v>
      </c>
      <c r="AK5" s="17">
        <f>[21]electric_razryad!$C$5</f>
        <v>165.66</v>
      </c>
      <c r="AL5" s="17">
        <f>[21]electric_razryad!$B$7</f>
        <v>48.809767748233462</v>
      </c>
      <c r="AM5" s="17">
        <f>[21]electric_razryad!$C$12</f>
        <v>0.16593015716324261</v>
      </c>
      <c r="AN5" s="17">
        <f>[21]electric_razryad!$C$6</f>
        <v>6.3013810203264402</v>
      </c>
      <c r="AO5" s="17">
        <f>[21]electric_razryad!$C$2</f>
        <v>0.87000125653966087</v>
      </c>
      <c r="AP5" s="17">
        <f>[21]electric_razryad!$B$13</f>
        <v>46839.268921184201</v>
      </c>
      <c r="AQ5" s="17">
        <f>[21]electric_razryad!$B$14</f>
        <v>70279.851547881801</v>
      </c>
      <c r="AR5" s="17">
        <f>[21]heaters_razryad!$B$9</f>
        <v>95.098019616850024</v>
      </c>
      <c r="AS5" s="17">
        <f>[21]heaters_razryad!$B$8</f>
        <v>30.083149783016641</v>
      </c>
      <c r="AT5" s="17">
        <f>[21]heaters_razryad!$B$10</f>
        <v>8.3526005737814533</v>
      </c>
      <c r="AU5" s="17">
        <f t="shared" si="10"/>
        <v>133.53376997364813</v>
      </c>
      <c r="AV5" s="17">
        <f>[21]heaters_razryad!$B$18/1000</f>
        <v>34.93565108968393</v>
      </c>
      <c r="AW5" s="18">
        <f t="shared" si="20"/>
        <v>205.61238684124476</v>
      </c>
      <c r="AX5" s="17">
        <f t="shared" si="11"/>
        <v>22.28302842899441</v>
      </c>
      <c r="AY5" s="19">
        <f t="shared" si="12"/>
        <v>227.89541527023917</v>
      </c>
      <c r="AZ5" s="19">
        <f t="shared" si="13"/>
        <v>168.46942106333205</v>
      </c>
      <c r="BA5" s="16">
        <f t="shared" si="21"/>
        <v>485.93158367557555</v>
      </c>
      <c r="BB5" s="16">
        <f t="shared" si="22"/>
        <v>77.686011869674815</v>
      </c>
      <c r="BC5" s="20">
        <f t="shared" si="14"/>
        <v>0.58346669260315043</v>
      </c>
      <c r="BD5" s="20">
        <f t="shared" si="23"/>
        <v>0.58346669260315043</v>
      </c>
      <c r="BE5" s="20">
        <f t="shared" si="24"/>
        <v>0.6979298489914959</v>
      </c>
      <c r="BF5" s="20">
        <f t="shared" si="25"/>
        <v>0.52123603222136738</v>
      </c>
      <c r="BG5" s="20">
        <f t="shared" si="26"/>
        <v>0.73653773879740103</v>
      </c>
      <c r="BH5" s="20">
        <f t="shared" si="27"/>
        <v>0.57673407088121942</v>
      </c>
      <c r="BI5" s="20">
        <f t="shared" si="28"/>
        <v>0.70325135245311698</v>
      </c>
      <c r="BJ5" s="16">
        <f t="shared" si="29"/>
        <v>460.47927123581132</v>
      </c>
      <c r="BK5" s="16">
        <f t="shared" si="30"/>
        <v>9.1728938493189496</v>
      </c>
      <c r="BL5" s="16">
        <f t="shared" si="15"/>
        <v>5.9689725887280623E-3</v>
      </c>
      <c r="BM5" s="18">
        <f>T5-'Без ПКМ'!B5</f>
        <v>-43.040220632537483</v>
      </c>
      <c r="BN5" s="19">
        <f>AY5-'Без ПКМ'!H5</f>
        <v>20.946055758894147</v>
      </c>
      <c r="BO5" s="17"/>
      <c r="BP5" s="17"/>
      <c r="BT5" s="44"/>
      <c r="CB5" s="44"/>
    </row>
    <row r="6" spans="1:80" x14ac:dyDescent="0.35">
      <c r="A6" s="16">
        <v>-15</v>
      </c>
      <c r="B6" s="7">
        <f>0.151140511695727*[22]syngas_streams_zaryad!$E$2</f>
        <v>1.8097507610934864</v>
      </c>
      <c r="C6" s="7">
        <f>[22]gas_streams_zaryad!$E$13</f>
        <v>0.71134089611197371</v>
      </c>
      <c r="D6" s="17">
        <f>[22]electric_zaryad!$E$5</f>
        <v>31.460844339217282</v>
      </c>
      <c r="E6" s="17">
        <f>[22]GTU_input_zaryad!$B$3</f>
        <v>0.76882994949935191</v>
      </c>
      <c r="F6" s="17">
        <f>[22]electric_zaryad!$C$5</f>
        <v>127.3643694340626</v>
      </c>
      <c r="G6" s="17">
        <f>[22]electric_zaryad!$B$7</f>
        <v>37.235228205639359</v>
      </c>
      <c r="H6" s="17">
        <f>[22]electric_zaryad!$C$12</f>
        <v>4.5311423512046797E-2</v>
      </c>
      <c r="I6" s="17">
        <f>[22]electric_zaryad!$C$6</f>
        <v>6.2201261351500099</v>
      </c>
      <c r="J6" s="17">
        <f>[22]electric_zaryad!$C$2</f>
        <v>2.2670468119814799</v>
      </c>
      <c r="K6" s="17">
        <f>[22]heaters_zaryad!$B$9</f>
        <v>96.353205467529463</v>
      </c>
      <c r="L6" s="17">
        <f>[22]heaters_zaryad!$B$8</f>
        <v>26.070522368068168</v>
      </c>
      <c r="M6" s="17">
        <f>[22]heaters_zaryad!$B$10</f>
        <v>8.3289559776966637</v>
      </c>
      <c r="N6" s="17">
        <f t="shared" si="0"/>
        <v>130.75268381329428</v>
      </c>
      <c r="O6" s="17">
        <f>[22]heaters_zaryad!$B$17/1000</f>
        <v>37.501276317035469</v>
      </c>
      <c r="P6" s="18">
        <f>[22]heaters_zaryad!$B$11/1000</f>
        <v>34.586161063950328</v>
      </c>
      <c r="Q6" s="17">
        <f>[22]gas_streams_zaryad!$E$4</f>
        <v>13.655746408147049</v>
      </c>
      <c r="R6" s="17">
        <f>[29]!PropsSI("H","P",[22]gas_streams_zaryad!$C$4*10^6,"T",[22]gas_streams_zaryad!$B$4+273.15,"REFPROP::"&amp;[29]!MixtureString($R$16:$R$20,$S$16:$S$20))/1000-[29]!PropsSI("H","P",[22]gas_streams_zaryad!$C$4*10^6,"T",S16+273.15,"REFPROP::"&amp;[29]!MixtureString($R$16:$R$20,$S$16:$S$20))/1000</f>
        <v>1245.3598293915852</v>
      </c>
      <c r="S6" s="19">
        <f t="shared" si="1"/>
        <v>17.006318017064761</v>
      </c>
      <c r="T6" s="17">
        <f t="shared" si="2"/>
        <v>154.81121392572135</v>
      </c>
      <c r="U6" s="16">
        <f t="shared" si="16"/>
        <v>168.25396013032974</v>
      </c>
      <c r="V6" s="16">
        <f t="shared" si="17"/>
        <v>35.709312984821082</v>
      </c>
      <c r="W6" s="16">
        <f t="shared" si="3"/>
        <v>90.849488206893028</v>
      </c>
      <c r="X6" s="20">
        <f t="shared" si="4"/>
        <v>0.56483565585398776</v>
      </c>
      <c r="Y6" s="20">
        <f t="shared" si="5"/>
        <v>0.6035477167992227</v>
      </c>
      <c r="Z6" s="20">
        <f t="shared" si="6"/>
        <v>0.75893560503068003</v>
      </c>
      <c r="AA6" s="20">
        <f t="shared" si="7"/>
        <v>0.96718745332594036</v>
      </c>
      <c r="AB6" s="20">
        <f t="shared" si="8"/>
        <v>0.59542528960195196</v>
      </c>
      <c r="AC6" s="20">
        <f t="shared" si="9"/>
        <v>0.80204897699889222</v>
      </c>
      <c r="AD6" s="16">
        <f t="shared" si="18"/>
        <v>531.39335699954245</v>
      </c>
      <c r="AE6" s="16">
        <f t="shared" si="19"/>
        <v>10.585525039831522</v>
      </c>
      <c r="AF6" s="7">
        <f>[22]syngas_streams_razryad!$E$10</f>
        <v>1.0811111111111109</v>
      </c>
      <c r="AG6" s="7">
        <f>[22]syngas_streams_razryad!$E$9</f>
        <v>3.2997870354208629</v>
      </c>
      <c r="AH6" s="17">
        <f>[22]accumulation_razryad!$E$3</f>
        <v>23.54273504191962</v>
      </c>
      <c r="AI6" s="17">
        <f>[22]electric_razryad!$E$5</f>
        <v>34.094845350390223</v>
      </c>
      <c r="AJ6" s="17">
        <f>[22]GTU_input_razryad!$B$3</f>
        <v>1</v>
      </c>
      <c r="AK6" s="17">
        <f>[22]electric_razryad!$C$5</f>
        <v>165.66</v>
      </c>
      <c r="AL6" s="17">
        <f>[22]electric_razryad!$B$7</f>
        <v>50.977835502461701</v>
      </c>
      <c r="AM6" s="17">
        <f>[22]electric_razryad!$C$12</f>
        <v>0.16741119152865561</v>
      </c>
      <c r="AN6" s="17">
        <f>[22]electric_razryad!$C$6</f>
        <v>6.3013810203264402</v>
      </c>
      <c r="AO6" s="17">
        <f>[22]electric_razryad!$C$2</f>
        <v>0.7501460646950332</v>
      </c>
      <c r="AP6" s="17">
        <f>[22]electric_razryad!$B$13</f>
        <v>46872.93802369092</v>
      </c>
      <c r="AQ6" s="17">
        <f>[22]electric_razryad!$B$14</f>
        <v>70328.115386403413</v>
      </c>
      <c r="AR6" s="17">
        <f>[22]heaters_razryad!$B$9</f>
        <v>88.526701843515767</v>
      </c>
      <c r="AS6" s="17">
        <f>[22]heaters_razryad!$B$8</f>
        <v>36.251286626115217</v>
      </c>
      <c r="AT6" s="17">
        <f>[22]heaters_razryad!$B$10</f>
        <v>7.7733028893711396</v>
      </c>
      <c r="AU6" s="17">
        <f t="shared" si="10"/>
        <v>132.55129135900211</v>
      </c>
      <c r="AV6" s="17">
        <f>[22]heaters_razryad!$B$18/1000</f>
        <v>35.696780361733843</v>
      </c>
      <c r="AW6" s="18">
        <f t="shared" si="20"/>
        <v>207.8417091827545</v>
      </c>
      <c r="AX6" s="17">
        <f t="shared" si="11"/>
        <v>22.296858284671487</v>
      </c>
      <c r="AY6" s="19">
        <f t="shared" si="12"/>
        <v>230.13856746742599</v>
      </c>
      <c r="AZ6" s="19">
        <f t="shared" si="13"/>
        <v>168.24807172073594</v>
      </c>
      <c r="BA6" s="16">
        <f t="shared" si="21"/>
        <v>485.87989855218387</v>
      </c>
      <c r="BB6" s="16">
        <f t="shared" si="22"/>
        <v>77.686011869674815</v>
      </c>
      <c r="BC6" s="20">
        <f t="shared" si="14"/>
        <v>0.58823912061305983</v>
      </c>
      <c r="BD6" s="20">
        <f t="shared" si="23"/>
        <v>0.58823912061305983</v>
      </c>
      <c r="BE6" s="20">
        <f t="shared" si="24"/>
        <v>0.70057024700147807</v>
      </c>
      <c r="BF6" s="20">
        <f t="shared" si="25"/>
        <v>0.53101372623251564</v>
      </c>
      <c r="BG6" s="20">
        <f t="shared" si="26"/>
        <v>0.74651326861385048</v>
      </c>
      <c r="BH6" s="20">
        <f t="shared" si="27"/>
        <v>0.58216084612721108</v>
      </c>
      <c r="BI6" s="20">
        <f t="shared" si="28"/>
        <v>0.70690336626278294</v>
      </c>
      <c r="BJ6" s="16">
        <f t="shared" si="29"/>
        <v>460.42758611241965</v>
      </c>
      <c r="BK6" s="16">
        <f t="shared" si="30"/>
        <v>9.1718642651876419</v>
      </c>
      <c r="BL6" s="16">
        <f t="shared" si="15"/>
        <v>3.4997153049159428E-3</v>
      </c>
      <c r="BM6" s="18">
        <f>T6-'Без ПКМ'!B6</f>
        <v>-43.67527122764389</v>
      </c>
      <c r="BN6" s="19">
        <f>AY6-'Без ПКМ'!H6</f>
        <v>20.443684636889031</v>
      </c>
      <c r="BO6" s="17"/>
      <c r="BP6" s="17"/>
    </row>
    <row r="7" spans="1:80" x14ac:dyDescent="0.35">
      <c r="A7" s="16">
        <v>-10</v>
      </c>
      <c r="B7" s="7">
        <f>0.151140511695727*[23]syngas_streams_zaryad!$E$2</f>
        <v>1.8097465987745815</v>
      </c>
      <c r="C7" s="7">
        <f>[23]gas_streams_zaryad!$E$13</f>
        <v>0.71062766614777939</v>
      </c>
      <c r="D7" s="17">
        <f>[23]electric_zaryad!$E$5</f>
        <v>31.297572936648329</v>
      </c>
      <c r="E7" s="17">
        <f>[23]GTU_input_zaryad!$B$3</f>
        <v>0.75777475664838301</v>
      </c>
      <c r="F7" s="17">
        <f>[23]electric_zaryad!$C$5</f>
        <v>125.5329661863711</v>
      </c>
      <c r="G7" s="17">
        <f>[23]electric_zaryad!$B$7</f>
        <v>39.05098537833274</v>
      </c>
      <c r="H7" s="17">
        <f>[23]electric_zaryad!$C$12</f>
        <v>4.5265768523943227E-2</v>
      </c>
      <c r="I7" s="17">
        <f>[23]electric_zaryad!$C$6</f>
        <v>6.2162403012205569</v>
      </c>
      <c r="J7" s="17">
        <f>[23]electric_zaryad!$C$2</f>
        <v>2.246992913563123</v>
      </c>
      <c r="K7" s="17">
        <f>[23]heaters_zaryad!$B$9</f>
        <v>91.212406206016283</v>
      </c>
      <c r="L7" s="17">
        <f>[23]heaters_zaryad!$B$8</f>
        <v>31.171799317192502</v>
      </c>
      <c r="M7" s="17">
        <f>[23]heaters_zaryad!$B$10</f>
        <v>7.8879691642715652</v>
      </c>
      <c r="N7" s="17">
        <f t="shared" si="0"/>
        <v>130.27217468748034</v>
      </c>
      <c r="O7" s="17">
        <f>[23]heaters_zaryad!$B$17/1000</f>
        <v>37.759939706280669</v>
      </c>
      <c r="P7" s="18">
        <f>[23]heaters_zaryad!$B$11/1000</f>
        <v>34.608759869799577</v>
      </c>
      <c r="Q7" s="17">
        <f>[23]gas_streams_zaryad!$E$4</f>
        <v>13.64205439693982</v>
      </c>
      <c r="R7" s="17">
        <f>[29]!PropsSI("H","P",[23]gas_streams_zaryad!$C$4*10^6,"T",[23]gas_streams_zaryad!$B$4+273.15,"REFPROP::"&amp;[29]!MixtureString($R$16:$R$20,$S$16:$S$20))/1000-[29]!PropsSI("H","P",[23]gas_streams_zaryad!$C$4*10^6,"T",S17+273.15,"REFPROP::"&amp;[29]!MixtureString($R$16:$R$20,$S$16:$S$20))/1000</f>
        <v>1246.4115417513406</v>
      </c>
      <c r="S7" s="19">
        <f t="shared" si="1"/>
        <v>17.003614053545416</v>
      </c>
      <c r="T7" s="17">
        <f t="shared" si="2"/>
        <v>154.7667152569048</v>
      </c>
      <c r="U7" s="16">
        <f t="shared" si="16"/>
        <v>168.03211439376102</v>
      </c>
      <c r="V7" s="16">
        <f t="shared" si="17"/>
        <v>35.673508840618524</v>
      </c>
      <c r="W7" s="16">
        <f t="shared" si="3"/>
        <v>90.849279258484003</v>
      </c>
      <c r="X7" s="20">
        <f t="shared" si="4"/>
        <v>0.57146873469827708</v>
      </c>
      <c r="Y7" s="20">
        <f t="shared" si="5"/>
        <v>0.61120053675100261</v>
      </c>
      <c r="Z7" s="20">
        <f t="shared" si="6"/>
        <v>0.76452712849218452</v>
      </c>
      <c r="AA7" s="20">
        <f t="shared" si="7"/>
        <v>0.96963682615572522</v>
      </c>
      <c r="AB7" s="20">
        <f t="shared" si="8"/>
        <v>0.60350314070988964</v>
      </c>
      <c r="AC7" s="20">
        <f t="shared" si="9"/>
        <v>0.8072837027577191</v>
      </c>
      <c r="AD7" s="16">
        <f t="shared" si="18"/>
        <v>527.61767951599109</v>
      </c>
      <c r="AE7" s="16">
        <f t="shared" si="19"/>
        <v>10.510312340955997</v>
      </c>
      <c r="AF7" s="7">
        <f>[23]syngas_streams_razryad!$E$10</f>
        <v>1.0811111111111109</v>
      </c>
      <c r="AG7" s="7">
        <f>[23]syngas_streams_razryad!$E$9</f>
        <v>3.2997870354208629</v>
      </c>
      <c r="AH7" s="17">
        <f>[23]accumulation_razryad!$E$3</f>
        <v>23.54273504191962</v>
      </c>
      <c r="AI7" s="17">
        <f>[23]electric_razryad!$E$5</f>
        <v>34.086911016241331</v>
      </c>
      <c r="AJ7" s="17">
        <f>[23]GTU_input_razryad!$B$3</f>
        <v>1</v>
      </c>
      <c r="AK7" s="17">
        <f>[23]electric_razryad!$C$5</f>
        <v>165.66</v>
      </c>
      <c r="AL7" s="17">
        <f>[23]electric_razryad!$B$7</f>
        <v>52.977154194367813</v>
      </c>
      <c r="AM7" s="17">
        <f>[23]electric_razryad!$C$12</f>
        <v>0.16827639832045399</v>
      </c>
      <c r="AN7" s="17">
        <f>[23]electric_razryad!$C$6</f>
        <v>6.3013810203264402</v>
      </c>
      <c r="AO7" s="17">
        <f>[23]electric_razryad!$C$2</f>
        <v>0.67208772525286054</v>
      </c>
      <c r="AP7" s="17">
        <f>[23]electric_razryad!$B$13</f>
        <v>46906.656904943753</v>
      </c>
      <c r="AQ7" s="17">
        <f>[23]electric_razryad!$B$14</f>
        <v>70376.450574922987</v>
      </c>
      <c r="AR7" s="17">
        <f>[23]heaters_razryad!$B$9</f>
        <v>80.8388386668191</v>
      </c>
      <c r="AS7" s="17">
        <f>[23]heaters_razryad!$B$8</f>
        <v>43.642419585267419</v>
      </c>
      <c r="AT7" s="17">
        <f>[23]heaters_razryad!$B$10</f>
        <v>7.0892931587899879</v>
      </c>
      <c r="AU7" s="17">
        <f t="shared" si="10"/>
        <v>131.5705514108765</v>
      </c>
      <c r="AV7" s="17">
        <f>[23]heaters_razryad!$B$18/1000</f>
        <v>36.458587320236468</v>
      </c>
      <c r="AW7" s="18">
        <f t="shared" si="20"/>
        <v>209.86352487370809</v>
      </c>
      <c r="AX7" s="17">
        <f t="shared" si="11"/>
        <v>22.310708580945402</v>
      </c>
      <c r="AY7" s="19">
        <f t="shared" si="12"/>
        <v>232.17423345465349</v>
      </c>
      <c r="AZ7" s="19">
        <f t="shared" si="13"/>
        <v>168.02913873111297</v>
      </c>
      <c r="BA7" s="16">
        <f t="shared" si="21"/>
        <v>485.99299573102496</v>
      </c>
      <c r="BB7" s="16">
        <f t="shared" si="22"/>
        <v>77.686011869674815</v>
      </c>
      <c r="BC7" s="20">
        <f t="shared" si="14"/>
        <v>0.59212820247957876</v>
      </c>
      <c r="BD7" s="20">
        <f t="shared" si="23"/>
        <v>0.59212820247957876</v>
      </c>
      <c r="BE7" s="20">
        <f t="shared" si="24"/>
        <v>0.7025493768094403</v>
      </c>
      <c r="BF7" s="20">
        <f t="shared" si="25"/>
        <v>0.54116183159079601</v>
      </c>
      <c r="BG7" s="20">
        <f t="shared" si="26"/>
        <v>0.75649778495223285</v>
      </c>
      <c r="BH7" s="20">
        <f t="shared" si="27"/>
        <v>0.58681741540316856</v>
      </c>
      <c r="BI7" s="20">
        <f t="shared" si="28"/>
        <v>0.70998452450665572</v>
      </c>
      <c r="BJ7" s="16">
        <f t="shared" si="29"/>
        <v>460.54068329126073</v>
      </c>
      <c r="BK7" s="16">
        <f t="shared" si="30"/>
        <v>9.1741171970370665</v>
      </c>
      <c r="BL7" s="16">
        <f t="shared" si="15"/>
        <v>1.7708892486359782E-3</v>
      </c>
      <c r="BM7" s="18">
        <f>T7-'Без ПКМ'!B7</f>
        <v>-44.066140065870286</v>
      </c>
      <c r="BN7" s="19">
        <f>AY7-'Без ПКМ'!H7</f>
        <v>19.873658483276586</v>
      </c>
      <c r="BO7" s="17"/>
      <c r="BP7" s="17"/>
    </row>
    <row r="8" spans="1:80" x14ac:dyDescent="0.35">
      <c r="A8" s="16">
        <v>-5</v>
      </c>
      <c r="B8" s="7">
        <f>0.151140511695727*[24]syngas_streams_zaryad!$E$2</f>
        <v>1.8097463211295581</v>
      </c>
      <c r="C8" s="7">
        <f>[24]gas_streams_zaryad!$E$13</f>
        <v>0.70994247373819896</v>
      </c>
      <c r="D8" s="17">
        <f>[24]electric_zaryad!$E$5</f>
        <v>31.205804708297691</v>
      </c>
      <c r="E8" s="17">
        <f>[24]GTU_input_zaryad!$B$3</f>
        <v>0.75289064981383569</v>
      </c>
      <c r="F8" s="17">
        <f>[24]electric_zaryad!$C$5</f>
        <v>124.72386504815999</v>
      </c>
      <c r="G8" s="17">
        <f>[24]electric_zaryad!$B$7</f>
        <v>40.968260557652599</v>
      </c>
      <c r="H8" s="17">
        <f>[24]electric_zaryad!$C$12</f>
        <v>4.5283360806108792E-2</v>
      </c>
      <c r="I8" s="17">
        <f>[24]electric_zaryad!$C$6</f>
        <v>6.214523566984564</v>
      </c>
      <c r="J8" s="17">
        <f>[24]electric_zaryad!$C$2</f>
        <v>2.1391485113478712</v>
      </c>
      <c r="K8" s="17">
        <f>[24]heaters_zaryad!$B$9</f>
        <v>84.897057401809974</v>
      </c>
      <c r="L8" s="17">
        <f>[24]heaters_zaryad!$B$8</f>
        <v>37.521173625103181</v>
      </c>
      <c r="M8" s="17">
        <f>[24]heaters_zaryad!$B$10</f>
        <v>7.3410334705482088</v>
      </c>
      <c r="N8" s="17">
        <f t="shared" si="0"/>
        <v>129.75926449746137</v>
      </c>
      <c r="O8" s="17">
        <f>[24]heaters_zaryad!$B$17/1000</f>
        <v>38.054597346496237</v>
      </c>
      <c r="P8" s="18">
        <f>[24]heaters_zaryad!$B$11/1000</f>
        <v>34.630588026905762</v>
      </c>
      <c r="Q8" s="17">
        <f>[24]gas_streams_zaryad!$E$4</f>
        <v>13.62890062799843</v>
      </c>
      <c r="R8" s="17">
        <f>[29]!PropsSI("H","P",[24]gas_streams_zaryad!$C$4*10^6,"T",[24]gas_streams_zaryad!$B$4+273.15,"REFPROP::"&amp;[29]!MixtureString($R$16:$R$20,$S$16:$S$20))/1000-[29]!PropsSI("H","P",[24]gas_streams_zaryad!$C$4*10^6,"T",S18+273.15,"REFPROP::"&amp;[29]!MixtureString($R$16:$R$20,$S$16:$S$20))/1000</f>
        <v>1246.5891221948264</v>
      </c>
      <c r="S8" s="19">
        <f t="shared" si="1"/>
        <v>16.989639270337079</v>
      </c>
      <c r="T8" s="17">
        <f t="shared" si="2"/>
        <v>155.93411962098938</v>
      </c>
      <c r="U8" s="16">
        <f t="shared" si="16"/>
        <v>167.81386184395762</v>
      </c>
      <c r="V8" s="16">
        <f t="shared" si="17"/>
        <v>35.639112181657588</v>
      </c>
      <c r="W8" s="16">
        <f t="shared" si="3"/>
        <v>90.849265320703822</v>
      </c>
      <c r="X8" s="20">
        <f t="shared" si="4"/>
        <v>0.57769991191729797</v>
      </c>
      <c r="Y8" s="20">
        <f t="shared" si="5"/>
        <v>0.61809597110599723</v>
      </c>
      <c r="Z8" s="20">
        <f t="shared" si="6"/>
        <v>0.76876906398386469</v>
      </c>
      <c r="AA8" s="20">
        <f t="shared" si="7"/>
        <v>0.97231758560119563</v>
      </c>
      <c r="AB8" s="20">
        <f t="shared" si="8"/>
        <v>0.61098447735087835</v>
      </c>
      <c r="AC8" s="20">
        <f t="shared" si="9"/>
        <v>0.81130872101230134</v>
      </c>
      <c r="AD8" s="16">
        <f t="shared" si="18"/>
        <v>526.16999511818801</v>
      </c>
      <c r="AE8" s="16">
        <f>AD8/$R$14</f>
        <v>10.481474006338406</v>
      </c>
      <c r="AF8" s="7">
        <f>[24]syngas_streams_razryad!$E$10</f>
        <v>1.0811111111111109</v>
      </c>
      <c r="AG8" s="7">
        <f>[24]syngas_streams_razryad!$E$9</f>
        <v>3.299969266969438</v>
      </c>
      <c r="AH8" s="17">
        <f>[24]accumulation_razryad!$E$3</f>
        <v>23.541755779113611</v>
      </c>
      <c r="AI8" s="17">
        <f>[24]electric_razryad!$E$5</f>
        <v>34.061064584346838</v>
      </c>
      <c r="AJ8" s="17">
        <f>[24]GTU_input_razryad!$B$3</f>
        <v>1</v>
      </c>
      <c r="AK8" s="17">
        <f>[24]electric_razryad!$C$5</f>
        <v>165.66</v>
      </c>
      <c r="AL8" s="17">
        <f>[24]electric_razryad!$B$7</f>
        <v>55.137910819663901</v>
      </c>
      <c r="AM8" s="17">
        <f>[24]electric_razryad!$C$12</f>
        <v>0.1749860448252161</v>
      </c>
      <c r="AN8" s="17">
        <f>[24]electric_razryad!$C$6</f>
        <v>6.3013810203264402</v>
      </c>
      <c r="AO8" s="17">
        <f>[24]electric_razryad!$C$2</f>
        <v>0.68229978423778059</v>
      </c>
      <c r="AP8" s="17">
        <f>[24]electric_razryad!$B$13</f>
        <v>46940.901942022218</v>
      </c>
      <c r="AQ8" s="17">
        <f>[24]electric_razryad!$B$14</f>
        <v>70425.696351193052</v>
      </c>
      <c r="AR8" s="17">
        <f>[24]heaters_razryad!$B$9</f>
        <v>71.531169280447529</v>
      </c>
      <c r="AS8" s="17">
        <f>[24]heaters_razryad!$B$8</f>
        <v>52.80627089397305</v>
      </c>
      <c r="AT8" s="17">
        <f>[24]heaters_razryad!$B$10</f>
        <v>6.2536847333324772</v>
      </c>
      <c r="AU8" s="17">
        <f t="shared" si="10"/>
        <v>130.59112490775306</v>
      </c>
      <c r="AV8" s="17">
        <f>[24]heaters_razryad!$B$18/1000</f>
        <v>37.221556971155366</v>
      </c>
      <c r="AW8" s="18">
        <f t="shared" si="20"/>
        <v>211.94189870756222</v>
      </c>
      <c r="AX8" s="17">
        <f t="shared" si="11"/>
        <v>22.324926696745731</v>
      </c>
      <c r="AY8" s="19">
        <f t="shared" si="12"/>
        <v>234.26682540430795</v>
      </c>
      <c r="AZ8" s="19">
        <f t="shared" si="13"/>
        <v>167.81268187890842</v>
      </c>
      <c r="BA8" s="16">
        <f t="shared" si="21"/>
        <v>486.36178000182355</v>
      </c>
      <c r="BB8" s="16">
        <f t="shared" si="22"/>
        <v>77.687070561575069</v>
      </c>
      <c r="BC8" s="20">
        <f t="shared" si="14"/>
        <v>0.59572619515660152</v>
      </c>
      <c r="BD8" s="20">
        <f t="shared" si="23"/>
        <v>0.59572619515660152</v>
      </c>
      <c r="BE8" s="20">
        <f t="shared" si="24"/>
        <v>0.70427619459331492</v>
      </c>
      <c r="BF8" s="20">
        <f t="shared" si="25"/>
        <v>0.55170254164353927</v>
      </c>
      <c r="BG8" s="20">
        <f t="shared" si="26"/>
        <v>0.76649155692779447</v>
      </c>
      <c r="BH8" s="20">
        <f t="shared" si="27"/>
        <v>0.59123029122272497</v>
      </c>
      <c r="BI8" s="20">
        <f t="shared" si="28"/>
        <v>0.71284518509629147</v>
      </c>
      <c r="BJ8" s="16">
        <f t="shared" si="29"/>
        <v>460.91052625395963</v>
      </c>
      <c r="BK8" s="16">
        <f>BJ8/$R$14</f>
        <v>9.1814845867322639</v>
      </c>
      <c r="BL8" s="16">
        <f t="shared" si="15"/>
        <v>7.0313920211245522E-4</v>
      </c>
      <c r="BM8" s="18">
        <f>T8-'Без ПКМ'!B8</f>
        <v>-43.774090305751713</v>
      </c>
      <c r="BN8" s="19">
        <f>AY8-'Без ПКМ'!H8</f>
        <v>19.853419826158046</v>
      </c>
      <c r="BO8" s="17"/>
      <c r="BP8" s="17"/>
    </row>
    <row r="9" spans="1:80" x14ac:dyDescent="0.35">
      <c r="A9" s="16">
        <v>0</v>
      </c>
      <c r="B9" s="7">
        <f>0.151140511695727*[25]syngas_streams_zaryad!$E$2</f>
        <v>1.8097511587538169</v>
      </c>
      <c r="C9" s="7">
        <f>[25]gas_streams_zaryad!$E$13</f>
        <v>0.70901877150346959</v>
      </c>
      <c r="D9" s="17">
        <f>[25]electric_zaryad!$E$5</f>
        <v>31.127267090964281</v>
      </c>
      <c r="E9" s="17">
        <f>[25]GTU_input_zaryad!$B$3</f>
        <v>0.75045581617263146</v>
      </c>
      <c r="F9" s="17">
        <f>[25]electric_zaryad!$C$5</f>
        <v>123.3033426939177</v>
      </c>
      <c r="G9" s="17">
        <f>[25]electric_zaryad!$B$7</f>
        <v>42.454650586517651</v>
      </c>
      <c r="H9" s="17">
        <f>[25]electric_zaryad!$C$12</f>
        <v>4.5455138847056133E-2</v>
      </c>
      <c r="I9" s="17">
        <f>[25]electric_zaryad!$C$6</f>
        <v>6.2115095317257438</v>
      </c>
      <c r="J9" s="17">
        <f>[25]electric_zaryad!$C$2</f>
        <v>2.1091148975811929</v>
      </c>
      <c r="K9" s="17">
        <f>[25]heaters_zaryad!$B$9</f>
        <v>77.724968718770214</v>
      </c>
      <c r="L9" s="17">
        <f>[25]heaters_zaryad!$B$8</f>
        <v>44.847394331631911</v>
      </c>
      <c r="M9" s="17">
        <f>[25]heaters_zaryad!$B$10</f>
        <v>6.7087150881843449</v>
      </c>
      <c r="N9" s="17">
        <f t="shared" si="0"/>
        <v>129.28107813858645</v>
      </c>
      <c r="O9" s="17">
        <f>[25]heaters_zaryad!$B$17/1000</f>
        <v>38.317930934632315</v>
      </c>
      <c r="P9" s="18">
        <f>[25]heaters_zaryad!$B$11/1000</f>
        <v>34.6601792787161</v>
      </c>
      <c r="Q9" s="17">
        <f>[25]gas_streams_zaryad!$E$4</f>
        <v>13.61116814060308</v>
      </c>
      <c r="R9" s="17">
        <f>[29]!PropsSI("H","P",[25]gas_streams_zaryad!$C$4*10^6,"T",[25]gas_streams_zaryad!$B$4+273.15,"REFPROP::"&amp;[29]!MixtureString($R$16:$R$20,$S$16:$S$20))/1000-[29]!PropsSI("H","P",[25]gas_streams_zaryad!$C$4*10^6,"T",S19+273.15,"REFPROP::"&amp;[29]!MixtureString($R$16:$R$20,$S$16:$S$20))/1000</f>
        <v>1246.7478520836039</v>
      </c>
      <c r="S9" s="19">
        <f t="shared" si="1"/>
        <v>16.969694643645671</v>
      </c>
      <c r="T9" s="17">
        <f t="shared" si="2"/>
        <v>155.99045792951608</v>
      </c>
      <c r="U9" s="16">
        <f t="shared" si="16"/>
        <v>167.59900907321878</v>
      </c>
      <c r="V9" s="16">
        <f t="shared" si="17"/>
        <v>35.592742329474177</v>
      </c>
      <c r="W9" s="16">
        <f t="shared" si="3"/>
        <v>90.849508169441606</v>
      </c>
      <c r="X9" s="20">
        <f t="shared" si="4"/>
        <v>0.58457243695751382</v>
      </c>
      <c r="Y9" s="20">
        <f t="shared" si="5"/>
        <v>0.62607822164391114</v>
      </c>
      <c r="Z9" s="20">
        <f t="shared" si="6"/>
        <v>0.77447274221422346</v>
      </c>
      <c r="AA9" s="20">
        <f t="shared" si="7"/>
        <v>0.97470599780279843</v>
      </c>
      <c r="AB9" s="20">
        <f t="shared" si="8"/>
        <v>0.61942422261697849</v>
      </c>
      <c r="AC9" s="20">
        <f t="shared" si="9"/>
        <v>0.81659651425319935</v>
      </c>
      <c r="AD9" s="16">
        <f t="shared" si="18"/>
        <v>522.56871522704023</v>
      </c>
      <c r="AE9" s="16">
        <f t="shared" si="19"/>
        <v>10.409735363088449</v>
      </c>
      <c r="AF9" s="7">
        <f>[25]syngas_streams_razryad!$E$10</f>
        <v>1.0811111111111109</v>
      </c>
      <c r="AG9" s="7">
        <f>[25]syngas_streams_razryad!$E$9</f>
        <v>3.3021674120840272</v>
      </c>
      <c r="AH9" s="17">
        <f>[25]accumulation_razryad!$E$3</f>
        <v>23.529949959524259</v>
      </c>
      <c r="AI9" s="17">
        <f>[25]electric_razryad!$E$5</f>
        <v>34.012096926621403</v>
      </c>
      <c r="AJ9" s="17">
        <f>[25]GTU_input_razryad!$B$3</f>
        <v>1</v>
      </c>
      <c r="AK9" s="17">
        <f>[25]electric_razryad!$C$5</f>
        <v>164.30459999999999</v>
      </c>
      <c r="AL9" s="17">
        <f>[25]electric_razryad!$B$7</f>
        <v>56.274224030153043</v>
      </c>
      <c r="AM9" s="17">
        <f>[25]electric_razryad!$C$12</f>
        <v>0.18214254041483291</v>
      </c>
      <c r="AN9" s="17">
        <f>[25]electric_razryad!$C$6</f>
        <v>6.2985051603460569</v>
      </c>
      <c r="AO9" s="17">
        <f>[25]electric_razryad!$C$2</f>
        <v>0.68639229919712363</v>
      </c>
      <c r="AP9" s="17">
        <f>[25]electric_razryad!$B$13</f>
        <v>46980.4884467429</v>
      </c>
      <c r="AQ9" s="17">
        <f>[25]electric_razryad!$B$14</f>
        <v>70484.328694481112</v>
      </c>
      <c r="AR9" s="17">
        <f>[25]heaters_razryad!$B$9</f>
        <v>61.490953959056753</v>
      </c>
      <c r="AS9" s="17">
        <f>[25]heaters_razryad!$B$8</f>
        <v>62.779445892051108</v>
      </c>
      <c r="AT9" s="17">
        <f>[25]heaters_razryad!$B$10</f>
        <v>5.3378423542610038</v>
      </c>
      <c r="AU9" s="17">
        <f t="shared" si="10"/>
        <v>129.60824220536887</v>
      </c>
      <c r="AV9" s="17">
        <f>[25]heaters_razryad!$B$18/1000</f>
        <v>37.990554441752856</v>
      </c>
      <c r="AW9" s="18">
        <f t="shared" si="20"/>
        <v>211.679864973919</v>
      </c>
      <c r="AX9" s="17">
        <f t="shared" si="11"/>
        <v>22.34301702157752</v>
      </c>
      <c r="AY9" s="19">
        <f t="shared" si="12"/>
        <v>234.0228819954965</v>
      </c>
      <c r="AZ9" s="19">
        <f t="shared" si="13"/>
        <v>167.59879664712173</v>
      </c>
      <c r="BA9" s="16">
        <f t="shared" si="21"/>
        <v>483.07694863529019</v>
      </c>
      <c r="BB9" s="16">
        <f t="shared" si="22"/>
        <v>77.69983396430888</v>
      </c>
      <c r="BC9" s="20">
        <f t="shared" si="14"/>
        <v>0.59886451367056626</v>
      </c>
      <c r="BD9" s="20">
        <f t="shared" si="23"/>
        <v>0.59886451367056626</v>
      </c>
      <c r="BE9" s="20">
        <f t="shared" si="24"/>
        <v>0.70648808257864315</v>
      </c>
      <c r="BF9" s="20">
        <f t="shared" si="25"/>
        <v>0.5626648806077188</v>
      </c>
      <c r="BG9" s="20">
        <f t="shared" si="26"/>
        <v>0.77649550050575866</v>
      </c>
      <c r="BH9" s="20">
        <f t="shared" si="27"/>
        <v>0.5952085069782681</v>
      </c>
      <c r="BI9" s="20">
        <f t="shared" si="28"/>
        <v>0.71618813600095255</v>
      </c>
      <c r="BJ9" s="16">
        <f t="shared" si="29"/>
        <v>457.63845829016009</v>
      </c>
      <c r="BK9" s="16">
        <f t="shared" si="30"/>
        <v>9.1163039500031893</v>
      </c>
      <c r="BL9" s="16">
        <f t="shared" si="15"/>
        <v>1.2674663067823314E-4</v>
      </c>
      <c r="BM9" s="18">
        <f>T9-'Без ПКМ'!B9</f>
        <v>-42.749020924582794</v>
      </c>
      <c r="BN9" s="19">
        <f>AY9-'Без ПКМ'!H9</f>
        <v>19.849284975156252</v>
      </c>
      <c r="BO9" s="17"/>
      <c r="BP9" s="17"/>
    </row>
    <row r="10" spans="1:80" x14ac:dyDescent="0.35">
      <c r="A10" s="16">
        <v>5</v>
      </c>
      <c r="B10" s="7">
        <f>0.151140511695727*[26]syngas_streams_zaryad!$E$2</f>
        <v>1.8097517344562799</v>
      </c>
      <c r="C10" s="7">
        <f>[26]gas_streams_zaryad!$E$13</f>
        <v>0.7078689153299943</v>
      </c>
      <c r="D10" s="17">
        <f>[26]electric_zaryad!$E$5</f>
        <v>31.049707951710719</v>
      </c>
      <c r="E10" s="17">
        <f>[26]GTU_input_zaryad!$B$3</f>
        <v>0.75689579032102772</v>
      </c>
      <c r="F10" s="17">
        <f>[26]electric_zaryad!$C$5</f>
        <v>120.9418048897099</v>
      </c>
      <c r="G10" s="17">
        <f>[26]electric_zaryad!$B$7</f>
        <v>43.276234941926468</v>
      </c>
      <c r="H10" s="17">
        <f>[26]electric_zaryad!$C$12</f>
        <v>4.54231405818682E-2</v>
      </c>
      <c r="I10" s="17">
        <f>[26]electric_zaryad!$C$6</f>
        <v>6.2064988691440082</v>
      </c>
      <c r="J10" s="17">
        <f>[26]electric_zaryad!$C$2</f>
        <v>2.145446042951161</v>
      </c>
      <c r="K10" s="17">
        <f>[26]heaters_zaryad!$B$9</f>
        <v>70.087648881000689</v>
      </c>
      <c r="L10" s="17">
        <f>[26]heaters_zaryad!$B$8</f>
        <v>52.723308943508343</v>
      </c>
      <c r="M10" s="17">
        <f>[26]heaters_zaryad!$B$10</f>
        <v>6.0219566222448346</v>
      </c>
      <c r="N10" s="17">
        <f t="shared" si="0"/>
        <v>128.83291444675388</v>
      </c>
      <c r="O10" s="17">
        <f>[26]heaters_zaryad!$B$17/1000</f>
        <v>38.5547185554829</v>
      </c>
      <c r="P10" s="18">
        <f>[26]heaters_zaryad!$B$11/1000</f>
        <v>34.696843172408833</v>
      </c>
      <c r="Q10" s="17">
        <f>[26]gas_streams_zaryad!$E$4</f>
        <v>13.589094133053891</v>
      </c>
      <c r="R10" s="17">
        <f>[29]!PropsSI("H","P",[26]gas_streams_zaryad!$C$4*10^6,"T",[26]gas_streams_zaryad!$B$4+273.15,"REFPROP::"&amp;[29]!MixtureString($R$16:$R$20,$S$16:$S$20))/1000-[29]!PropsSI("H","P",[26]gas_streams_zaryad!$C$4*10^6,"T",S20+273.15,"REFPROP::"&amp;[29]!MixtureString($R$16:$R$20,$S$16:$S$20))/1000</f>
        <v>1246.7504596517715</v>
      </c>
      <c r="S10" s="19">
        <f t="shared" si="1"/>
        <v>16.94220935663613</v>
      </c>
      <c r="T10" s="17">
        <f t="shared" si="2"/>
        <v>154.39243634513252</v>
      </c>
      <c r="U10" s="16">
        <f t="shared" si="16"/>
        <v>167.38763300223678</v>
      </c>
      <c r="V10" s="16">
        <f t="shared" si="17"/>
        <v>35.535019549565718</v>
      </c>
      <c r="W10" s="16">
        <f t="shared" si="3"/>
        <v>90.849537069705249</v>
      </c>
      <c r="X10" s="20">
        <f>T10/((100*F10)/D10-N10)</f>
        <v>0.59227403594781869</v>
      </c>
      <c r="Y10" s="20">
        <f t="shared" si="5"/>
        <v>0.63556190975375815</v>
      </c>
      <c r="Z10" s="20">
        <f t="shared" si="6"/>
        <v>0.7821878350118</v>
      </c>
      <c r="AA10" s="20">
        <f t="shared" si="7"/>
        <v>0.97683231703889151</v>
      </c>
      <c r="AB10" s="20">
        <f t="shared" si="8"/>
        <v>0.6292258242027684</v>
      </c>
      <c r="AC10" s="20">
        <f t="shared" si="9"/>
        <v>0.82365312103968391</v>
      </c>
      <c r="AD10" s="16">
        <f t="shared" si="18"/>
        <v>515.89483825477498</v>
      </c>
      <c r="AE10" s="16">
        <f t="shared" si="19"/>
        <v>10.276789606668824</v>
      </c>
      <c r="AF10" s="7">
        <f>[26]syngas_streams_razryad!$E$10</f>
        <v>1.0811111111111109</v>
      </c>
      <c r="AG10" s="7">
        <f>[26]syngas_streams_razryad!$E$9</f>
        <v>3.3046748619762809</v>
      </c>
      <c r="AH10" s="17">
        <f>[26]accumulation_razryad!$E$3</f>
        <v>23.516497371811869</v>
      </c>
      <c r="AI10" s="17">
        <f>[26]electric_razryad!$E$5</f>
        <v>33.830241541168107</v>
      </c>
      <c r="AJ10" s="17">
        <f>[26]GTU_input_razryad!$B$3</f>
        <v>1</v>
      </c>
      <c r="AK10" s="17">
        <f>[26]electric_razryad!$C$5</f>
        <v>159.78659999999999</v>
      </c>
      <c r="AL10" s="17">
        <f>[26]electric_razryad!$B$7</f>
        <v>56.427775482838094</v>
      </c>
      <c r="AM10" s="17">
        <f>[26]electric_razryad!$C$12</f>
        <v>0.18443474000061799</v>
      </c>
      <c r="AN10" s="17">
        <f>[26]electric_razryad!$C$6</f>
        <v>6.2889189604114444</v>
      </c>
      <c r="AO10" s="17">
        <f>[26]electric_razryad!$C$2</f>
        <v>0.68211991504405434</v>
      </c>
      <c r="AP10" s="17">
        <f>[26]electric_razryad!$B$13</f>
        <v>47020.960838040402</v>
      </c>
      <c r="AQ10" s="17">
        <f>[26]electric_razryad!$B$14</f>
        <v>70544.4962427422</v>
      </c>
      <c r="AR10" s="17">
        <f>[26]heaters_razryad!$B$9</f>
        <v>68.08716313433095</v>
      </c>
      <c r="AS10" s="17">
        <f>[26]heaters_razryad!$B$8</f>
        <v>54.663092182935223</v>
      </c>
      <c r="AT10" s="17">
        <f>[26]heaters_razryad!$B$10</f>
        <v>5.8760331303184969</v>
      </c>
      <c r="AU10" s="17">
        <f t="shared" si="10"/>
        <v>128.62628844758467</v>
      </c>
      <c r="AV10" s="17">
        <f>[26]heaters_razryad!$B$18/1000</f>
        <v>38.761340808871374</v>
      </c>
      <c r="AW10" s="18">
        <f t="shared" si="20"/>
        <v>207.32253225265032</v>
      </c>
      <c r="AX10" s="17">
        <f t="shared" si="11"/>
        <v>22.361728633428882</v>
      </c>
      <c r="AY10" s="19">
        <f t="shared" si="12"/>
        <v>229.68426088607919</v>
      </c>
      <c r="AZ10" s="19">
        <f t="shared" si="13"/>
        <v>167.38762925645605</v>
      </c>
      <c r="BA10" s="16">
        <f t="shared" si="21"/>
        <v>472.31882694527997</v>
      </c>
      <c r="BB10" s="16">
        <f t="shared" si="22"/>
        <v>77.714377706357965</v>
      </c>
      <c r="BC10" s="20">
        <f t="shared" si="14"/>
        <v>0.60322092867908028</v>
      </c>
      <c r="BD10" s="20">
        <f t="shared" si="23"/>
        <v>0.60322092867908028</v>
      </c>
      <c r="BE10" s="20">
        <f t="shared" si="24"/>
        <v>0.71127552308889019</v>
      </c>
      <c r="BF10" s="20">
        <f t="shared" si="25"/>
        <v>0.57406894081913684</v>
      </c>
      <c r="BG10" s="20">
        <f t="shared" si="26"/>
        <v>0.78650915372767194</v>
      </c>
      <c r="BH10" s="20">
        <f t="shared" si="27"/>
        <v>0.60025327785084148</v>
      </c>
      <c r="BI10" s="20">
        <f t="shared" si="28"/>
        <v>0.72190530823319965</v>
      </c>
      <c r="BJ10" s="16">
        <f t="shared" si="29"/>
        <v>446.89488034219892</v>
      </c>
      <c r="BK10" s="16">
        <f t="shared" si="30"/>
        <v>8.9022884530318507</v>
      </c>
      <c r="BL10" s="16">
        <f>ABS(AZ10-U10)/U10*100</f>
        <v>2.2377882187232694E-6</v>
      </c>
      <c r="BM10" s="18">
        <f>T10-'Без ПКМ'!B10</f>
        <v>-39.900008342437928</v>
      </c>
      <c r="BN10" s="19">
        <f>AY10-'Без ПКМ'!H10</f>
        <v>20.590789234723559</v>
      </c>
      <c r="BO10" s="17"/>
      <c r="BP10" s="17"/>
    </row>
    <row r="11" spans="1:80" x14ac:dyDescent="0.35">
      <c r="A11" s="16">
        <v>8</v>
      </c>
      <c r="B11" s="7">
        <f>0.151140511695727*[27]syngas_streams_zaryad!$E$2</f>
        <v>1.8097518597193247</v>
      </c>
      <c r="C11" s="7">
        <f>[27]gas_streams_zaryad!$E$13</f>
        <v>0.70703187833174552</v>
      </c>
      <c r="D11" s="17">
        <f>[27]electric_zaryad!$E$5</f>
        <v>30.933717851221498</v>
      </c>
      <c r="E11" s="17">
        <f>[27]GTU_input_zaryad!$B$3</f>
        <v>0.75707333660408205</v>
      </c>
      <c r="F11" s="17">
        <f>[27]electric_zaryad!$C$5</f>
        <v>118.9179000057555</v>
      </c>
      <c r="G11" s="17">
        <f>[27]electric_zaryad!$B$7</f>
        <v>43.189091731133018</v>
      </c>
      <c r="H11" s="17">
        <f>[27]electric_zaryad!$C$12</f>
        <v>4.4870453998254747E-2</v>
      </c>
      <c r="I11" s="17">
        <f>[27]electric_zaryad!$C$6</f>
        <v>6.2022045891824709</v>
      </c>
      <c r="J11" s="17">
        <f>[27]electric_zaryad!$C$2</f>
        <v>2.2190445960609901</v>
      </c>
      <c r="K11" s="17">
        <f>[27]heaters_zaryad!$B$9</f>
        <v>68.126362633936054</v>
      </c>
      <c r="L11" s="17">
        <f>[27]heaters_zaryad!$B$8</f>
        <v>54.201044583040421</v>
      </c>
      <c r="M11" s="17">
        <f>[27]heaters_zaryad!$B$10</f>
        <v>5.8278060747670741</v>
      </c>
      <c r="N11" s="17">
        <f>K11+L11+M11</f>
        <v>128.15521329174354</v>
      </c>
      <c r="O11" s="17">
        <f>[27]heaters_zaryad!$B$17/1000</f>
        <v>38.57601954176959</v>
      </c>
      <c r="P11" s="18">
        <f>[27]heaters_zaryad!$B$11/1000</f>
        <v>34.723523332432642</v>
      </c>
      <c r="Q11" s="17">
        <f>[27]gas_streams_zaryad!$E$4</f>
        <v>13.57302537467827</v>
      </c>
      <c r="R11" s="17">
        <f>[29]!PropsSI("H","P",[27]gas_streams_zaryad!$C$4*10^6,"T",[27]gas_streams_zaryad!$B$4+273.15,"REFPROP::"&amp;[29]!MixtureString($R$16:$R$20,$S$16:$S$20))/1000-[29]!PropsSI("H","P",[27]gas_streams_zaryad!$C$4*10^6,"T",S21+273.15,"REFPROP::"&amp;[29]!MixtureString($R$16:$R$20,$S$16:$S$20))/1000</f>
        <v>896.4142916678345</v>
      </c>
      <c r="S11" s="19">
        <f>R11*Q11/1000</f>
        <v>12.167053927031766</v>
      </c>
      <c r="T11" s="17">
        <f t="shared" si="2"/>
        <v>152.21061234164702</v>
      </c>
      <c r="U11" s="16">
        <f>N11+O11</f>
        <v>166.73123283351313</v>
      </c>
      <c r="V11" s="16">
        <f t="shared" si="17"/>
        <v>35.493000292253626</v>
      </c>
      <c r="W11" s="16">
        <f t="shared" ref="W11" si="31">B11*$R$14</f>
        <v>90.849543357910107</v>
      </c>
      <c r="X11" s="20">
        <f>T11/((100*F11)/D11-N11)</f>
        <v>0.59393961480623847</v>
      </c>
      <c r="Y11" s="20">
        <f t="shared" si="5"/>
        <v>0.65126199552205777</v>
      </c>
      <c r="Z11" s="20">
        <f>(T11+P11+N11)/((100*F11)/D11+S11)</f>
        <v>0.79448615440071158</v>
      </c>
      <c r="AA11" s="20">
        <f t="shared" si="7"/>
        <v>0.93487604917593481</v>
      </c>
      <c r="AB11" s="20">
        <f t="shared" si="8"/>
        <v>0.63183866161787383</v>
      </c>
      <c r="AC11" s="20">
        <f t="shared" si="9"/>
        <v>0.82635951156137177</v>
      </c>
      <c r="AD11" s="16">
        <f t="shared" si="18"/>
        <v>510.77063140121209</v>
      </c>
      <c r="AE11" s="16">
        <f t="shared" si="19"/>
        <v>10.174713772932511</v>
      </c>
      <c r="AF11" s="7">
        <f>[27]syngas_streams_razryad!$E$10</f>
        <v>1.0811111111111109</v>
      </c>
      <c r="AG11" s="7">
        <f>[27]syngas_streams_razryad!$E$9</f>
        <v>3.3063876685570008</v>
      </c>
      <c r="AH11" s="17">
        <f>[27]accumulation_razryad!$E$3</f>
        <v>23.507316922203401</v>
      </c>
      <c r="AI11" s="17">
        <f>[27]electric_razryad!$E$5</f>
        <v>33.701191319931901</v>
      </c>
      <c r="AJ11" s="17">
        <f>[27]GTU_input_razryad!$B$3</f>
        <v>1</v>
      </c>
      <c r="AK11" s="17">
        <f>[27]electric_razryad!$C$5</f>
        <v>157.07579999999999</v>
      </c>
      <c r="AL11" s="17">
        <f>[27]electric_razryad!$B$7</f>
        <v>56.219279578427233</v>
      </c>
      <c r="AM11" s="17">
        <f>[27]electric_razryad!$C$12</f>
        <v>0.18425332447741299</v>
      </c>
      <c r="AN11" s="17">
        <f>[27]electric_razryad!$C$6</f>
        <v>6.2831672404506769</v>
      </c>
      <c r="AO11" s="17">
        <f>[27]electric_razryad!$C$2</f>
        <v>0.67820114753838379</v>
      </c>
      <c r="AP11" s="17">
        <f>[27]electric_razryad!$B$13</f>
        <v>47045.827872736598</v>
      </c>
      <c r="AQ11" s="17">
        <f>[27]electric_razryad!$B$14</f>
        <v>70581.612049136616</v>
      </c>
      <c r="AR11" s="17">
        <f>[27]heaters_razryad!$B$9</f>
        <v>70.047079843704822</v>
      </c>
      <c r="AS11" s="17">
        <f>[27]heaters_razryad!$B$8</f>
        <v>51.73505370356159</v>
      </c>
      <c r="AT11" s="17">
        <f>[27]heaters_razryad!$B$10</f>
        <v>6.020288069735062</v>
      </c>
      <c r="AU11" s="17">
        <f>AT11+AS11+AR11</f>
        <v>127.80242161700147</v>
      </c>
      <c r="AV11" s="17">
        <f>[27]heaters_razryad!$B$18/1000</f>
        <v>38.92875692369217</v>
      </c>
      <c r="AW11" s="18">
        <f t="shared" si="20"/>
        <v>204.41956082406651</v>
      </c>
      <c r="AX11" s="17">
        <f t="shared" si="11"/>
        <v>22.373368694790489</v>
      </c>
      <c r="AY11" s="19">
        <f t="shared" ref="AY11" si="32">AW11+AX11</f>
        <v>226.79292951885699</v>
      </c>
      <c r="AZ11" s="19">
        <f>AU11+AV11</f>
        <v>166.73117854069363</v>
      </c>
      <c r="BA11" s="16">
        <f t="shared" si="21"/>
        <v>466.08382032803871</v>
      </c>
      <c r="BB11" s="16">
        <f t="shared" si="22"/>
        <v>77.724302792434642</v>
      </c>
      <c r="BC11" s="20">
        <f t="shared" si="14"/>
        <v>0.60428850537739254</v>
      </c>
      <c r="BD11" s="20">
        <f t="shared" si="23"/>
        <v>0.60428850537739254</v>
      </c>
      <c r="BE11" s="20">
        <f t="shared" si="24"/>
        <v>0.71279449736582534</v>
      </c>
      <c r="BF11" s="20">
        <f t="shared" si="25"/>
        <v>0.57669941726008001</v>
      </c>
      <c r="BG11" s="20">
        <f t="shared" si="26"/>
        <v>0.78871245435539061</v>
      </c>
      <c r="BH11" s="20">
        <f t="shared" si="27"/>
        <v>0.60145000318595043</v>
      </c>
      <c r="BI11" s="20">
        <f t="shared" si="28"/>
        <v>0.72364514491147203</v>
      </c>
      <c r="BJ11" s="16">
        <f t="shared" si="29"/>
        <v>440.66979881103435</v>
      </c>
      <c r="BK11" s="16">
        <f t="shared" si="30"/>
        <v>8.7782828448413213</v>
      </c>
      <c r="BL11" s="16">
        <f t="shared" si="15"/>
        <v>3.2563076860999546E-5</v>
      </c>
      <c r="BM11" s="18">
        <f>T11-'Без ПКМ'!B11</f>
        <v>-38.961849194089297</v>
      </c>
      <c r="BN11" s="19">
        <f>AY11-'Без ПКМ'!H11</f>
        <v>20.839846592084029</v>
      </c>
      <c r="BO11" s="17"/>
      <c r="BP11" s="17"/>
    </row>
    <row r="14" spans="1:80" x14ac:dyDescent="0.35">
      <c r="Q14" s="1" t="s">
        <v>54</v>
      </c>
      <c r="R14" s="17">
        <f>BP4</f>
        <v>50.2</v>
      </c>
      <c r="S14" s="3" t="s">
        <v>53</v>
      </c>
    </row>
    <row r="15" spans="1:80" x14ac:dyDescent="0.35">
      <c r="R15" s="1" t="s">
        <v>40</v>
      </c>
      <c r="BL15" s="16">
        <f>(BM15-BN15)*100</f>
        <v>-7.3021810181110087</v>
      </c>
      <c r="BM15" s="18">
        <v>0.55749111299036869</v>
      </c>
      <c r="BN15" s="16">
        <v>0.63051292317147878</v>
      </c>
    </row>
    <row r="16" spans="1:80" x14ac:dyDescent="0.35">
      <c r="R16" s="1" t="s">
        <v>41</v>
      </c>
      <c r="S16" s="3">
        <v>0.71032059101601497</v>
      </c>
      <c r="BL16" s="16">
        <f t="shared" ref="BL16:BL23" si="33">(BM16-BN16)*100</f>
        <v>-7.6274715594713438</v>
      </c>
      <c r="BM16" s="18">
        <v>0.57074242025422373</v>
      </c>
      <c r="BN16" s="16">
        <v>0.64701713584893716</v>
      </c>
    </row>
    <row r="17" spans="18:66" x14ac:dyDescent="0.35">
      <c r="R17" s="6" t="s">
        <v>44</v>
      </c>
      <c r="S17" s="3">
        <v>0.18053127301225799</v>
      </c>
      <c r="BL17" s="16">
        <f t="shared" si="33"/>
        <v>-7.356977695775857</v>
      </c>
      <c r="BM17" s="18">
        <v>0.58765218465126401</v>
      </c>
      <c r="BN17" s="16">
        <v>0.66122196160902258</v>
      </c>
    </row>
    <row r="18" spans="18:66" x14ac:dyDescent="0.35">
      <c r="R18" s="6" t="s">
        <v>43</v>
      </c>
      <c r="S18" s="3">
        <v>9.0538556815177001E-2</v>
      </c>
      <c r="BL18" s="16">
        <f t="shared" si="33"/>
        <v>-7.5876016894403371</v>
      </c>
      <c r="BM18" s="18">
        <v>0.59542528960195196</v>
      </c>
      <c r="BN18" s="16">
        <v>0.67130130649635533</v>
      </c>
    </row>
    <row r="19" spans="18:66" x14ac:dyDescent="0.35">
      <c r="R19" s="6" t="s">
        <v>42</v>
      </c>
      <c r="S19" s="3">
        <v>9.9671027033589304E-3</v>
      </c>
      <c r="BL19" s="16">
        <f t="shared" si="33"/>
        <v>-7.7236127271791748</v>
      </c>
      <c r="BM19" s="18">
        <v>0.60350314070988964</v>
      </c>
      <c r="BN19" s="16">
        <v>0.68073926798168138</v>
      </c>
    </row>
    <row r="20" spans="18:66" x14ac:dyDescent="0.35">
      <c r="R20" s="1" t="s">
        <v>45</v>
      </c>
      <c r="S20" s="3">
        <v>8.6424764531917806E-3</v>
      </c>
      <c r="BL20" s="16">
        <f t="shared" si="33"/>
        <v>-7.7035963168916481</v>
      </c>
      <c r="BM20" s="18">
        <v>0.61098447735087835</v>
      </c>
      <c r="BN20" s="16">
        <v>0.68802044051979483</v>
      </c>
    </row>
    <row r="21" spans="18:66" x14ac:dyDescent="0.35">
      <c r="R21" s="1" t="s">
        <v>46</v>
      </c>
      <c r="S21" s="3">
        <v>60</v>
      </c>
      <c r="BL21" s="16">
        <f t="shared" si="33"/>
        <v>-7.6120262086908586</v>
      </c>
      <c r="BM21" s="18">
        <v>0.61942422261697849</v>
      </c>
      <c r="BN21" s="16">
        <v>0.69554448470388708</v>
      </c>
    </row>
    <row r="22" spans="18:66" x14ac:dyDescent="0.35">
      <c r="BL22" s="16">
        <f t="shared" si="33"/>
        <v>-7.5036700812799895</v>
      </c>
      <c r="BM22" s="18">
        <v>0.6292258242027684</v>
      </c>
      <c r="BN22" s="16">
        <v>0.7042625250155683</v>
      </c>
    </row>
    <row r="23" spans="18:66" x14ac:dyDescent="0.35">
      <c r="R23" s="1" t="s">
        <v>47</v>
      </c>
      <c r="S23" s="3">
        <f>[29]!PropsSI("Q","P",0.1*10^6,"T",S21+273.15,"REFPROP::"&amp;[29]!MixtureString($R$16:$R$20,$S$16:$S$20))</f>
        <v>998</v>
      </c>
      <c r="BL23" s="16">
        <f t="shared" si="33"/>
        <v>-7.5390528498794236</v>
      </c>
      <c r="BM23" s="18">
        <v>0.63183866161787383</v>
      </c>
      <c r="BN23" s="16">
        <v>0.70722919011666807</v>
      </c>
    </row>
    <row r="24" spans="18:66" x14ac:dyDescent="0.35">
      <c r="BL24" s="16">
        <f>AVERAGE(BL15:BL23)</f>
        <v>-7.550687794079959</v>
      </c>
    </row>
    <row r="39" spans="18:20" x14ac:dyDescent="0.35">
      <c r="R39" s="6"/>
      <c r="S39" s="5"/>
      <c r="T39" s="6"/>
    </row>
  </sheetData>
  <mergeCells count="33">
    <mergeCell ref="BJ1:BJ2"/>
    <mergeCell ref="BK1:BK2"/>
    <mergeCell ref="AF1:AV1"/>
    <mergeCell ref="BI1:BI2"/>
    <mergeCell ref="BH1:BH2"/>
    <mergeCell ref="AB1:AB2"/>
    <mergeCell ref="BD1:BD2"/>
    <mergeCell ref="BE1:BE2"/>
    <mergeCell ref="BF1:BF2"/>
    <mergeCell ref="BG1:BG2"/>
    <mergeCell ref="BA1:BA2"/>
    <mergeCell ref="BB1:BB2"/>
    <mergeCell ref="BC1:BC2"/>
    <mergeCell ref="AZ1:AZ2"/>
    <mergeCell ref="AY1:AY2"/>
    <mergeCell ref="AD1:AD2"/>
    <mergeCell ref="AE1:AE2"/>
    <mergeCell ref="BM1:BM2"/>
    <mergeCell ref="BN1:BN2"/>
    <mergeCell ref="BL1:BL2"/>
    <mergeCell ref="A1:A2"/>
    <mergeCell ref="AW1:AW2"/>
    <mergeCell ref="AX1:AX2"/>
    <mergeCell ref="T1:T2"/>
    <mergeCell ref="U1:U2"/>
    <mergeCell ref="X1:X2"/>
    <mergeCell ref="Y1:Y2"/>
    <mergeCell ref="Z1:Z2"/>
    <mergeCell ref="AA1:AA2"/>
    <mergeCell ref="B1:O1"/>
    <mergeCell ref="V1:V2"/>
    <mergeCell ref="W1:W2"/>
    <mergeCell ref="AC1:AC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C74EA-CA5D-4ED4-8CDE-9C378CCAE5E3}">
  <dimension ref="A1:O12"/>
  <sheetViews>
    <sheetView workbookViewId="0">
      <selection activeCell="K17" sqref="K17"/>
    </sheetView>
  </sheetViews>
  <sheetFormatPr defaultColWidth="9.1796875" defaultRowHeight="15.5" x14ac:dyDescent="0.35"/>
  <cols>
    <col min="1" max="1" width="9.1796875" style="4"/>
    <col min="2" max="2" width="12" style="2" bestFit="1" customWidth="1"/>
    <col min="3" max="3" width="12" style="1" bestFit="1" customWidth="1"/>
    <col min="4" max="6" width="12" style="1" customWidth="1"/>
    <col min="7" max="7" width="12" style="3" customWidth="1"/>
    <col min="8" max="8" width="12" style="2" bestFit="1" customWidth="1"/>
    <col min="9" max="9" width="12" style="1" bestFit="1" customWidth="1"/>
    <col min="10" max="12" width="9.1796875" style="1"/>
    <col min="13" max="13" width="9.1796875" style="3"/>
    <col min="14" max="16384" width="9.1796875" style="1"/>
  </cols>
  <sheetData>
    <row r="1" spans="1:15" ht="14.5" customHeight="1" x14ac:dyDescent="0.35">
      <c r="A1" s="55" t="s">
        <v>0</v>
      </c>
      <c r="B1" s="57" t="s">
        <v>31</v>
      </c>
      <c r="C1" s="58"/>
      <c r="D1" s="58"/>
      <c r="E1" s="58"/>
      <c r="F1" s="58"/>
      <c r="G1" s="59"/>
      <c r="H1" s="57" t="s">
        <v>32</v>
      </c>
      <c r="I1" s="58"/>
      <c r="J1" s="58"/>
      <c r="K1" s="58"/>
      <c r="L1" s="58"/>
      <c r="M1" s="59"/>
    </row>
    <row r="2" spans="1:15" ht="16" thickBot="1" x14ac:dyDescent="0.4">
      <c r="A2" s="56"/>
      <c r="B2" s="22" t="s">
        <v>30</v>
      </c>
      <c r="C2" s="39" t="s">
        <v>29</v>
      </c>
      <c r="D2" s="39" t="s">
        <v>51</v>
      </c>
      <c r="E2" s="39" t="s">
        <v>92</v>
      </c>
      <c r="F2" s="39" t="s">
        <v>91</v>
      </c>
      <c r="G2" s="40" t="s">
        <v>93</v>
      </c>
      <c r="H2" s="22" t="s">
        <v>30</v>
      </c>
      <c r="I2" s="39" t="s">
        <v>29</v>
      </c>
      <c r="J2" s="39" t="s">
        <v>51</v>
      </c>
      <c r="K2" s="39" t="s">
        <v>92</v>
      </c>
      <c r="L2" s="39" t="s">
        <v>91</v>
      </c>
      <c r="M2" s="40" t="s">
        <v>93</v>
      </c>
    </row>
    <row r="3" spans="1:15" x14ac:dyDescent="0.35">
      <c r="A3" s="4">
        <v>-29</v>
      </c>
      <c r="B3" s="2">
        <v>175.06425550511426</v>
      </c>
      <c r="C3" s="1">
        <v>0.63051292317147878</v>
      </c>
      <c r="D3" s="1">
        <f>'[28]400m3 обр'!AJ3</f>
        <v>0.7639810595067742</v>
      </c>
      <c r="E3" s="1">
        <v>142.44489999999999</v>
      </c>
      <c r="F3" s="1">
        <v>32.771099999999997</v>
      </c>
      <c r="G3" s="3">
        <f>E3/(F3/100)/'10x15x8'!$R$14</f>
        <v>8.6586895428134554</v>
      </c>
      <c r="H3" s="2">
        <v>205.13768958891018</v>
      </c>
      <c r="I3" s="1">
        <v>0.62325556396576853</v>
      </c>
      <c r="J3" s="1">
        <f>'[28]400m3 обр'!AJ15</f>
        <v>0.74493284017830408</v>
      </c>
      <c r="K3" s="1">
        <v>165.66</v>
      </c>
      <c r="L3" s="1">
        <v>34.075800000000001</v>
      </c>
      <c r="M3" s="3">
        <f>K3/(L3/100)/'10x15x8'!$R$14</f>
        <v>9.6842920782490793</v>
      </c>
      <c r="O3" s="1">
        <f>J3-D3</f>
        <v>-1.9048219328470117E-2</v>
      </c>
    </row>
    <row r="4" spans="1:15" x14ac:dyDescent="0.35">
      <c r="A4" s="4">
        <v>-25</v>
      </c>
      <c r="B4" s="2">
        <v>187.45722067174907</v>
      </c>
      <c r="C4" s="1">
        <v>0.64701713584893716</v>
      </c>
      <c r="D4" s="1">
        <f>'[28]400m3 обр'!AJ4</f>
        <v>0.77440816895601972</v>
      </c>
      <c r="E4" s="1">
        <v>152.02770000000001</v>
      </c>
      <c r="F4" s="1">
        <v>33.535600000000002</v>
      </c>
      <c r="G4" s="3">
        <f>E4/(F4/100)/'10x15x8'!$R$14</f>
        <v>9.0305235005302542</v>
      </c>
      <c r="H4" s="2">
        <v>205.12811200461454</v>
      </c>
      <c r="I4" s="1">
        <v>0.63615415876698722</v>
      </c>
      <c r="J4" s="1">
        <f>'[28]400m3 обр'!AJ16</f>
        <v>0.75862474836327864</v>
      </c>
      <c r="K4" s="1">
        <v>165.66</v>
      </c>
      <c r="L4" s="1">
        <v>34.0824</v>
      </c>
      <c r="M4" s="3">
        <f>K4/(L4/100)/'10x15x8'!$R$14</f>
        <v>9.6824167312161116</v>
      </c>
      <c r="O4" s="1">
        <f t="shared" ref="O4:O11" si="0">J4-D4</f>
        <v>-1.5783420592741071E-2</v>
      </c>
    </row>
    <row r="5" spans="1:15" x14ac:dyDescent="0.35">
      <c r="A5" s="4">
        <v>-20</v>
      </c>
      <c r="B5" s="2">
        <v>197.85202699937264</v>
      </c>
      <c r="C5" s="1">
        <v>0.66122196160902258</v>
      </c>
      <c r="D5" s="1">
        <f>'[28]400m3 обр'!AJ5</f>
        <v>0.78318443733754983</v>
      </c>
      <c r="E5" s="1">
        <v>158.5907</v>
      </c>
      <c r="F5" s="1">
        <v>33.920299999999997</v>
      </c>
      <c r="G5" s="3">
        <f>E5/(F5/100)/'10x15x8'!$R$14</f>
        <v>9.3135299240768905</v>
      </c>
      <c r="H5" s="2">
        <v>206.94935951134502</v>
      </c>
      <c r="I5" s="1">
        <v>0.65157412488013533</v>
      </c>
      <c r="J5" s="1">
        <f>'[28]400m3 обр'!AJ17</f>
        <v>0.77226211226929653</v>
      </c>
      <c r="K5" s="1">
        <v>165.66</v>
      </c>
      <c r="L5" s="1">
        <v>34.091200000000001</v>
      </c>
      <c r="M5" s="3">
        <f>K5/(L5/100)/'10x15x8'!$R$14</f>
        <v>9.6799173980382029</v>
      </c>
      <c r="O5" s="1">
        <f t="shared" si="0"/>
        <v>-1.0922325068253302E-2</v>
      </c>
    </row>
    <row r="6" spans="1:15" x14ac:dyDescent="0.35">
      <c r="A6" s="4">
        <v>-15</v>
      </c>
      <c r="B6" s="2">
        <v>198.48648515336524</v>
      </c>
      <c r="C6" s="1">
        <v>0.67130130649635533</v>
      </c>
      <c r="D6" s="1">
        <f>'[28]400m3 обр'!AJ6</f>
        <v>0.79045599530444199</v>
      </c>
      <c r="E6" s="1">
        <v>156.98759999999999</v>
      </c>
      <c r="F6" s="1">
        <v>33.847700000000003</v>
      </c>
      <c r="G6" s="3">
        <f>E6/(F6/100)/'10x15x8'!$R$14</f>
        <v>9.2391596116972377</v>
      </c>
      <c r="H6" s="2">
        <v>209.69488283053695</v>
      </c>
      <c r="I6" s="1">
        <v>0.65993888017537883</v>
      </c>
      <c r="J6" s="1">
        <f>'[28]400m3 обр'!AJ18</f>
        <v>0.77761187775024698</v>
      </c>
      <c r="K6" s="1">
        <v>165.66</v>
      </c>
      <c r="L6" s="1">
        <v>34.094799999999999</v>
      </c>
      <c r="M6" s="3">
        <f>K6/(L6/100)/'10x15x8'!$R$14</f>
        <v>9.6788953154146675</v>
      </c>
      <c r="O6" s="1">
        <f t="shared" si="0"/>
        <v>-1.2844117554195011E-2</v>
      </c>
    </row>
    <row r="7" spans="1:15" x14ac:dyDescent="0.35">
      <c r="A7" s="4">
        <v>-10</v>
      </c>
      <c r="B7" s="2">
        <v>198.83285532277509</v>
      </c>
      <c r="C7" s="1">
        <v>0.68073926798168138</v>
      </c>
      <c r="D7" s="1">
        <f>'[28]400m3 обр'!AJ7</f>
        <v>0.79729374357630034</v>
      </c>
      <c r="E7" s="1">
        <v>155.2319</v>
      </c>
      <c r="F7" s="1">
        <v>33.743899999999996</v>
      </c>
      <c r="G7" s="3">
        <f>E7/(F7/100)/'10x15x8'!$R$14</f>
        <v>9.1639345905564813</v>
      </c>
      <c r="H7" s="2">
        <v>212.3005749713769</v>
      </c>
      <c r="I7" s="1">
        <v>0.66751247292528593</v>
      </c>
      <c r="J7" s="1">
        <f>'[28]400m3 обр'!AJ19</f>
        <v>0.78241097181044472</v>
      </c>
      <c r="K7" s="1">
        <v>165.66</v>
      </c>
      <c r="L7" s="1">
        <v>34.0869</v>
      </c>
      <c r="M7" s="3">
        <f>K7/(L7/100)/'10x15x8'!$R$14</f>
        <v>9.6811385018878209</v>
      </c>
      <c r="O7" s="1">
        <f t="shared" si="0"/>
        <v>-1.4882771765855618E-2</v>
      </c>
    </row>
    <row r="8" spans="1:15" x14ac:dyDescent="0.35">
      <c r="A8" s="4">
        <v>-5</v>
      </c>
      <c r="B8" s="2">
        <v>199.70820992674109</v>
      </c>
      <c r="C8" s="1">
        <v>0.68802044051979483</v>
      </c>
      <c r="D8" s="1">
        <f>'[28]400m3 обр'!AJ8</f>
        <v>0.80228865312812969</v>
      </c>
      <c r="E8" s="1">
        <v>154.13730000000001</v>
      </c>
      <c r="F8" s="1">
        <v>33.6526</v>
      </c>
      <c r="G8" s="3">
        <f>E8/(F8/100)/'10x15x8'!$R$14</f>
        <v>9.1240027321107284</v>
      </c>
      <c r="H8" s="2">
        <v>214.41340557814991</v>
      </c>
      <c r="I8" s="1">
        <v>0.67298351536860157</v>
      </c>
      <c r="J8" s="1">
        <f>'[28]400m3 обр'!AJ20</f>
        <v>0.78578091179149601</v>
      </c>
      <c r="K8" s="1">
        <v>165.66</v>
      </c>
      <c r="L8" s="1">
        <v>34.061100000000003</v>
      </c>
      <c r="M8" s="3">
        <f>K8/(L8/100)/'10x15x8'!$R$14</f>
        <v>9.6884715995666593</v>
      </c>
      <c r="O8" s="1">
        <f t="shared" si="0"/>
        <v>-1.6507741336633686E-2</v>
      </c>
    </row>
    <row r="9" spans="1:15" x14ac:dyDescent="0.35">
      <c r="A9" s="4">
        <v>0</v>
      </c>
      <c r="B9" s="2">
        <v>198.73947885409888</v>
      </c>
      <c r="C9" s="1">
        <v>0.69554448470388708</v>
      </c>
      <c r="D9" s="1">
        <f>'[28]400m3 обр'!AJ9</f>
        <v>0.80809278865932643</v>
      </c>
      <c r="E9" s="1">
        <v>152.10830000000001</v>
      </c>
      <c r="F9" s="1">
        <v>33.555300000000003</v>
      </c>
      <c r="G9" s="3">
        <f>E9/(F9/100)/'10x15x8'!$R$14</f>
        <v>9.0300066360100111</v>
      </c>
      <c r="H9" s="2">
        <v>214.17359702034025</v>
      </c>
      <c r="I9" s="1">
        <v>0.67883262410718481</v>
      </c>
      <c r="J9" s="1">
        <f>'[28]400m3 обр'!AJ21</f>
        <v>0.79024207756967935</v>
      </c>
      <c r="K9" s="1">
        <v>164.30459999999999</v>
      </c>
      <c r="L9" s="1">
        <v>34.012099999999997</v>
      </c>
      <c r="M9" s="3">
        <f>K9/(L9/100)/'10x15x8'!$R$14</f>
        <v>9.6230459160122432</v>
      </c>
      <c r="O9" s="1">
        <f t="shared" si="0"/>
        <v>-1.7850711089647087E-2</v>
      </c>
    </row>
    <row r="10" spans="1:15" x14ac:dyDescent="0.35">
      <c r="A10" s="4">
        <v>5</v>
      </c>
      <c r="B10" s="2">
        <v>194.29244468757045</v>
      </c>
      <c r="C10" s="1">
        <v>0.7042625250155683</v>
      </c>
      <c r="D10" s="1">
        <f>'[28]400m3 обр'!AJ10</f>
        <v>0.81593961541559257</v>
      </c>
      <c r="E10" s="1">
        <v>147.953</v>
      </c>
      <c r="F10" s="1">
        <v>33.377699999999997</v>
      </c>
      <c r="G10" s="3">
        <f>E10/(F10/100)/'10x15x8'!$R$14</f>
        <v>8.830059939224876</v>
      </c>
      <c r="H10" s="2">
        <v>209.09347165135563</v>
      </c>
      <c r="I10" s="1">
        <v>0.68570725290387591</v>
      </c>
      <c r="J10" s="1">
        <f>'[28]400m3 обр'!AJ22</f>
        <v>0.79709147270920655</v>
      </c>
      <c r="K10" s="1">
        <v>159.78659999999999</v>
      </c>
      <c r="L10" s="1">
        <v>33.830199999999998</v>
      </c>
      <c r="M10" s="3">
        <f>K10/(L10/100)/'10x15x8'!$R$14</f>
        <v>9.408753125905255</v>
      </c>
      <c r="O10" s="1">
        <f t="shared" si="0"/>
        <v>-1.8848142706386017E-2</v>
      </c>
    </row>
    <row r="11" spans="1:15" x14ac:dyDescent="0.35">
      <c r="A11" s="4">
        <v>8</v>
      </c>
      <c r="B11" s="2">
        <v>191.17246153573632</v>
      </c>
      <c r="C11" s="1">
        <v>0.70722919011666807</v>
      </c>
      <c r="D11" s="1">
        <f>'[28]400m3 обр'!AJ11</f>
        <v>0.81892324418297935</v>
      </c>
      <c r="E11" s="1">
        <v>145.26900000000001</v>
      </c>
      <c r="F11" s="1">
        <v>33.238599999999998</v>
      </c>
      <c r="G11" s="3">
        <f>E11/(F11/100)/'10x15x8'!$R$14</f>
        <v>8.7061572415098532</v>
      </c>
      <c r="H11" s="2">
        <v>205.95308292677296</v>
      </c>
      <c r="I11" s="1">
        <v>0.6880089886857067</v>
      </c>
      <c r="J11" s="1">
        <f>'[28]400m3 обр'!AJ23</f>
        <v>0.79962093224874631</v>
      </c>
      <c r="K11" s="1">
        <v>157.07579999999999</v>
      </c>
      <c r="L11" s="1">
        <v>33.7012</v>
      </c>
      <c r="M11" s="3">
        <f>K11/(L11/100)/'10x15x8'!$R$14</f>
        <v>9.2845358622244909</v>
      </c>
      <c r="O11" s="1">
        <f t="shared" si="0"/>
        <v>-1.9302311934233041E-2</v>
      </c>
    </row>
    <row r="12" spans="1:15" x14ac:dyDescent="0.35">
      <c r="O12" s="1">
        <f>AVERAGE(O3:O11)</f>
        <v>-1.6221084597379438E-2</v>
      </c>
    </row>
  </sheetData>
  <mergeCells count="3">
    <mergeCell ref="A1:A2"/>
    <mergeCell ref="H1:M1"/>
    <mergeCell ref="B1:G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2803-12D3-4BCE-9ADA-0023F403184A}">
  <dimension ref="A2:AN48"/>
  <sheetViews>
    <sheetView tabSelected="1" topLeftCell="G22" zoomScale="85" zoomScaleNormal="85" workbookViewId="0">
      <selection activeCell="P50" sqref="P50"/>
    </sheetView>
  </sheetViews>
  <sheetFormatPr defaultRowHeight="14.5" x14ac:dyDescent="0.35"/>
  <cols>
    <col min="1" max="1" width="12.1796875" bestFit="1" customWidth="1"/>
    <col min="2" max="2" width="16.26953125" bestFit="1" customWidth="1"/>
    <col min="3" max="3" width="17.7265625" bestFit="1" customWidth="1"/>
    <col min="4" max="4" width="15.26953125" bestFit="1" customWidth="1"/>
    <col min="5" max="5" width="15.7265625" bestFit="1" customWidth="1"/>
    <col min="6" max="6" width="17.1796875" bestFit="1" customWidth="1"/>
    <col min="7" max="7" width="14.7265625" bestFit="1" customWidth="1"/>
    <col min="8" max="8" width="9.26953125" bestFit="1" customWidth="1"/>
    <col min="9" max="9" width="15.81640625" bestFit="1" customWidth="1"/>
    <col min="10" max="10" width="14.26953125" bestFit="1" customWidth="1"/>
    <col min="11" max="11" width="10" bestFit="1" customWidth="1"/>
    <col min="12" max="12" width="14.26953125" bestFit="1" customWidth="1"/>
    <col min="13" max="13" width="9.81640625" bestFit="1" customWidth="1"/>
    <col min="14" max="14" width="14.26953125" bestFit="1" customWidth="1"/>
    <col min="15" max="15" width="10" bestFit="1" customWidth="1"/>
    <col min="16" max="16" width="14.26953125" bestFit="1" customWidth="1"/>
    <col min="17" max="17" width="9.81640625" bestFit="1" customWidth="1"/>
    <col min="18" max="18" width="14.26953125" bestFit="1" customWidth="1"/>
    <col min="19" max="19" width="10" bestFit="1" customWidth="1"/>
    <col min="20" max="20" width="14.26953125" bestFit="1" customWidth="1"/>
    <col min="21" max="21" width="9.81640625" bestFit="1" customWidth="1"/>
    <col min="22" max="22" width="17.90625" bestFit="1" customWidth="1"/>
    <col min="23" max="23" width="10" bestFit="1" customWidth="1"/>
    <col min="24" max="24" width="14.26953125" bestFit="1" customWidth="1"/>
    <col min="26" max="26" width="14.26953125" bestFit="1" customWidth="1"/>
    <col min="27" max="27" width="13.7265625" bestFit="1" customWidth="1"/>
    <col min="28" max="32" width="12.7265625" bestFit="1" customWidth="1"/>
    <col min="33" max="33" width="11.7265625" bestFit="1" customWidth="1"/>
    <col min="34" max="37" width="12.7265625" bestFit="1" customWidth="1"/>
    <col min="38" max="38" width="11" bestFit="1" customWidth="1"/>
    <col min="39" max="39" width="12.7265625" bestFit="1" customWidth="1"/>
    <col min="40" max="40" width="11.7265625" bestFit="1" customWidth="1"/>
  </cols>
  <sheetData>
    <row r="2" spans="2:28" x14ac:dyDescent="0.35">
      <c r="C2" t="s">
        <v>69</v>
      </c>
      <c r="D2">
        <v>3</v>
      </c>
      <c r="G2" t="s">
        <v>69</v>
      </c>
      <c r="H2">
        <v>25</v>
      </c>
    </row>
    <row r="3" spans="2:28" x14ac:dyDescent="0.35">
      <c r="C3" t="s">
        <v>70</v>
      </c>
      <c r="D3" s="21">
        <f>SUM(D5:D9)</f>
        <v>1551.2977876</v>
      </c>
      <c r="G3" t="s">
        <v>70</v>
      </c>
      <c r="H3" s="21">
        <f>SUM(H5:H9)</f>
        <v>788.548</v>
      </c>
    </row>
    <row r="4" spans="2:28" x14ac:dyDescent="0.35">
      <c r="B4" t="s">
        <v>71</v>
      </c>
      <c r="C4" t="s">
        <v>72</v>
      </c>
      <c r="F4" t="s">
        <v>71</v>
      </c>
      <c r="G4" t="s">
        <v>73</v>
      </c>
    </row>
    <row r="5" spans="2:28" x14ac:dyDescent="0.35">
      <c r="B5">
        <v>3</v>
      </c>
      <c r="C5" s="21">
        <v>5.9388000000000002E-3</v>
      </c>
      <c r="D5" s="21">
        <f>$D$2^B5*C5</f>
        <v>0.16034760000000001</v>
      </c>
      <c r="F5">
        <v>3</v>
      </c>
      <c r="G5" s="21">
        <v>-5.8154000000000001E-3</v>
      </c>
      <c r="H5" s="21">
        <f>$H$2^F5*G5</f>
        <v>-90.865624999999994</v>
      </c>
    </row>
    <row r="6" spans="2:28" x14ac:dyDescent="0.35">
      <c r="B6">
        <v>2</v>
      </c>
      <c r="C6" s="21">
        <f xml:space="preserve"> 0.37666</f>
        <v>0.37665999999999999</v>
      </c>
      <c r="D6" s="21">
        <f>$D$2^B6*C6</f>
        <v>3.3899400000000002</v>
      </c>
      <c r="F6">
        <v>2</v>
      </c>
      <c r="G6">
        <f xml:space="preserve"> 0.062513</f>
        <v>6.2512999999999999E-2</v>
      </c>
      <c r="H6" s="21">
        <f>$H$2^F6*G6</f>
        <v>39.070625</v>
      </c>
    </row>
    <row r="7" spans="2:28" x14ac:dyDescent="0.35">
      <c r="B7">
        <v>1</v>
      </c>
      <c r="C7">
        <f>2.1825</f>
        <v>2.1825000000000001</v>
      </c>
      <c r="D7" s="21">
        <f>$D$2^B7*C7</f>
        <v>6.5475000000000003</v>
      </c>
      <c r="F7">
        <v>1</v>
      </c>
      <c r="G7">
        <f xml:space="preserve"> - 0.37628</f>
        <v>-0.37628</v>
      </c>
      <c r="H7" s="21">
        <f>$H$2^F7*G7</f>
        <v>-9.407</v>
      </c>
    </row>
    <row r="8" spans="2:28" x14ac:dyDescent="0.35">
      <c r="B8">
        <v>0</v>
      </c>
      <c r="C8">
        <f>1541.2</f>
        <v>1541.2</v>
      </c>
      <c r="D8" s="21">
        <f>C8</f>
        <v>1541.2</v>
      </c>
      <c r="F8">
        <v>0</v>
      </c>
      <c r="G8">
        <f xml:space="preserve"> + 849.75</f>
        <v>849.75</v>
      </c>
      <c r="H8" s="21">
        <f>G8</f>
        <v>849.75</v>
      </c>
      <c r="Y8" t="s">
        <v>105</v>
      </c>
      <c r="Z8" t="s">
        <v>104</v>
      </c>
      <c r="AA8" t="s">
        <v>94</v>
      </c>
      <c r="AB8" t="s">
        <v>95</v>
      </c>
    </row>
    <row r="9" spans="2:28" x14ac:dyDescent="0.35">
      <c r="D9" s="21"/>
      <c r="V9" s="41" t="s">
        <v>99</v>
      </c>
      <c r="W9">
        <f>5303/1000</f>
        <v>5.3029999999999999</v>
      </c>
      <c r="Y9">
        <v>1</v>
      </c>
      <c r="Z9">
        <v>1</v>
      </c>
      <c r="AA9" t="s">
        <v>96</v>
      </c>
      <c r="AB9" t="s">
        <v>97</v>
      </c>
    </row>
    <row r="10" spans="2:28" x14ac:dyDescent="0.35">
      <c r="C10" t="s">
        <v>69</v>
      </c>
      <c r="D10">
        <v>3</v>
      </c>
      <c r="G10" t="s">
        <v>69</v>
      </c>
      <c r="H10">
        <v>25</v>
      </c>
      <c r="V10" t="s">
        <v>100</v>
      </c>
      <c r="W10">
        <v>34.700000000000003</v>
      </c>
      <c r="Y10">
        <v>2</v>
      </c>
      <c r="Z10">
        <v>2</v>
      </c>
      <c r="AA10" t="s">
        <v>98</v>
      </c>
      <c r="AB10" t="s">
        <v>98</v>
      </c>
    </row>
    <row r="11" spans="2:28" x14ac:dyDescent="0.35">
      <c r="C11" t="s">
        <v>70</v>
      </c>
      <c r="D11" s="21">
        <f>SUM(D13:D17)</f>
        <v>1285.039573476</v>
      </c>
      <c r="G11" t="s">
        <v>70</v>
      </c>
      <c r="H11" s="21">
        <f>SUM(H13:H17)</f>
        <v>1282.4106875</v>
      </c>
      <c r="V11" t="s">
        <v>101</v>
      </c>
      <c r="W11">
        <f>W9/W10</f>
        <v>0.15282420749279538</v>
      </c>
      <c r="Y11">
        <v>3</v>
      </c>
      <c r="Z11">
        <v>3</v>
      </c>
      <c r="AA11" t="s">
        <v>97</v>
      </c>
      <c r="AB11" t="s">
        <v>96</v>
      </c>
    </row>
    <row r="12" spans="2:28" x14ac:dyDescent="0.35">
      <c r="B12" t="s">
        <v>74</v>
      </c>
      <c r="C12" t="s">
        <v>72</v>
      </c>
      <c r="F12" t="s">
        <v>75</v>
      </c>
      <c r="G12" t="s">
        <v>73</v>
      </c>
      <c r="Y12">
        <v>4</v>
      </c>
      <c r="Z12">
        <v>4</v>
      </c>
      <c r="AA12" t="s">
        <v>97</v>
      </c>
      <c r="AB12" t="s">
        <v>97</v>
      </c>
    </row>
    <row r="13" spans="2:28" x14ac:dyDescent="0.35">
      <c r="B13">
        <v>3</v>
      </c>
      <c r="C13" s="21">
        <f>C5/100</f>
        <v>5.9388000000000001E-5</v>
      </c>
      <c r="D13" s="21">
        <f>$D$2^B13*C13</f>
        <v>1.6034759999999999E-3</v>
      </c>
      <c r="F13">
        <v>3</v>
      </c>
      <c r="G13" s="21">
        <f>G5*-0.1</f>
        <v>5.8154000000000007E-4</v>
      </c>
      <c r="H13" s="21">
        <f>$H$2^F13*G13</f>
        <v>9.0865625000000012</v>
      </c>
      <c r="V13">
        <v>50.2</v>
      </c>
      <c r="W13" t="s">
        <v>106</v>
      </c>
      <c r="Y13">
        <v>5</v>
      </c>
      <c r="Z13">
        <v>5</v>
      </c>
      <c r="AA13" t="s">
        <v>98</v>
      </c>
      <c r="AB13" t="s">
        <v>96</v>
      </c>
    </row>
    <row r="14" spans="2:28" x14ac:dyDescent="0.35">
      <c r="B14">
        <v>2</v>
      </c>
      <c r="C14" s="21">
        <f>C6*0.5</f>
        <v>0.18833</v>
      </c>
      <c r="D14" s="21">
        <f>$D$2^B14*C14</f>
        <v>1.6949700000000001</v>
      </c>
      <c r="F14">
        <v>2</v>
      </c>
      <c r="G14" s="21">
        <f>G6*5</f>
        <v>0.31256499999999998</v>
      </c>
      <c r="H14" s="21">
        <f>$H$2^F14*G14</f>
        <v>195.35312499999998</v>
      </c>
    </row>
    <row r="15" spans="2:28" x14ac:dyDescent="0.35">
      <c r="B15">
        <v>1</v>
      </c>
      <c r="C15">
        <f>C7*-1.2</f>
        <v>-2.6190000000000002</v>
      </c>
      <c r="D15" s="21">
        <f>$D$2^B15*C15</f>
        <v>-7.8570000000000011</v>
      </c>
      <c r="F15">
        <v>1</v>
      </c>
      <c r="G15" s="21">
        <f>G7*-3</f>
        <v>1.1288400000000001</v>
      </c>
      <c r="H15" s="21">
        <f>$H$2^F15*G15</f>
        <v>28.221</v>
      </c>
    </row>
    <row r="16" spans="2:28" x14ac:dyDescent="0.35">
      <c r="B16">
        <v>0</v>
      </c>
      <c r="C16">
        <f>C8-250</f>
        <v>1291.2</v>
      </c>
      <c r="D16" s="21">
        <f>C16</f>
        <v>1291.2</v>
      </c>
      <c r="F16">
        <v>0</v>
      </c>
      <c r="G16" s="21">
        <f>G8+200</f>
        <v>1049.75</v>
      </c>
      <c r="H16" s="21">
        <f>G16</f>
        <v>1049.75</v>
      </c>
    </row>
    <row r="18" spans="1:40" x14ac:dyDescent="0.35">
      <c r="C18" t="s">
        <v>69</v>
      </c>
      <c r="D18">
        <v>3</v>
      </c>
      <c r="G18" t="s">
        <v>69</v>
      </c>
      <c r="H18">
        <v>25</v>
      </c>
      <c r="Z18" t="s">
        <v>103</v>
      </c>
      <c r="AA18" t="s">
        <v>102</v>
      </c>
    </row>
    <row r="19" spans="1:40" x14ac:dyDescent="0.35">
      <c r="C19" t="s">
        <v>70</v>
      </c>
      <c r="D19" s="21">
        <f>SUM(G21:G25)</f>
        <v>597.86591024999996</v>
      </c>
      <c r="G19" t="s">
        <v>70</v>
      </c>
      <c r="H19" s="21">
        <f>SUM(K21:K26)</f>
        <v>0</v>
      </c>
      <c r="M19" t="s">
        <v>89</v>
      </c>
      <c r="Z19">
        <f>4</f>
        <v>4</v>
      </c>
      <c r="AA19">
        <f>V13*W11</f>
        <v>7.6717752161383288</v>
      </c>
    </row>
    <row r="20" spans="1:40" x14ac:dyDescent="0.35">
      <c r="B20" t="s">
        <v>75</v>
      </c>
      <c r="C20" t="s">
        <v>72</v>
      </c>
      <c r="F20" t="s">
        <v>74</v>
      </c>
      <c r="G20" t="s">
        <v>73</v>
      </c>
      <c r="M20" t="s">
        <v>90</v>
      </c>
    </row>
    <row r="21" spans="1:40" x14ac:dyDescent="0.35">
      <c r="B21">
        <v>3</v>
      </c>
      <c r="C21" s="21">
        <f>C5</f>
        <v>5.9388000000000002E-3</v>
      </c>
      <c r="D21" s="21">
        <f>$D$2^B21*C21</f>
        <v>0.16034760000000001</v>
      </c>
      <c r="F21">
        <v>3</v>
      </c>
      <c r="G21" s="21">
        <f>G5</f>
        <v>-5.8154000000000001E-3</v>
      </c>
      <c r="H21" s="21">
        <f>$H$2^F21*G21</f>
        <v>-90.865624999999994</v>
      </c>
    </row>
    <row r="22" spans="1:40" x14ac:dyDescent="0.35">
      <c r="B22">
        <v>2</v>
      </c>
      <c r="C22" s="21">
        <f>C6</f>
        <v>0.37665999999999999</v>
      </c>
      <c r="D22" s="21">
        <f>$D$2^B22*C22</f>
        <v>3.3899400000000002</v>
      </c>
      <c r="F22">
        <v>2</v>
      </c>
      <c r="G22">
        <f>G6/20</f>
        <v>3.1256499999999998E-3</v>
      </c>
      <c r="H22" s="21">
        <f>$H$2^F22*G22</f>
        <v>1.9535312499999999</v>
      </c>
    </row>
    <row r="23" spans="1:40" ht="15" thickBot="1" x14ac:dyDescent="0.4">
      <c r="B23">
        <v>1</v>
      </c>
      <c r="C23">
        <f>C7*1.5</f>
        <v>3.2737500000000002</v>
      </c>
      <c r="D23" s="21">
        <f>$D$2^B23*C23</f>
        <v>9.8212500000000009</v>
      </c>
      <c r="F23">
        <v>1</v>
      </c>
      <c r="G23">
        <f>G7*5</f>
        <v>-1.8814</v>
      </c>
      <c r="H23" s="21">
        <f>$H$2^F23*G23</f>
        <v>-47.034999999999997</v>
      </c>
    </row>
    <row r="24" spans="1:40" ht="15" thickBot="1" x14ac:dyDescent="0.4">
      <c r="B24">
        <v>0</v>
      </c>
      <c r="C24">
        <f>C8+250</f>
        <v>1791.2</v>
      </c>
      <c r="D24" s="21">
        <f>C24</f>
        <v>1791.2</v>
      </c>
      <c r="F24">
        <v>0</v>
      </c>
      <c r="G24">
        <f>G8-250</f>
        <v>599.75</v>
      </c>
      <c r="H24" s="21">
        <f>G24</f>
        <v>599.75</v>
      </c>
      <c r="Z24" s="60" t="s">
        <v>80</v>
      </c>
      <c r="AA24" s="61"/>
      <c r="AB24" s="61"/>
      <c r="AC24" s="61"/>
      <c r="AD24" s="62"/>
      <c r="AE24" s="60" t="s">
        <v>84</v>
      </c>
      <c r="AF24" s="61"/>
      <c r="AG24" s="61"/>
      <c r="AH24" s="61"/>
      <c r="AI24" s="62"/>
      <c r="AJ24" s="60" t="s">
        <v>85</v>
      </c>
      <c r="AK24" s="61"/>
      <c r="AL24" s="61"/>
      <c r="AM24" s="61"/>
      <c r="AN24" s="62"/>
    </row>
    <row r="25" spans="1:40" ht="15" thickBot="1" x14ac:dyDescent="0.4">
      <c r="B25" s="23"/>
      <c r="C25" s="23" t="s">
        <v>72</v>
      </c>
      <c r="D25" s="23"/>
      <c r="E25" s="25"/>
      <c r="F25" s="25" t="s">
        <v>73</v>
      </c>
      <c r="G25" s="25"/>
      <c r="H25" s="21"/>
      <c r="I25" s="28" t="s">
        <v>81</v>
      </c>
      <c r="J25" s="29"/>
      <c r="K25" s="29"/>
      <c r="L25" s="30"/>
      <c r="M25" s="28" t="s">
        <v>80</v>
      </c>
      <c r="N25" s="29"/>
      <c r="O25" s="29"/>
      <c r="P25" s="30"/>
      <c r="Q25" s="28" t="s">
        <v>84</v>
      </c>
      <c r="R25" s="29"/>
      <c r="S25" s="29"/>
      <c r="T25" s="30"/>
      <c r="U25" s="28" t="s">
        <v>85</v>
      </c>
      <c r="V25" s="29"/>
      <c r="W25" s="29"/>
      <c r="X25" s="30"/>
      <c r="Z25" s="36">
        <v>1</v>
      </c>
      <c r="AA25" s="37">
        <v>2</v>
      </c>
      <c r="AB25" s="37">
        <v>3</v>
      </c>
      <c r="AC25" s="37">
        <v>4</v>
      </c>
      <c r="AD25" s="38">
        <v>5</v>
      </c>
      <c r="AE25" s="36">
        <v>1</v>
      </c>
      <c r="AF25" s="37">
        <v>2</v>
      </c>
      <c r="AG25" s="37">
        <v>3</v>
      </c>
      <c r="AH25" s="37">
        <v>4</v>
      </c>
      <c r="AI25" s="38">
        <v>5</v>
      </c>
      <c r="AJ25" s="36">
        <v>1</v>
      </c>
      <c r="AK25" s="37">
        <v>2</v>
      </c>
      <c r="AL25" s="37">
        <v>3</v>
      </c>
      <c r="AM25" s="37">
        <v>4</v>
      </c>
      <c r="AN25" s="38">
        <v>5</v>
      </c>
    </row>
    <row r="26" spans="1:40" x14ac:dyDescent="0.35">
      <c r="B26" s="23" t="s">
        <v>76</v>
      </c>
      <c r="C26" s="23" t="s">
        <v>77</v>
      </c>
      <c r="D26" s="23" t="s">
        <v>78</v>
      </c>
      <c r="E26" s="25" t="s">
        <v>76</v>
      </c>
      <c r="F26" s="25" t="s">
        <v>77</v>
      </c>
      <c r="G26" s="25" t="s">
        <v>78</v>
      </c>
      <c r="I26" s="31" t="s">
        <v>73</v>
      </c>
      <c r="K26" s="23" t="s">
        <v>72</v>
      </c>
      <c r="L26" s="32"/>
      <c r="M26" s="31" t="s">
        <v>73</v>
      </c>
      <c r="O26" s="23" t="s">
        <v>72</v>
      </c>
      <c r="P26" s="32"/>
      <c r="Q26" s="31" t="s">
        <v>73</v>
      </c>
      <c r="S26" s="23" t="s">
        <v>72</v>
      </c>
      <c r="T26" s="32"/>
      <c r="U26" s="31" t="s">
        <v>73</v>
      </c>
      <c r="W26" s="23" t="s">
        <v>72</v>
      </c>
      <c r="X26" s="32"/>
      <c r="Z26" s="28"/>
      <c r="AA26" s="29"/>
      <c r="AB26" s="29"/>
      <c r="AC26" s="29"/>
      <c r="AD26" s="30"/>
      <c r="AE26" s="28"/>
      <c r="AF26" s="29"/>
      <c r="AG26" s="29"/>
      <c r="AH26" s="29"/>
      <c r="AI26" s="30"/>
      <c r="AJ26" s="28"/>
      <c r="AK26" s="29"/>
      <c r="AL26" s="29"/>
      <c r="AM26" s="29"/>
      <c r="AN26" s="30"/>
    </row>
    <row r="27" spans="1:40" x14ac:dyDescent="0.35">
      <c r="A27" t="s">
        <v>79</v>
      </c>
      <c r="B27" s="23" t="str">
        <f>$C$25&amp;" "&amp;B26</f>
        <v>Максимум сверху</v>
      </c>
      <c r="C27" s="23" t="str">
        <f>$C$25&amp;" "&amp;C26</f>
        <v>Максимум среднее</v>
      </c>
      <c r="D27" s="23" t="str">
        <f>$C$25&amp;" "&amp;D26</f>
        <v>Максимум снизу</v>
      </c>
      <c r="E27" s="25" t="str">
        <f>$F$25&amp;" "&amp;E26</f>
        <v>Минимум сверху</v>
      </c>
      <c r="F27" s="25" t="str">
        <f>$F$25&amp;" "&amp;F26</f>
        <v>Минимум среднее</v>
      </c>
      <c r="G27" s="25" t="str">
        <f>$F$25&amp;" "&amp;G26</f>
        <v>Минимум снизу</v>
      </c>
      <c r="I27" s="33" t="s">
        <v>82</v>
      </c>
      <c r="J27" t="s">
        <v>83</v>
      </c>
      <c r="K27" t="s">
        <v>82</v>
      </c>
      <c r="L27" s="32" t="s">
        <v>83</v>
      </c>
      <c r="M27" s="33" t="s">
        <v>82</v>
      </c>
      <c r="N27" t="s">
        <v>83</v>
      </c>
      <c r="O27" t="s">
        <v>82</v>
      </c>
      <c r="P27" s="32" t="s">
        <v>83</v>
      </c>
      <c r="Q27" s="33" t="s">
        <v>82</v>
      </c>
      <c r="R27" t="s">
        <v>83</v>
      </c>
      <c r="S27" t="s">
        <v>82</v>
      </c>
      <c r="T27" s="32" t="s">
        <v>83</v>
      </c>
      <c r="U27" s="33" t="s">
        <v>82</v>
      </c>
      <c r="V27" t="s">
        <v>83</v>
      </c>
      <c r="W27" t="s">
        <v>82</v>
      </c>
      <c r="X27" s="32" t="s">
        <v>83</v>
      </c>
      <c r="Z27" s="33"/>
      <c r="AD27" s="32"/>
      <c r="AE27" s="33"/>
      <c r="AI27" s="32"/>
      <c r="AJ27" s="33"/>
      <c r="AN27" s="32"/>
    </row>
    <row r="28" spans="1:40" x14ac:dyDescent="0.35">
      <c r="A28">
        <v>-29</v>
      </c>
      <c r="B28" s="24">
        <f>A28^$B$21*$C$21+A28^$B$22*$C$22+A28^$B$23*$C$23+$C$24</f>
        <v>1868.1909168</v>
      </c>
      <c r="C28" s="24">
        <f>A28^$B$5*$C$5+A28^$B$6*$C$6+A28^$B$7*$C$7+$C$8</f>
        <v>1649.8371668</v>
      </c>
      <c r="D28" s="24">
        <f>A28^$B$13*$C$13+A28^$B$14*$C$14+A28^$B$15*$C$15+$C$16</f>
        <v>1524.0881160680001</v>
      </c>
      <c r="E28" s="26">
        <f>A28^$F$13*$G$13+A28^$F$14*$G$14+A28^$F$15*$G$15+$G$16</f>
        <v>1265.6976259399999</v>
      </c>
      <c r="F28" s="26">
        <f>A28^$F$5*$G$5+A28^$F$6*$G$6+A28^$F$7*$G$7+$G$8</f>
        <v>1055.0673436</v>
      </c>
      <c r="G28" s="26">
        <f>A28^$F$21*$G$21+A28^$F$22*$G$22+A28^$F$23*$G$23+$G$24</f>
        <v>798.77106225</v>
      </c>
      <c r="I28" s="33">
        <f>'Без ПКМ'!B3</f>
        <v>175.06425550511426</v>
      </c>
      <c r="J28">
        <f>'Без ПКМ'!G3*3600</f>
        <v>31171.282354128438</v>
      </c>
      <c r="K28">
        <f>'Без ПКМ'!H3</f>
        <v>205.13768958891018</v>
      </c>
      <c r="L28" s="32">
        <f>'Без ПКМ'!M3*3600</f>
        <v>34863.451481696684</v>
      </c>
      <c r="M28" s="34">
        <f>'10x15x4'!T3</f>
        <v>155.07887975299244</v>
      </c>
      <c r="N28" s="27">
        <f>'10x15x4'!AE3*3600</f>
        <v>33770.894828490549</v>
      </c>
      <c r="O28" s="27">
        <f>'10x15x4'!AY3</f>
        <v>206.92336006577077</v>
      </c>
      <c r="P28" s="35">
        <f>'10x15x4'!BK3*3600</f>
        <v>33038.153627539694</v>
      </c>
      <c r="Q28" s="34">
        <f>'10x15x6'!T3</f>
        <v>145.76171795256545</v>
      </c>
      <c r="R28" s="27">
        <f>'10x15x6'!AE3*3600</f>
        <v>35037.635984930246</v>
      </c>
      <c r="S28" s="27">
        <f>'10x15x6'!AY3</f>
        <v>214.85981208830503</v>
      </c>
      <c r="T28" s="35">
        <f>'10x15x6'!BK3*3600</f>
        <v>33038.153627539694</v>
      </c>
      <c r="U28" s="34">
        <f>'10x15x8'!T3</f>
        <v>136.11913718198772</v>
      </c>
      <c r="V28" s="27">
        <f>'10x15x8'!AE3*3600</f>
        <v>36180.478331803337</v>
      </c>
      <c r="W28" s="27">
        <f>'10x15x8'!AY3</f>
        <v>223.1101859064951</v>
      </c>
      <c r="X28" s="35">
        <f>'10x15x8'!BK3*3600</f>
        <v>33038.153627539694</v>
      </c>
      <c r="Z28" s="63">
        <f>(((($E28*(M28-$I28))-($AA$19*(N28-$J28)))*$Z$19)+((($D28*(O28-$K28))-($AA$19*(P28-$L28)))*$Z$19))/1000</f>
        <v>-114.05716481106376</v>
      </c>
      <c r="AA28">
        <f t="shared" ref="AA28:AA36" si="0">(((($F28*(M28-$I28))-($AA$19*(N28-$J28)))*$Z$19)+((($C28*(O28-$K28))-($AA$19*(P28-$L28)))*$Z$19))/1000</f>
        <v>-96.320877992160632</v>
      </c>
      <c r="AB28" s="21">
        <f>(((($G28*(M28-$I28))-($AA$19*(N28-$J28)))*$Z$19)+((($B28*(O28-$K28))-($AA$19*(P28-$L28)))*$Z$19))/1000</f>
        <v>-74.272536666008321</v>
      </c>
      <c r="AC28">
        <f t="shared" ref="AC28:AC36" si="1">(((($E28*(M28-$I28))-($AA$19*(N28-$J28)))*$Z$19)+((($B28*(O28-$K28))-($AA$19*(P28-$L28)))*$Z$19))/1000</f>
        <v>-111.59934796197506</v>
      </c>
      <c r="AD28" s="32">
        <f t="shared" ref="AD28:AD36" si="2">(((($G28*(M28-$I28))-($AA$19*(N28-$J28)))*$Z$19)+((($C28*(O28-$K28))-($AA$19*(P28-$L28)))*$Z$19))/1000</f>
        <v>-75.83216804555552</v>
      </c>
      <c r="AE28" s="33">
        <f t="shared" ref="AE28:AE36" si="3">(((($E28*(Q28-$I28))-($AA$19*(R28-$J28)))*$Z$19)+((($D28*(S28-$K28))-($AA$19*(T28-$L28)))*$Z$19))/1000</f>
        <v>-151.71720788805359</v>
      </c>
      <c r="AF28">
        <f t="shared" ref="AF28:AF36" si="4">(((($F28*(Q28-$I28))-($AA$19*(R28-$J28)))*$Z$19)+((($C28*(S28-$K28))-($AA$19*(T28-$L28)))*$Z$19))/1000</f>
        <v>-122.13901015456985</v>
      </c>
      <c r="AG28">
        <f t="shared" ref="AG28:AG36" si="5">(((($G28*(Q28-$I28))-($AA$19*(R28-$J28)))*$Z$19)+((($B28*(S28-$K28))-($AA$19*(T28-$L28)))*$Z$19))/1000</f>
        <v>-83.607036896412936</v>
      </c>
      <c r="AH28">
        <f t="shared" ref="AH28:AH36" si="6">(((($E28*(Q28-$I28))-($AA$19*(R28-$J28)))*$Z$19)+((($B28*(S28-$K28))-($AA$19*(T28-$L28)))*$Z$19))/1000</f>
        <v>-138.33556956364814</v>
      </c>
      <c r="AI28" s="32">
        <f t="shared" ref="AI28:AI36" si="7">(((($G28*(Q28-$I28))-($AA$19*(R28-$J28)))*$Z$19)+((($C28*(S28-$K28))-($AA$19*(T28-$L28)))*$Z$19))/1000</f>
        <v>-92.098484519221884</v>
      </c>
      <c r="AJ28" s="33">
        <f t="shared" ref="AJ28:AJ36" si="8">(((($E28*(U28-$I28))-($AA$19*(V28-$J28)))*$Z$19)+((($D28*(W28-$K28))-($AA$19*(X28-$L28)))*$Z$19))/1000</f>
        <v>-185.30890585816235</v>
      </c>
      <c r="AK28">
        <f t="shared" ref="AK28:AK36" si="9">(((($F28*(U28-$I28))-($AA$19*(V28-$J28)))*$Z$19)+((($C28*(W28-$K28))-($AA$19*(X28-$L28)))*$Z$19))/1000</f>
        <v>-143.45672338062028</v>
      </c>
      <c r="AL28">
        <f t="shared" ref="AL28:AL36" si="10">(((($G28*(U28-$I28))-($AA$19*(V28-$J28)))*$Z$19)+((($B28*(W28-$K28))-($AA$19*(X28-$L28)))*$Z$19))/1000</f>
        <v>-87.833319497584569</v>
      </c>
      <c r="AM28">
        <f t="shared" ref="AM28:AM36" si="11">(((($E28*(U28-$I28))-($AA$19*(V28-$J28)))*$Z$19)+((($B28*(W28-$K28))-($AA$19*(X28-$L28)))*$Z$19))/1000</f>
        <v>-160.57136058205626</v>
      </c>
      <c r="AN28" s="32">
        <f t="shared" ref="AN28:AN36" si="12">(((($G28*(U28-$I28))-($AA$19*(V28-$J28)))*$Z$19)+((($C28*(W28-$K28))-($AA$19*(X28-$L28)))*$Z$19))/1000</f>
        <v>-103.53076736880801</v>
      </c>
    </row>
    <row r="29" spans="1:40" x14ac:dyDescent="0.35">
      <c r="A29">
        <v>-25</v>
      </c>
      <c r="B29" s="24">
        <f t="shared" ref="B29:B36" si="13">A29^$B$21*$C$21+A29^$B$22*$C$22+A29^$B$23*$C$23+$C$24</f>
        <v>1851.9749999999999</v>
      </c>
      <c r="C29" s="24">
        <f t="shared" ref="C29:C36" si="14">A29^$B$5*$C$5+A29^$B$6*$C$6+A29^$B$7*$C$7+$C$8</f>
        <v>1629.2562499999999</v>
      </c>
      <c r="D29" s="24">
        <f t="shared" ref="D29:D34" si="15">A29^$B$13*$C$13+A29^$B$14*$C$14+A29^$B$15*$C$15+$C$16</f>
        <v>1473.4533125</v>
      </c>
      <c r="E29" s="26">
        <f t="shared" ref="E29:E36" si="16">A29^$F$13*$G$13+A29^$F$14*$G$14+A29^$F$15*$G$15+$G$16</f>
        <v>1207.7955625</v>
      </c>
      <c r="F29" s="26">
        <f t="shared" ref="F29:F36" si="17">A29^$F$5*$G$5+A29^$F$6*$G$6+A29^$F$7*$G$7+$G$8</f>
        <v>989.09325000000001</v>
      </c>
      <c r="G29" s="26">
        <f t="shared" ref="G29:G36" si="18">A29^$F$21*$G$21+A29^$F$22*$G$22+A29^$F$23*$G$23+$G$24</f>
        <v>739.60415624999996</v>
      </c>
      <c r="H29" s="21"/>
      <c r="I29" s="33">
        <f>'Без ПКМ'!B4</f>
        <v>187.45722067174907</v>
      </c>
      <c r="J29">
        <f>'Без ПКМ'!G4*3600</f>
        <v>32509.884601908914</v>
      </c>
      <c r="K29">
        <f>'Без ПКМ'!H4</f>
        <v>205.12811200461454</v>
      </c>
      <c r="L29" s="32">
        <f>'Без ПКМ'!M4*3600</f>
        <v>34856.700232378003</v>
      </c>
      <c r="M29" s="34">
        <f>'10x15x4'!T4</f>
        <v>166.05273488985034</v>
      </c>
      <c r="N29" s="27">
        <f>'10x15x4'!AE4*3600</f>
        <v>35006.778037304386</v>
      </c>
      <c r="O29" s="27">
        <f>'10x15x4'!AY4</f>
        <v>208.89886100317713</v>
      </c>
      <c r="P29" s="35">
        <f>'10x15x4'!BK4*3600</f>
        <v>33031.452118559202</v>
      </c>
      <c r="Q29" s="34">
        <f>'10x15x6'!T4</f>
        <v>156.07793848959955</v>
      </c>
      <c r="R29" s="27">
        <f>'10x15x6'!AE4*3600</f>
        <v>36291.486237219775</v>
      </c>
      <c r="S29" s="27">
        <f>'10x15x6'!AY4</f>
        <v>216.69919543259124</v>
      </c>
      <c r="T29" s="35">
        <f>'10x15x6'!BK4*3600</f>
        <v>33031.452118559202</v>
      </c>
      <c r="U29" s="34">
        <f>'10x15x8'!T4</f>
        <v>146.59766219882388</v>
      </c>
      <c r="V29" s="27">
        <f>'10x15x8'!AE4*3600</f>
        <v>37563.04521050895</v>
      </c>
      <c r="W29" s="27">
        <f>'10x15x8'!AY4</f>
        <v>224.97870601532102</v>
      </c>
      <c r="X29" s="35">
        <f>'10x15x8'!BK4*3600</f>
        <v>33031.452118559202</v>
      </c>
      <c r="Z29" s="33">
        <f t="shared" ref="Z28:Z36" si="19">(((($E29*(M29-$I29))-($AA$19*(N29-$J29)))*$Z$19)+((($D29*(O29-$K29))-($AA$19*(P29-$L29)))*$Z$19))/1000</f>
        <v>-101.79572909816268</v>
      </c>
      <c r="AA29">
        <f t="shared" si="0"/>
        <v>-80.720911862459275</v>
      </c>
      <c r="AB29">
        <f t="shared" ref="AB28:AB36" si="20">(((($G29*(M29-$I29))-($AA$19*(N29-$J29)))*$Z$19)+((($B29*(O29-$K29))-($AA$19*(P29-$L29)))*$Z$19))/1000</f>
        <v>-56.00090280872211</v>
      </c>
      <c r="AC29">
        <f t="shared" si="1"/>
        <v>-96.086488001863302</v>
      </c>
      <c r="AD29" s="32">
        <f t="shared" si="2"/>
        <v>-59.360168822816561</v>
      </c>
      <c r="AE29" s="33">
        <f t="shared" si="3"/>
        <v>-143.43604411222842</v>
      </c>
      <c r="AF29">
        <f t="shared" si="4"/>
        <v>-108.7739226483785</v>
      </c>
      <c r="AG29">
        <f t="shared" si="5"/>
        <v>-67.150379002879717</v>
      </c>
      <c r="AH29">
        <f t="shared" si="6"/>
        <v>-125.91642001078432</v>
      </c>
      <c r="AI29" s="32">
        <f t="shared" si="7"/>
        <v>-77.458767951778455</v>
      </c>
      <c r="AJ29" s="33">
        <f t="shared" si="8"/>
        <v>-179.45955594586442</v>
      </c>
      <c r="AK29">
        <f t="shared" si="9"/>
        <v>-131.34411281088165</v>
      </c>
      <c r="AL29">
        <f t="shared" si="10"/>
        <v>-72.883658013852539</v>
      </c>
      <c r="AM29">
        <f t="shared" si="11"/>
        <v>-149.40403457462438</v>
      </c>
      <c r="AN29" s="32">
        <f t="shared" si="12"/>
        <v>-90.568055953140686</v>
      </c>
    </row>
    <row r="30" spans="1:40" x14ac:dyDescent="0.35">
      <c r="A30">
        <v>-20</v>
      </c>
      <c r="B30" s="24">
        <f t="shared" si="13"/>
        <v>1828.8786</v>
      </c>
      <c r="C30" s="24">
        <f t="shared" si="14"/>
        <v>1600.7036000000001</v>
      </c>
      <c r="D30" s="24">
        <f t="shared" si="15"/>
        <v>1418.4368960000002</v>
      </c>
      <c r="E30" s="26">
        <f t="shared" si="16"/>
        <v>1147.5468799999999</v>
      </c>
      <c r="F30" s="26">
        <f t="shared" si="17"/>
        <v>928.80399999999997</v>
      </c>
      <c r="G30" s="26">
        <f t="shared" si="18"/>
        <v>685.15146000000004</v>
      </c>
      <c r="H30" s="21"/>
      <c r="I30" s="33">
        <f>'Без ПКМ'!B5</f>
        <v>197.85202699937264</v>
      </c>
      <c r="J30">
        <f>'Без ПКМ'!G5*3600</f>
        <v>33528.707726676803</v>
      </c>
      <c r="K30">
        <f>'Без ПКМ'!H5</f>
        <v>206.94935951134502</v>
      </c>
      <c r="L30" s="32">
        <f>'Без ПКМ'!M5*3600</f>
        <v>34847.702632937529</v>
      </c>
      <c r="M30" s="34">
        <f>'10x15x4'!T5</f>
        <v>175.60794107714926</v>
      </c>
      <c r="N30" s="27">
        <f>'10x15x4'!AE5*3600</f>
        <v>35835.76373749401</v>
      </c>
      <c r="O30" s="27">
        <f>'10x15x4'!AY5</f>
        <v>211.98640660088176</v>
      </c>
      <c r="P30" s="35">
        <f>'10x15x4'!BK5*3600</f>
        <v>33022.417857548222</v>
      </c>
      <c r="Q30" s="34">
        <f>'10x15x6'!T5</f>
        <v>164.50090500611481</v>
      </c>
      <c r="R30" s="27">
        <f>'10x15x6'!AE5*3600</f>
        <v>37050.168701942399</v>
      </c>
      <c r="S30" s="27">
        <f>'10x15x6'!AY5</f>
        <v>219.60893439851642</v>
      </c>
      <c r="T30" s="35">
        <f>'10x15x6'!BK5*3600</f>
        <v>33022.417857548222</v>
      </c>
      <c r="U30" s="34">
        <f>'10x15x8'!T5</f>
        <v>154.81180636683516</v>
      </c>
      <c r="V30" s="27">
        <f>'10x15x8'!AE5*3600</f>
        <v>38370.766252902482</v>
      </c>
      <c r="W30" s="27">
        <f>'10x15x8'!AY5</f>
        <v>227.89541527023917</v>
      </c>
      <c r="X30" s="35">
        <f>'10x15x8'!BK5*3600</f>
        <v>33022.417857548222</v>
      </c>
      <c r="Z30" s="33">
        <f t="shared" si="19"/>
        <v>-88.309754334460507</v>
      </c>
      <c r="AA30">
        <f t="shared" si="0"/>
        <v>-65.174468780471472</v>
      </c>
      <c r="AB30">
        <f t="shared" si="20"/>
        <v>-38.897843762139452</v>
      </c>
      <c r="AC30">
        <f t="shared" si="1"/>
        <v>-80.040097572229698</v>
      </c>
      <c r="AD30" s="32">
        <f t="shared" si="2"/>
        <v>-43.495156640759639</v>
      </c>
      <c r="AE30" s="33">
        <f t="shared" si="3"/>
        <v>-133.3114016505522</v>
      </c>
      <c r="AF30">
        <f t="shared" si="4"/>
        <v>-94.900443791502326</v>
      </c>
      <c r="AG30">
        <f t="shared" si="5"/>
        <v>-50.841707449952487</v>
      </c>
      <c r="AH30">
        <f t="shared" si="6"/>
        <v>-112.52733169612725</v>
      </c>
      <c r="AI30" s="32">
        <f t="shared" si="7"/>
        <v>-62.396101449473818</v>
      </c>
      <c r="AJ30" s="33">
        <f t="shared" si="8"/>
        <v>-171.29609072661768</v>
      </c>
      <c r="AK30">
        <f t="shared" si="9"/>
        <v>-118.36604927873556</v>
      </c>
      <c r="AL30">
        <f t="shared" si="10"/>
        <v>-57.301147870480229</v>
      </c>
      <c r="AM30">
        <f t="shared" si="11"/>
        <v>-136.90755145557955</v>
      </c>
      <c r="AN30" s="32">
        <f t="shared" si="12"/>
        <v>-76.418612961622912</v>
      </c>
    </row>
    <row r="31" spans="1:40" x14ac:dyDescent="0.35">
      <c r="A31">
        <v>-15</v>
      </c>
      <c r="B31" s="24">
        <f t="shared" si="13"/>
        <v>1806.7988</v>
      </c>
      <c r="C31" s="24">
        <f t="shared" si="14"/>
        <v>1573.1675500000001</v>
      </c>
      <c r="D31" s="24">
        <f t="shared" si="15"/>
        <v>1372.6588154999999</v>
      </c>
      <c r="E31" s="26">
        <f t="shared" si="16"/>
        <v>1101.1818275000001</v>
      </c>
      <c r="F31" s="26">
        <f t="shared" si="17"/>
        <v>889.08659999999998</v>
      </c>
      <c r="G31" s="26">
        <f t="shared" si="18"/>
        <v>648.30124624999996</v>
      </c>
      <c r="H31" s="21"/>
      <c r="I31" s="33">
        <f>'Без ПКМ'!B6</f>
        <v>198.48648515336524</v>
      </c>
      <c r="J31">
        <f>'Без ПКМ'!G6*3600</f>
        <v>33260.974602110058</v>
      </c>
      <c r="K31">
        <f>'Без ПКМ'!H6</f>
        <v>209.69488283053695</v>
      </c>
      <c r="L31" s="32">
        <f>'Без ПКМ'!M6*3600</f>
        <v>34844.023135492804</v>
      </c>
      <c r="M31" s="34">
        <f>'10x15x4'!T6</f>
        <v>175.94626465601419</v>
      </c>
      <c r="N31" s="27">
        <f>'10x15x4'!AE6*3600</f>
        <v>35601.138046418622</v>
      </c>
      <c r="O31" s="27">
        <f>'10x15x4'!AY6</f>
        <v>214.27471545401593</v>
      </c>
      <c r="P31" s="35">
        <f>'10x15x4'!BK6*3600</f>
        <v>33018.711354675514</v>
      </c>
      <c r="Q31" s="34">
        <f>'10x15x6'!T6</f>
        <v>165.09325335173182</v>
      </c>
      <c r="R31" s="27">
        <f>'10x15x6'!AE6*3600</f>
        <v>36852.287755652491</v>
      </c>
      <c r="S31" s="27">
        <f>'10x15x6'!AY6</f>
        <v>221.99474136355175</v>
      </c>
      <c r="T31" s="35">
        <f>'10x15x6'!BK6*3600</f>
        <v>33018.711354675514</v>
      </c>
      <c r="U31" s="34">
        <f>'10x15x8'!T6</f>
        <v>154.81121392572135</v>
      </c>
      <c r="V31" s="27">
        <f>'10x15x8'!AE6*3600</f>
        <v>38107.890143393481</v>
      </c>
      <c r="W31" s="27">
        <f>'10x15x8'!AY6</f>
        <v>230.13856746742599</v>
      </c>
      <c r="X31" s="35">
        <f>'10x15x8'!BK6*3600</f>
        <v>33018.711354675514</v>
      </c>
      <c r="Z31" s="33">
        <f t="shared" si="19"/>
        <v>-89.936639229412066</v>
      </c>
      <c r="AA31">
        <f t="shared" si="0"/>
        <v>-67.140760678046377</v>
      </c>
      <c r="AB31">
        <f t="shared" si="20"/>
        <v>-41.151372731359004</v>
      </c>
      <c r="AC31">
        <f t="shared" si="1"/>
        <v>-81.983485372733014</v>
      </c>
      <c r="AD31" s="32">
        <f t="shared" si="2"/>
        <v>-45.431340813815694</v>
      </c>
      <c r="AE31" s="33">
        <f t="shared" si="3"/>
        <v>-133.74750535858865</v>
      </c>
      <c r="AF31">
        <f t="shared" si="4"/>
        <v>-95.552408698942628</v>
      </c>
      <c r="AG31">
        <f t="shared" si="5"/>
        <v>-51.895478874528777</v>
      </c>
      <c r="AH31">
        <f t="shared" si="6"/>
        <v>-112.38806378708769</v>
      </c>
      <c r="AI31" s="32">
        <f t="shared" si="7"/>
        <v>-63.390004170094443</v>
      </c>
      <c r="AJ31" s="33">
        <f t="shared" si="8"/>
        <v>-172.85310356568749</v>
      </c>
      <c r="AK31">
        <f t="shared" si="9"/>
        <v>-119.40328787684329</v>
      </c>
      <c r="AL31">
        <f t="shared" si="10"/>
        <v>-58.232690960852864</v>
      </c>
      <c r="AM31">
        <f t="shared" si="11"/>
        <v>-137.35141984015991</v>
      </c>
      <c r="AN31" s="32">
        <f t="shared" si="12"/>
        <v>-77.337825346141585</v>
      </c>
    </row>
    <row r="32" spans="1:40" x14ac:dyDescent="0.35">
      <c r="A32">
        <v>-10</v>
      </c>
      <c r="B32" s="24">
        <f t="shared" si="13"/>
        <v>1790.1897000000001</v>
      </c>
      <c r="C32" s="24">
        <f t="shared" si="14"/>
        <v>1551.1022</v>
      </c>
      <c r="D32" s="24">
        <f t="shared" si="15"/>
        <v>1336.1636120000001</v>
      </c>
      <c r="E32" s="26">
        <f t="shared" si="16"/>
        <v>1069.1365599999999</v>
      </c>
      <c r="F32" s="26">
        <f t="shared" si="17"/>
        <v>865.57950000000005</v>
      </c>
      <c r="G32" s="26">
        <f t="shared" si="18"/>
        <v>624.69196499999998</v>
      </c>
      <c r="I32" s="33">
        <f>'Без ПКМ'!B7</f>
        <v>198.83285532277509</v>
      </c>
      <c r="J32">
        <f>'Без ПКМ'!G7*3600</f>
        <v>32990.164526003333</v>
      </c>
      <c r="K32">
        <f>'Без ПКМ'!H7</f>
        <v>212.3005749713769</v>
      </c>
      <c r="L32" s="32">
        <f>'Без ПКМ'!M7*3600</f>
        <v>34852.098606796157</v>
      </c>
      <c r="M32" s="34">
        <f>'10x15x4'!T7</f>
        <v>176.24309114976802</v>
      </c>
      <c r="N32" s="27">
        <f>'10x15x4'!AE7*3600</f>
        <v>35372.700065431098</v>
      </c>
      <c r="O32" s="27">
        <f>'10x15x4'!AY7</f>
        <v>216.37172227158615</v>
      </c>
      <c r="P32" s="35">
        <f>'10x15x4'!BK7*3600</f>
        <v>33026.821909333441</v>
      </c>
      <c r="Q32" s="34">
        <f>'10x15x6'!T7</f>
        <v>165.40175437281249</v>
      </c>
      <c r="R32" s="27">
        <f>'10x15x6'!AE7*3600</f>
        <v>36625.978957259889</v>
      </c>
      <c r="S32" s="27">
        <f>'10x15x6'!AY7</f>
        <v>224.05340828475335</v>
      </c>
      <c r="T32" s="35">
        <f>'10x15x6'!BK7*3600</f>
        <v>33026.821909333441</v>
      </c>
      <c r="U32" s="34">
        <f>'10x15x8'!T7</f>
        <v>154.7667152569048</v>
      </c>
      <c r="V32" s="27">
        <f>'10x15x8'!AE7*3600</f>
        <v>37837.124427441588</v>
      </c>
      <c r="W32" s="27">
        <f>'10x15x8'!AY7</f>
        <v>232.17423345465349</v>
      </c>
      <c r="X32" s="35">
        <f>'10x15x8'!BK7*3600</f>
        <v>33026.821909333441</v>
      </c>
      <c r="Z32" s="33">
        <f t="shared" si="19"/>
        <v>-91.947953801079194</v>
      </c>
      <c r="AA32">
        <f t="shared" si="0"/>
        <v>-70.054543267488654</v>
      </c>
      <c r="AB32">
        <f t="shared" si="20"/>
        <v>-44.394731115465561</v>
      </c>
      <c r="AC32">
        <f t="shared" si="1"/>
        <v>-84.554325471536117</v>
      </c>
      <c r="AD32" s="32">
        <f t="shared" si="2"/>
        <v>-48.288172836020692</v>
      </c>
      <c r="AE32" s="33">
        <f t="shared" si="3"/>
        <v>-135.71497027769433</v>
      </c>
      <c r="AF32">
        <f t="shared" si="4"/>
        <v>-98.389874200438001</v>
      </c>
      <c r="AG32">
        <f t="shared" si="5"/>
        <v>-54.937510060499861</v>
      </c>
      <c r="AH32">
        <f t="shared" si="6"/>
        <v>-114.37059854894082</v>
      </c>
      <c r="AI32" s="32">
        <f t="shared" si="7"/>
        <v>-66.177332199747411</v>
      </c>
      <c r="AJ32" s="33">
        <f t="shared" si="8"/>
        <v>-174.95974566045777</v>
      </c>
      <c r="AK32">
        <f t="shared" si="9"/>
        <v>-121.99338561987193</v>
      </c>
      <c r="AL32">
        <f t="shared" si="10"/>
        <v>-60.527276899661459</v>
      </c>
      <c r="AM32">
        <f t="shared" si="11"/>
        <v>-138.8671079988174</v>
      </c>
      <c r="AN32" s="32">
        <f t="shared" si="12"/>
        <v>-79.533450190143043</v>
      </c>
    </row>
    <row r="33" spans="1:40" x14ac:dyDescent="0.35">
      <c r="A33">
        <v>-5</v>
      </c>
      <c r="B33" s="24">
        <f t="shared" si="13"/>
        <v>1783.5054</v>
      </c>
      <c r="C33" s="24">
        <f t="shared" si="14"/>
        <v>1538.96165</v>
      </c>
      <c r="D33" s="24">
        <f t="shared" si="15"/>
        <v>1308.9958265</v>
      </c>
      <c r="E33" s="26">
        <f t="shared" si="16"/>
        <v>1051.8472325</v>
      </c>
      <c r="F33" s="26">
        <f t="shared" si="17"/>
        <v>853.92115000000001</v>
      </c>
      <c r="G33" s="26">
        <f t="shared" si="18"/>
        <v>609.96206625000002</v>
      </c>
      <c r="I33" s="33">
        <f>'Без ПКМ'!B8</f>
        <v>199.70820992674109</v>
      </c>
      <c r="J33">
        <f>'Без ПКМ'!G8*3600</f>
        <v>32846.409835598621</v>
      </c>
      <c r="K33">
        <f>'Без ПКМ'!H8</f>
        <v>214.41340557814991</v>
      </c>
      <c r="L33" s="32">
        <f>'Без ПКМ'!M8*3600</f>
        <v>34878.497758439975</v>
      </c>
      <c r="M33" s="34">
        <f>'10x15x4'!T8</f>
        <v>177.53567797157086</v>
      </c>
      <c r="N33" s="27">
        <f>'10x15x4'!AE8*3600</f>
        <v>35286.045425489312</v>
      </c>
      <c r="O33" s="27">
        <f>'10x15x4'!AY8</f>
        <v>218.29290857278858</v>
      </c>
      <c r="P33" s="35">
        <f>'10x15x4'!BK8*3600</f>
        <v>33053.268590107844</v>
      </c>
      <c r="Q33" s="34">
        <f>'10x15x6'!T8</f>
        <v>166.66032050430897</v>
      </c>
      <c r="R33" s="27">
        <f>'10x15x6'!AE8*3600</f>
        <v>36534.044707386485</v>
      </c>
      <c r="S33" s="27">
        <f>'10x15x6'!AY8</f>
        <v>226.04086722432811</v>
      </c>
      <c r="T33" s="35">
        <f>'10x15x6'!BK8*3600</f>
        <v>33053.268590107844</v>
      </c>
      <c r="U33" s="34">
        <f>'10x15x8'!T8</f>
        <v>155.93411962098938</v>
      </c>
      <c r="V33" s="27">
        <f>'10x15x8'!AE8*3600</f>
        <v>37733.306422818263</v>
      </c>
      <c r="W33" s="27">
        <f>'10x15x8'!AY8</f>
        <v>234.26682540430795</v>
      </c>
      <c r="X33" s="35">
        <f>'10x15x8'!BK8*3600</f>
        <v>33053.344512236152</v>
      </c>
      <c r="Z33" s="33">
        <f t="shared" si="19"/>
        <v>-91.829804412946174</v>
      </c>
      <c r="AA33">
        <f t="shared" si="0"/>
        <v>-70.707102453243365</v>
      </c>
      <c r="AB33">
        <f t="shared" si="20"/>
        <v>-45.275507290658979</v>
      </c>
      <c r="AC33">
        <f t="shared" si="1"/>
        <v>-84.466359167434305</v>
      </c>
      <c r="AD33" s="32">
        <f t="shared" si="2"/>
        <v>-49.070340132439654</v>
      </c>
      <c r="AE33" s="33">
        <f t="shared" si="3"/>
        <v>-135.31596071792612</v>
      </c>
      <c r="AF33">
        <f t="shared" si="4"/>
        <v>-98.456128394113279</v>
      </c>
      <c r="AG33">
        <f t="shared" si="5"/>
        <v>-54.833104804891455</v>
      </c>
      <c r="AH33">
        <f t="shared" si="6"/>
        <v>-113.24659325146361</v>
      </c>
      <c r="AI33" s="32">
        <f t="shared" si="7"/>
        <v>-66.206797100641822</v>
      </c>
      <c r="AJ33" s="33">
        <f t="shared" si="8"/>
        <v>-174.178474923594</v>
      </c>
      <c r="AK33">
        <f t="shared" si="9"/>
        <v>-121.25990592826469</v>
      </c>
      <c r="AL33">
        <f t="shared" si="10"/>
        <v>-59.123439137888809</v>
      </c>
      <c r="AM33">
        <f t="shared" si="11"/>
        <v>-136.4959238266872</v>
      </c>
      <c r="AN33" s="32">
        <f t="shared" si="12"/>
        <v>-78.543558076340943</v>
      </c>
    </row>
    <row r="34" spans="1:40" x14ac:dyDescent="0.35">
      <c r="A34">
        <v>0</v>
      </c>
      <c r="B34" s="24">
        <f t="shared" si="13"/>
        <v>1791.2</v>
      </c>
      <c r="C34" s="24">
        <f t="shared" si="14"/>
        <v>1541.2</v>
      </c>
      <c r="D34" s="24">
        <f t="shared" si="15"/>
        <v>1291.2</v>
      </c>
      <c r="E34" s="26">
        <f t="shared" si="16"/>
        <v>1049.75</v>
      </c>
      <c r="F34" s="26">
        <f t="shared" si="17"/>
        <v>849.75</v>
      </c>
      <c r="G34" s="26">
        <f t="shared" si="18"/>
        <v>599.75</v>
      </c>
      <c r="I34" s="33">
        <f>'Без ПКМ'!B9</f>
        <v>198.73947885409888</v>
      </c>
      <c r="J34">
        <f>'Без ПКМ'!G9*3600</f>
        <v>32508.023889636039</v>
      </c>
      <c r="K34">
        <f>'Без ПКМ'!H9</f>
        <v>214.17359702034025</v>
      </c>
      <c r="L34" s="32">
        <f>'Без ПКМ'!M9*3600</f>
        <v>34642.965297644078</v>
      </c>
      <c r="M34" s="34">
        <f>'10x15x4'!T9</f>
        <v>177.5163239869276</v>
      </c>
      <c r="N34" s="27">
        <f>'10x15x4'!AE9*3600</f>
        <v>35037.72734758319</v>
      </c>
      <c r="O34" s="27">
        <f>'10x15x4'!AY9</f>
        <v>218.10069758265533</v>
      </c>
      <c r="P34" s="35">
        <f>'10x15x4'!BK9*3600</f>
        <v>32817.702994101463</v>
      </c>
      <c r="Q34" s="34">
        <f>'10x15x6'!T9</f>
        <v>166.42841300535827</v>
      </c>
      <c r="R34" s="27">
        <f>'10x15x6'!AE9*3600</f>
        <v>36253.017818059532</v>
      </c>
      <c r="S34" s="27">
        <f>'10x15x6'!AY9</f>
        <v>225.79889031763764</v>
      </c>
      <c r="T34" s="35">
        <f>'10x15x6'!BK9*3600</f>
        <v>32817.702994101463</v>
      </c>
      <c r="U34" s="34">
        <f>'10x15x8'!T9</f>
        <v>155.99045792951608</v>
      </c>
      <c r="V34" s="27">
        <f>'10x15x8'!AE9*3600</f>
        <v>37475.047307118417</v>
      </c>
      <c r="W34" s="27">
        <f>'10x15x8'!AY9</f>
        <v>234.0228819954965</v>
      </c>
      <c r="X34" s="35">
        <f>'10x15x8'!BK9*3600</f>
        <v>32818.694220011479</v>
      </c>
      <c r="Z34" s="33">
        <f t="shared" si="19"/>
        <v>-90.450595061361639</v>
      </c>
      <c r="AA34">
        <f t="shared" si="0"/>
        <v>-69.544970605309558</v>
      </c>
      <c r="AB34">
        <f t="shared" si="20"/>
        <v>-44.394715175823208</v>
      </c>
      <c r="AC34">
        <f t="shared" si="1"/>
        <v>-82.596393936731488</v>
      </c>
      <c r="AD34" s="32">
        <f t="shared" si="2"/>
        <v>-48.321815738138277</v>
      </c>
      <c r="AE34" s="33">
        <f t="shared" si="3"/>
        <v>-134.54284868257261</v>
      </c>
      <c r="AF34">
        <f t="shared" si="4"/>
        <v>-97.068702706282721</v>
      </c>
      <c r="AG34">
        <f t="shared" si="5"/>
        <v>-53.132343560244742</v>
      </c>
      <c r="AH34">
        <f t="shared" si="6"/>
        <v>-111.29226208797785</v>
      </c>
      <c r="AI34" s="32">
        <f t="shared" si="7"/>
        <v>-64.757636857542124</v>
      </c>
      <c r="AJ34" s="33">
        <f t="shared" si="8"/>
        <v>-173.42750986791728</v>
      </c>
      <c r="AK34">
        <f t="shared" si="9"/>
        <v>-119.37900815309479</v>
      </c>
      <c r="AL34">
        <f t="shared" si="10"/>
        <v>-56.780702253355763</v>
      </c>
      <c r="AM34">
        <f t="shared" si="11"/>
        <v>-133.72893991760478</v>
      </c>
      <c r="AN34" s="32">
        <f t="shared" si="12"/>
        <v>-76.629987228512007</v>
      </c>
    </row>
    <row r="35" spans="1:40" x14ac:dyDescent="0.35">
      <c r="A35">
        <v>5</v>
      </c>
      <c r="B35" s="24">
        <f t="shared" si="13"/>
        <v>1817.7275999999999</v>
      </c>
      <c r="C35" s="24">
        <f t="shared" si="14"/>
        <v>1562.27135</v>
      </c>
      <c r="D35" s="24">
        <f>A35^$B$13*$C$13+A35^$B$14*$C$14+A35^$B$15*$C$15+$C$16</f>
        <v>1282.8206735000001</v>
      </c>
      <c r="E35" s="26">
        <f t="shared" si="16"/>
        <v>1063.2810175</v>
      </c>
      <c r="F35" s="26">
        <f t="shared" si="17"/>
        <v>848.70450000000005</v>
      </c>
      <c r="G35" s="26">
        <f t="shared" si="18"/>
        <v>589.69421624999995</v>
      </c>
      <c r="I35" s="33">
        <f>'Без ПКМ'!B10</f>
        <v>194.29244468757045</v>
      </c>
      <c r="J35">
        <f>'Без ПКМ'!G10*3600</f>
        <v>31788.215781209554</v>
      </c>
      <c r="K35">
        <f>'Без ПКМ'!H10</f>
        <v>209.09347165135563</v>
      </c>
      <c r="L35" s="32">
        <f>'Без ПКМ'!M10*3600</f>
        <v>33871.511253258919</v>
      </c>
      <c r="M35" s="34">
        <f>'10x15x4'!T10</f>
        <v>174.96286593975464</v>
      </c>
      <c r="N35" s="27">
        <f>'10x15x4'!AE10*3600</f>
        <v>34477.331555603239</v>
      </c>
      <c r="O35" s="27">
        <f>'10x15x4'!AY10</f>
        <v>213.47371964808079</v>
      </c>
      <c r="P35" s="35">
        <f>'10x15x4'!BK10*3600</f>
        <v>32046.204227487178</v>
      </c>
      <c r="Q35" s="34">
        <f>'10x15x6'!T10</f>
        <v>164.22916321431606</v>
      </c>
      <c r="R35" s="27">
        <f>'10x15x6'!AE10*3600</f>
        <v>35714.832989662507</v>
      </c>
      <c r="S35" s="27">
        <f>'10x15x6'!AY10</f>
        <v>220.99364804510614</v>
      </c>
      <c r="T35" s="35">
        <f>'10x15x6'!BK10*3600</f>
        <v>32046.922537989598</v>
      </c>
      <c r="U35" s="34">
        <f>'10x15x8'!T10</f>
        <v>154.39243634513252</v>
      </c>
      <c r="V35" s="27">
        <f>'10x15x8'!AE10*3600</f>
        <v>36996.442584007767</v>
      </c>
      <c r="W35" s="27">
        <f>'10x15x8'!AY10</f>
        <v>229.68426088607919</v>
      </c>
      <c r="X35" s="35">
        <f>'10x15x8'!BK10*3600</f>
        <v>32048.238430914662</v>
      </c>
      <c r="Z35" s="33">
        <f t="shared" si="19"/>
        <v>-86.242592090917128</v>
      </c>
      <c r="AA35">
        <f t="shared" si="0"/>
        <v>-64.755644257433346</v>
      </c>
      <c r="AB35">
        <f t="shared" si="20"/>
        <v>-40.253558643220678</v>
      </c>
      <c r="AC35">
        <f t="shared" si="1"/>
        <v>-76.870492117972972</v>
      </c>
      <c r="AD35" s="32">
        <f t="shared" si="2"/>
        <v>-44.729405552474361</v>
      </c>
      <c r="AE35" s="33">
        <f t="shared" si="3"/>
        <v>-131.30485726277513</v>
      </c>
      <c r="AF35">
        <f t="shared" si="4"/>
        <v>-92.199310915350708</v>
      </c>
      <c r="AG35">
        <f t="shared" si="5"/>
        <v>-48.892616912431635</v>
      </c>
      <c r="AH35">
        <f t="shared" si="6"/>
        <v>-105.84291014441938</v>
      </c>
      <c r="AI35" s="32">
        <f t="shared" si="7"/>
        <v>-61.052514655975742</v>
      </c>
      <c r="AJ35" s="33">
        <f t="shared" si="8"/>
        <v>-167.91694963854681</v>
      </c>
      <c r="AK35">
        <f t="shared" si="9"/>
        <v>-110.6540903599321</v>
      </c>
      <c r="AL35">
        <f t="shared" si="10"/>
        <v>-48.275857220551785</v>
      </c>
      <c r="AM35">
        <f t="shared" si="11"/>
        <v>-123.86032650352578</v>
      </c>
      <c r="AN35" s="32">
        <f t="shared" si="12"/>
        <v>-69.316040430323199</v>
      </c>
    </row>
    <row r="36" spans="1:40" ht="15" thickBot="1" x14ac:dyDescent="0.4">
      <c r="A36">
        <v>8</v>
      </c>
      <c r="B36" s="24">
        <f t="shared" si="13"/>
        <v>1844.5369056</v>
      </c>
      <c r="C36" s="24">
        <f t="shared" si="14"/>
        <v>1585.8069055999999</v>
      </c>
      <c r="D36" s="24">
        <f>A36^$B$13*$C$13+A36^$B$14*$C$14+A36^$B$15*$C$15+$C$16</f>
        <v>1282.3315266560001</v>
      </c>
      <c r="E36" s="26">
        <f t="shared" si="16"/>
        <v>1079.08262848</v>
      </c>
      <c r="F36" s="26">
        <f t="shared" si="17"/>
        <v>847.76310720000004</v>
      </c>
      <c r="G36" s="26">
        <f t="shared" si="18"/>
        <v>581.92135680000001</v>
      </c>
      <c r="I36" s="33">
        <f>'Без ПКМ'!B11</f>
        <v>191.17246153573632</v>
      </c>
      <c r="J36">
        <f>'Без ПКМ'!G11*3600</f>
        <v>31342.166069435472</v>
      </c>
      <c r="K36">
        <f>'Без ПКМ'!H11</f>
        <v>205.95308292677296</v>
      </c>
      <c r="L36" s="32">
        <f>'Без ПКМ'!M11*3600</f>
        <v>33424.329104008168</v>
      </c>
      <c r="M36" s="34">
        <f>'10x15x4'!T11</f>
        <v>171.46631140579029</v>
      </c>
      <c r="N36" s="27">
        <f>'10x15x4'!AE11*3600</f>
        <v>33982.12568784663</v>
      </c>
      <c r="O36" s="27">
        <f>'10x15x4'!AY11</f>
        <v>210.25290888585744</v>
      </c>
      <c r="P36" s="35">
        <f>'10x15x4'!BK11*3600</f>
        <v>31599.54306396336</v>
      </c>
      <c r="Q36" s="34">
        <f>'10x15x6'!T11</f>
        <v>161.79267065660849</v>
      </c>
      <c r="R36" s="27">
        <f>'10x15x6'!AE11*3600</f>
        <v>35325.358927628746</v>
      </c>
      <c r="S36" s="27">
        <f>'10x15x6'!AY11</f>
        <v>218.08229471783972</v>
      </c>
      <c r="T36" s="35">
        <f>'10x15x6'!BK11*3600</f>
        <v>31600.415899153417</v>
      </c>
      <c r="U36" s="34">
        <f>'10x15x8'!T11</f>
        <v>152.21061234164702</v>
      </c>
      <c r="V36" s="27">
        <f>'10x15x8'!AE11*3600</f>
        <v>36628.969582557038</v>
      </c>
      <c r="W36" s="27">
        <f>'10x15x8'!AY11</f>
        <v>226.79292951885699</v>
      </c>
      <c r="X36" s="35">
        <f>'10x15x8'!BK11*3600</f>
        <v>31601.818241428755</v>
      </c>
      <c r="Z36" s="36">
        <f t="shared" si="19"/>
        <v>-88.018361393350062</v>
      </c>
      <c r="AA36" s="37">
        <f t="shared" si="0"/>
        <v>-64.565127286720752</v>
      </c>
      <c r="AB36" s="37">
        <f t="shared" si="20"/>
        <v>-39.16028162838488</v>
      </c>
      <c r="AC36" s="37">
        <f t="shared" si="1"/>
        <v>-78.34882026246872</v>
      </c>
      <c r="AD36" s="38">
        <f t="shared" si="2"/>
        <v>-43.61025750996059</v>
      </c>
      <c r="AE36" s="36">
        <f t="shared" si="3"/>
        <v>-130.86023768825456</v>
      </c>
      <c r="AF36" s="37">
        <f t="shared" si="4"/>
        <v>-88.952092464045066</v>
      </c>
      <c r="AG36" s="37">
        <f t="shared" si="5"/>
        <v>-45.157828462461097</v>
      </c>
      <c r="AH36" s="37">
        <f t="shared" si="6"/>
        <v>-103.58380524309972</v>
      </c>
      <c r="AI36" s="38">
        <f t="shared" si="7"/>
        <v>-57.710592329271897</v>
      </c>
      <c r="AJ36" s="36">
        <f t="shared" si="8"/>
        <v>-167.58694736389899</v>
      </c>
      <c r="AK36" s="37">
        <f t="shared" si="9"/>
        <v>-106.23888078218765</v>
      </c>
      <c r="AL36" s="37">
        <f t="shared" si="10"/>
        <v>-43.240561992797971</v>
      </c>
      <c r="AM36" s="37">
        <f t="shared" si="11"/>
        <v>-120.72185196214926</v>
      </c>
      <c r="AN36" s="38">
        <f t="shared" si="12"/>
        <v>-64.808136027877566</v>
      </c>
    </row>
    <row r="37" spans="1:40" x14ac:dyDescent="0.35">
      <c r="M37" s="27"/>
      <c r="V37" s="21"/>
      <c r="X37" s="21"/>
    </row>
    <row r="38" spans="1:40" x14ac:dyDescent="0.35">
      <c r="M38" s="27"/>
      <c r="X38" s="21"/>
    </row>
    <row r="46" spans="1:40" x14ac:dyDescent="0.35">
      <c r="E46" s="21"/>
      <c r="F46" s="21"/>
      <c r="G46" s="21"/>
      <c r="H46" s="21"/>
      <c r="I46" s="21"/>
      <c r="J46" s="21"/>
      <c r="K46" s="21"/>
      <c r="L46" s="21"/>
    </row>
    <row r="47" spans="1:40" x14ac:dyDescent="0.35">
      <c r="E47" s="21"/>
      <c r="F47" s="21"/>
      <c r="G47" s="21"/>
      <c r="H47" s="21"/>
      <c r="I47" s="21"/>
      <c r="J47" s="21"/>
      <c r="K47" s="21"/>
      <c r="L47" s="21"/>
    </row>
    <row r="48" spans="1:40" x14ac:dyDescent="0.35">
      <c r="E48" s="21"/>
      <c r="F48" s="21"/>
      <c r="G48" s="21"/>
      <c r="H48" s="21"/>
      <c r="I48" s="21"/>
      <c r="J48" s="21"/>
      <c r="K48" s="21"/>
      <c r="L48" s="21"/>
    </row>
  </sheetData>
  <mergeCells count="3">
    <mergeCell ref="Z24:AD24"/>
    <mergeCell ref="AE24:AI24"/>
    <mergeCell ref="AJ24:AN2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10x15x4</vt:lpstr>
      <vt:lpstr>10x15x6</vt:lpstr>
      <vt:lpstr>10x15x8</vt:lpstr>
      <vt:lpstr>Без ПКМ</vt:lpstr>
      <vt:lpstr>Экономика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Наумов Владимир Юрьевич</dc:creator>
  <cp:lastModifiedBy>Наумов Владимир Юрьевич</cp:lastModifiedBy>
  <dcterms:created xsi:type="dcterms:W3CDTF">2015-06-05T18:17:20Z</dcterms:created>
  <dcterms:modified xsi:type="dcterms:W3CDTF">2022-12-15T08:25:00Z</dcterms:modified>
</cp:coreProperties>
</file>