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aumovVY\Documents\GitHub\GZ\ПКМ\"/>
    </mc:Choice>
  </mc:AlternateContent>
  <xr:revisionPtr revIDLastSave="0" documentId="13_ncr:1_{89F93AF0-D978-4D8C-84F6-AE6E0E1B156E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Без ПКМ" sheetId="3" r:id="rId1"/>
    <sheet name="10x15x8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3" i="3"/>
  <c r="D4" i="3"/>
  <c r="D5" i="3"/>
  <c r="D6" i="3"/>
  <c r="D7" i="3"/>
  <c r="D8" i="3"/>
  <c r="D9" i="3"/>
  <c r="D10" i="3"/>
  <c r="D11" i="3"/>
  <c r="D3" i="3"/>
  <c r="R14" i="2" l="1"/>
  <c r="B3" i="2"/>
  <c r="B4" i="2"/>
  <c r="B5" i="2"/>
  <c r="B6" i="2"/>
  <c r="B7" i="2"/>
  <c r="B8" i="2"/>
  <c r="B9" i="2"/>
  <c r="B10" i="2"/>
  <c r="B11" i="2"/>
  <c r="AT3" i="2"/>
  <c r="AR3" i="2"/>
  <c r="AQ3" i="2"/>
  <c r="AP3" i="2"/>
  <c r="AO3" i="2"/>
  <c r="AN3" i="2"/>
  <c r="AM3" i="2"/>
  <c r="AL3" i="2"/>
  <c r="AK3" i="2"/>
  <c r="AJ3" i="2"/>
  <c r="AI3" i="2"/>
  <c r="AU3" i="2" s="1"/>
  <c r="AH3" i="2"/>
  <c r="AG3" i="2"/>
  <c r="AF3" i="2"/>
  <c r="AE3" i="2"/>
  <c r="AD3" i="2"/>
  <c r="Q3" i="2"/>
  <c r="P3" i="2"/>
  <c r="O3" i="2"/>
  <c r="M3" i="2"/>
  <c r="L3" i="2"/>
  <c r="K3" i="2"/>
  <c r="J3" i="2"/>
  <c r="I3" i="2"/>
  <c r="H3" i="2"/>
  <c r="G3" i="2"/>
  <c r="F3" i="2"/>
  <c r="E3" i="2"/>
  <c r="D3" i="2"/>
  <c r="C3" i="2"/>
  <c r="AT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Q4" i="2"/>
  <c r="P4" i="2"/>
  <c r="O4" i="2"/>
  <c r="M4" i="2"/>
  <c r="L4" i="2"/>
  <c r="K4" i="2"/>
  <c r="J4" i="2"/>
  <c r="I4" i="2"/>
  <c r="H4" i="2"/>
  <c r="G4" i="2"/>
  <c r="F4" i="2"/>
  <c r="E4" i="2"/>
  <c r="D4" i="2"/>
  <c r="C4" i="2"/>
  <c r="AT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Z5" i="2" s="1"/>
  <c r="AD5" i="2"/>
  <c r="Q5" i="2"/>
  <c r="P5" i="2"/>
  <c r="O5" i="2"/>
  <c r="M5" i="2"/>
  <c r="L5" i="2"/>
  <c r="K5" i="2"/>
  <c r="J5" i="2"/>
  <c r="I5" i="2"/>
  <c r="H5" i="2"/>
  <c r="G5" i="2"/>
  <c r="F5" i="2"/>
  <c r="E5" i="2"/>
  <c r="D5" i="2"/>
  <c r="C5" i="2"/>
  <c r="AT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Q6" i="2"/>
  <c r="P6" i="2"/>
  <c r="O6" i="2"/>
  <c r="M6" i="2"/>
  <c r="L6" i="2"/>
  <c r="K6" i="2"/>
  <c r="J6" i="2"/>
  <c r="I6" i="2"/>
  <c r="H6" i="2"/>
  <c r="G6" i="2"/>
  <c r="F6" i="2"/>
  <c r="E6" i="2"/>
  <c r="D6" i="2"/>
  <c r="C6" i="2"/>
  <c r="AT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Q7" i="2"/>
  <c r="P7" i="2"/>
  <c r="O7" i="2"/>
  <c r="M7" i="2"/>
  <c r="L7" i="2"/>
  <c r="K7" i="2"/>
  <c r="J7" i="2"/>
  <c r="I7" i="2"/>
  <c r="H7" i="2"/>
  <c r="G7" i="2"/>
  <c r="F7" i="2"/>
  <c r="E7" i="2"/>
  <c r="D7" i="2"/>
  <c r="C7" i="2"/>
  <c r="AT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V8" i="2" s="1"/>
  <c r="AT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Z9" i="2" s="1"/>
  <c r="AD9" i="2"/>
  <c r="Q9" i="2"/>
  <c r="P9" i="2"/>
  <c r="O9" i="2"/>
  <c r="M9" i="2"/>
  <c r="L9" i="2"/>
  <c r="K9" i="2"/>
  <c r="J9" i="2"/>
  <c r="I9" i="2"/>
  <c r="H9" i="2"/>
  <c r="G9" i="2"/>
  <c r="F9" i="2"/>
  <c r="E9" i="2"/>
  <c r="D9" i="2"/>
  <c r="C9" i="2"/>
  <c r="AT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Q10" i="2"/>
  <c r="P10" i="2"/>
  <c r="O10" i="2"/>
  <c r="M10" i="2"/>
  <c r="L10" i="2"/>
  <c r="K10" i="2"/>
  <c r="J10" i="2"/>
  <c r="I10" i="2"/>
  <c r="H10" i="2"/>
  <c r="G10" i="2"/>
  <c r="F10" i="2"/>
  <c r="E10" i="2"/>
  <c r="D10" i="2"/>
  <c r="C10" i="2"/>
  <c r="AT11" i="2"/>
  <c r="O11" i="2"/>
  <c r="P11" i="2"/>
  <c r="AR11" i="2"/>
  <c r="AQ11" i="2"/>
  <c r="AP11" i="2"/>
  <c r="AH11" i="2"/>
  <c r="AO11" i="2"/>
  <c r="AN11" i="2"/>
  <c r="AM11" i="2"/>
  <c r="AL11" i="2"/>
  <c r="AK11" i="2"/>
  <c r="AJ11" i="2"/>
  <c r="AI11" i="2"/>
  <c r="AG11" i="2"/>
  <c r="AF11" i="2"/>
  <c r="AE11" i="2"/>
  <c r="AD11" i="2"/>
  <c r="M11" i="2"/>
  <c r="L11" i="2"/>
  <c r="K11" i="2"/>
  <c r="E11" i="2"/>
  <c r="J11" i="2"/>
  <c r="I11" i="2"/>
  <c r="H11" i="2"/>
  <c r="G11" i="2"/>
  <c r="F11" i="2"/>
  <c r="D11" i="2"/>
  <c r="Q11" i="2"/>
  <c r="C11" i="2"/>
  <c r="R3" i="2"/>
  <c r="R11" i="2"/>
  <c r="R4" i="2"/>
  <c r="S23" i="2"/>
  <c r="R5" i="2"/>
  <c r="R6" i="2"/>
  <c r="R8" i="2"/>
  <c r="R9" i="2"/>
  <c r="R7" i="2"/>
  <c r="R10" i="2"/>
  <c r="W8" i="2" l="1"/>
  <c r="AZ7" i="2"/>
  <c r="AZ3" i="2"/>
  <c r="AY4" i="2"/>
  <c r="AZ8" i="2"/>
  <c r="AZ4" i="2"/>
  <c r="AZ11" i="2"/>
  <c r="AZ10" i="2"/>
  <c r="AZ6" i="2"/>
  <c r="AY9" i="2"/>
  <c r="AY5" i="2"/>
  <c r="AY11" i="2"/>
  <c r="AY10" i="2"/>
  <c r="AY6" i="2"/>
  <c r="AY8" i="2"/>
  <c r="AY7" i="2"/>
  <c r="AY3" i="2"/>
  <c r="W6" i="2"/>
  <c r="V9" i="2"/>
  <c r="V5" i="2"/>
  <c r="W5" i="2"/>
  <c r="V4" i="2"/>
  <c r="W7" i="2"/>
  <c r="W4" i="2"/>
  <c r="V10" i="2"/>
  <c r="V6" i="2"/>
  <c r="W11" i="2"/>
  <c r="V11" i="2"/>
  <c r="V7" i="2"/>
  <c r="N5" i="2"/>
  <c r="U5" i="2" s="1"/>
  <c r="AS4" i="2"/>
  <c r="AX4" i="2" s="1"/>
  <c r="W3" i="2"/>
  <c r="W9" i="2"/>
  <c r="W10" i="2"/>
  <c r="AS9" i="2"/>
  <c r="AX9" i="2" s="1"/>
  <c r="N6" i="2"/>
  <c r="U6" i="2" s="1"/>
  <c r="AV5" i="2"/>
  <c r="N4" i="2"/>
  <c r="U4" i="2" s="1"/>
  <c r="V3" i="2"/>
  <c r="AA3" i="2" s="1"/>
  <c r="N10" i="2"/>
  <c r="U10" i="2" s="1"/>
  <c r="AV6" i="2"/>
  <c r="AS5" i="2"/>
  <c r="AX5" i="2" s="1"/>
  <c r="N9" i="2"/>
  <c r="U9" i="2" s="1"/>
  <c r="AV9" i="2"/>
  <c r="T10" i="2"/>
  <c r="AV8" i="2"/>
  <c r="AS10" i="2"/>
  <c r="AX10" i="2" s="1"/>
  <c r="AV7" i="2"/>
  <c r="AV3" i="2"/>
  <c r="AV4" i="2"/>
  <c r="AU6" i="2"/>
  <c r="AS3" i="2"/>
  <c r="AX3" i="2" s="1"/>
  <c r="AS8" i="2"/>
  <c r="AX8" i="2" s="1"/>
  <c r="AU9" i="2"/>
  <c r="T8" i="2"/>
  <c r="AB8" i="2" s="1"/>
  <c r="T7" i="2"/>
  <c r="AU4" i="2"/>
  <c r="T3" i="2"/>
  <c r="AV10" i="2"/>
  <c r="AU8" i="2"/>
  <c r="T9" i="2"/>
  <c r="AB9" i="2" s="1"/>
  <c r="T6" i="2"/>
  <c r="N3" i="2"/>
  <c r="U3" i="2" s="1"/>
  <c r="N7" i="2"/>
  <c r="U7" i="2" s="1"/>
  <c r="AS6" i="2"/>
  <c r="AX6" i="2" s="1"/>
  <c r="T5" i="2"/>
  <c r="N8" i="2"/>
  <c r="U8" i="2" s="1"/>
  <c r="AU5" i="2"/>
  <c r="T4" i="2"/>
  <c r="AU10" i="2"/>
  <c r="AU7" i="2"/>
  <c r="AS7" i="2"/>
  <c r="AX7" i="2" s="1"/>
  <c r="S9" i="2"/>
  <c r="S8" i="2"/>
  <c r="S3" i="2"/>
  <c r="S4" i="2"/>
  <c r="S10" i="2"/>
  <c r="S7" i="2"/>
  <c r="S5" i="2"/>
  <c r="S6" i="2"/>
  <c r="S11" i="2"/>
  <c r="BI6" i="2" l="1"/>
  <c r="AB6" i="2"/>
  <c r="BI10" i="2"/>
  <c r="AB10" i="2"/>
  <c r="AB5" i="2"/>
  <c r="AB3" i="2"/>
  <c r="AB4" i="2"/>
  <c r="AB7" i="2"/>
  <c r="AA7" i="2"/>
  <c r="AA8" i="2"/>
  <c r="BA3" i="2"/>
  <c r="BB3" i="2"/>
  <c r="BC3" i="2"/>
  <c r="BA5" i="2"/>
  <c r="BC5" i="2"/>
  <c r="BB5" i="2"/>
  <c r="BA8" i="2"/>
  <c r="BC8" i="2"/>
  <c r="BB8" i="2"/>
  <c r="BD9" i="2"/>
  <c r="BE9" i="2"/>
  <c r="AA9" i="2"/>
  <c r="BE10" i="2"/>
  <c r="BD10" i="2"/>
  <c r="BA6" i="2"/>
  <c r="BC6" i="2"/>
  <c r="BB6" i="2"/>
  <c r="BE4" i="2"/>
  <c r="BD4" i="2"/>
  <c r="BE3" i="2"/>
  <c r="BD3" i="2"/>
  <c r="BE6" i="2"/>
  <c r="BD6" i="2"/>
  <c r="BC4" i="2"/>
  <c r="BB4" i="2"/>
  <c r="BE7" i="2"/>
  <c r="BD7" i="2"/>
  <c r="AA10" i="2"/>
  <c r="BA7" i="2"/>
  <c r="BC7" i="2"/>
  <c r="BB7" i="2"/>
  <c r="BA10" i="2"/>
  <c r="BC10" i="2"/>
  <c r="BB10" i="2"/>
  <c r="BE8" i="2"/>
  <c r="BD8" i="2"/>
  <c r="BC9" i="2"/>
  <c r="BB9" i="2"/>
  <c r="BE5" i="2"/>
  <c r="BD5" i="2"/>
  <c r="AA11" i="2"/>
  <c r="AA4" i="2"/>
  <c r="Z4" i="2"/>
  <c r="BA4" i="2"/>
  <c r="BA9" i="2"/>
  <c r="AC9" i="2"/>
  <c r="AC5" i="2"/>
  <c r="Y5" i="2"/>
  <c r="AC7" i="2"/>
  <c r="AW5" i="2"/>
  <c r="AC6" i="2"/>
  <c r="Z7" i="2"/>
  <c r="AC3" i="2"/>
  <c r="Z8" i="2"/>
  <c r="BH10" i="2"/>
  <c r="AC10" i="2"/>
  <c r="AW3" i="2"/>
  <c r="X3" i="2"/>
  <c r="Z3" i="2"/>
  <c r="Z10" i="2"/>
  <c r="X10" i="2"/>
  <c r="BI5" i="2"/>
  <c r="Z5" i="2"/>
  <c r="AC8" i="2"/>
  <c r="AC4" i="2"/>
  <c r="Z6" i="2"/>
  <c r="Y6" i="2"/>
  <c r="X9" i="2"/>
  <c r="Z9" i="2"/>
  <c r="AA5" i="2"/>
  <c r="X5" i="2"/>
  <c r="BH9" i="2"/>
  <c r="BH3" i="2"/>
  <c r="BI7" i="2"/>
  <c r="X7" i="2"/>
  <c r="AA6" i="2"/>
  <c r="X4" i="2"/>
  <c r="X6" i="2"/>
  <c r="BI8" i="2"/>
  <c r="X8" i="2"/>
  <c r="BH4" i="2"/>
  <c r="BH6" i="2"/>
  <c r="AW6" i="2"/>
  <c r="BH8" i="2"/>
  <c r="BH5" i="2"/>
  <c r="AW10" i="2"/>
  <c r="AW9" i="2"/>
  <c r="BI3" i="2"/>
  <c r="Y10" i="2"/>
  <c r="Y7" i="2"/>
  <c r="AW8" i="2"/>
  <c r="BH7" i="2"/>
  <c r="AW7" i="2"/>
  <c r="AW4" i="2"/>
  <c r="Y3" i="2"/>
  <c r="BI4" i="2"/>
  <c r="Y4" i="2"/>
  <c r="BI9" i="2"/>
  <c r="Y8" i="2"/>
  <c r="Y9" i="2"/>
  <c r="AS11" i="2"/>
  <c r="AX11" i="2" s="1"/>
  <c r="N11" i="2"/>
  <c r="U11" i="2" s="1"/>
  <c r="AU11" i="2"/>
  <c r="AV11" i="2"/>
  <c r="BF7" i="2" l="1"/>
  <c r="BG7" i="2"/>
  <c r="BF8" i="2"/>
  <c r="BG8" i="2"/>
  <c r="BJ5" i="2"/>
  <c r="BG5" i="2"/>
  <c r="BF5" i="2"/>
  <c r="BG9" i="2"/>
  <c r="BF9" i="2"/>
  <c r="BG6" i="2"/>
  <c r="BF6" i="2"/>
  <c r="BG3" i="2"/>
  <c r="BF3" i="2"/>
  <c r="BG4" i="2"/>
  <c r="BF4" i="2"/>
  <c r="BF10" i="2"/>
  <c r="BG10" i="2"/>
  <c r="BA11" i="2"/>
  <c r="BC11" i="2"/>
  <c r="BB11" i="2"/>
  <c r="BD11" i="2"/>
  <c r="BE11" i="2"/>
  <c r="BJ8" i="2"/>
  <c r="BJ6" i="2"/>
  <c r="BJ4" i="2"/>
  <c r="BJ9" i="2"/>
  <c r="BJ3" i="2"/>
  <c r="BJ7" i="2"/>
  <c r="BJ10" i="2"/>
  <c r="BH11" i="2"/>
  <c r="AW11" i="2"/>
  <c r="BG11" i="2" l="1"/>
  <c r="BF11" i="2"/>
  <c r="BJ11" i="2"/>
  <c r="T11" i="2"/>
  <c r="AB11" i="2" s="1"/>
  <c r="Z11" i="2" l="1"/>
  <c r="AC11" i="2"/>
  <c r="X11" i="2"/>
  <c r="Y11" i="2"/>
  <c r="BI11" i="2"/>
</calcChain>
</file>

<file path=xl/sharedStrings.xml><?xml version="1.0" encoding="utf-8"?>
<sst xmlns="http://schemas.openxmlformats.org/spreadsheetml/2006/main" count="91" uniqueCount="69">
  <si>
    <t>T air</t>
  </si>
  <si>
    <t>n_GTU</t>
  </si>
  <si>
    <t>GTU</t>
  </si>
  <si>
    <t>Turbine</t>
  </si>
  <si>
    <t>KN</t>
  </si>
  <si>
    <t>DK</t>
  </si>
  <si>
    <t>PEN</t>
  </si>
  <si>
    <t>Заряд</t>
  </si>
  <si>
    <t>Разряд</t>
  </si>
  <si>
    <t>SGgtu_comp</t>
  </si>
  <si>
    <t>SGgtu_turb</t>
  </si>
  <si>
    <t>КПД эд</t>
  </si>
  <si>
    <t>КПД мех</t>
  </si>
  <si>
    <t>КПД эг</t>
  </si>
  <si>
    <t>N ПГУ заряд</t>
  </si>
  <si>
    <t>N ПГУ разряд</t>
  </si>
  <si>
    <t>N пиковой ГТУ</t>
  </si>
  <si>
    <t>Q теплофик</t>
  </si>
  <si>
    <t>Q СП1</t>
  </si>
  <si>
    <t>Q СП2</t>
  </si>
  <si>
    <t>Q от ПКМ</t>
  </si>
  <si>
    <t>Q ГВТО</t>
  </si>
  <si>
    <t>N разряд сумм</t>
  </si>
  <si>
    <t>dQ теплофик</t>
  </si>
  <si>
    <t>Gsg mGTU</t>
  </si>
  <si>
    <t>Gsg sgGTU</t>
  </si>
  <si>
    <t>Qnr sg</t>
  </si>
  <si>
    <t>KPD GTU</t>
  </si>
  <si>
    <t>Qnr CH4</t>
  </si>
  <si>
    <t>КПД</t>
  </si>
  <si>
    <t>N</t>
  </si>
  <si>
    <t>Минимум нагрузки</t>
  </si>
  <si>
    <t>Номинальная нагрузка</t>
  </si>
  <si>
    <t>dN зарядка</t>
  </si>
  <si>
    <t>dN разрядка</t>
  </si>
  <si>
    <t>Q турбины</t>
  </si>
  <si>
    <t>Q ОД</t>
  </si>
  <si>
    <t>Qпп</t>
  </si>
  <si>
    <t>G газ ПКМ</t>
  </si>
  <si>
    <t>dH газ ПКМ</t>
  </si>
  <si>
    <t>Состав уходящих газов ПКМ</t>
  </si>
  <si>
    <t>N2</t>
  </si>
  <si>
    <t>O2</t>
  </si>
  <si>
    <t>CO2</t>
  </si>
  <si>
    <t>H2O</t>
  </si>
  <si>
    <t>Ar</t>
  </si>
  <si>
    <t>Температура конца</t>
  </si>
  <si>
    <t>Влажность</t>
  </si>
  <si>
    <t>Q газ ПКМ</t>
  </si>
  <si>
    <t>КПД ПГУ простой</t>
  </si>
  <si>
    <t>КПД ПГУ физ метод</t>
  </si>
  <si>
    <t>КИТТ</t>
  </si>
  <si>
    <t>КИТТ ПГУ</t>
  </si>
  <si>
    <t>МДж/кг</t>
  </si>
  <si>
    <t>Теплота сгорания метана (нр)</t>
  </si>
  <si>
    <t>КПД ПКМ физ метод</t>
  </si>
  <si>
    <t>G CH4 ref comb</t>
  </si>
  <si>
    <t>G CH4 ref ПКМ</t>
  </si>
  <si>
    <t>Q ПКМ гор</t>
  </si>
  <si>
    <t>Q ПКМ риф</t>
  </si>
  <si>
    <t>КИТТ всей установки</t>
  </si>
  <si>
    <t>Q пик ГТУ</t>
  </si>
  <si>
    <t>Q осн ГТУ</t>
  </si>
  <si>
    <t>КПД пик ГТУ физ метод</t>
  </si>
  <si>
    <t>КИТТ пик ГТУ</t>
  </si>
  <si>
    <t>Номинальный режим</t>
  </si>
  <si>
    <t xml:space="preserve">Зарядка </t>
  </si>
  <si>
    <t>Разрядка</t>
  </si>
  <si>
    <t>КПД всей установки физ метод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</si>
</sst>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Border="1"/>
    <xf numFmtId="2" fontId="1" fillId="0" borderId="9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'10x15x8'!$T$3:$T$11</c:f>
              <c:numCache>
                <c:formatCode>0.00</c:formatCode>
                <c:ptCount val="9"/>
                <c:pt idx="0">
                  <c:v>136.11913718198772</c:v>
                </c:pt>
                <c:pt idx="1">
                  <c:v>146.59766219882388</c:v>
                </c:pt>
                <c:pt idx="2">
                  <c:v>154.81180636683516</c:v>
                </c:pt>
                <c:pt idx="3">
                  <c:v>154.81121392572135</c:v>
                </c:pt>
                <c:pt idx="4">
                  <c:v>154.7667152569048</c:v>
                </c:pt>
                <c:pt idx="5">
                  <c:v>155.93411962098938</c:v>
                </c:pt>
                <c:pt idx="6">
                  <c:v>155.99045792951608</c:v>
                </c:pt>
                <c:pt idx="7">
                  <c:v>154.39243634513252</c:v>
                </c:pt>
                <c:pt idx="8">
                  <c:v>152.21061234164702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42-4D34-AE38-C1A734FEE4B6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'10x15x8'!$AW$3:$AW$11</c:f>
              <c:numCache>
                <c:formatCode>0.00</c:formatCode>
                <c:ptCount val="9"/>
                <c:pt idx="0">
                  <c:v>223.1101859064951</c:v>
                </c:pt>
                <c:pt idx="1">
                  <c:v>224.97870601532102</c:v>
                </c:pt>
                <c:pt idx="2">
                  <c:v>227.89541527023917</c:v>
                </c:pt>
                <c:pt idx="3">
                  <c:v>230.13856746742599</c:v>
                </c:pt>
                <c:pt idx="4">
                  <c:v>232.17423345465349</c:v>
                </c:pt>
                <c:pt idx="5">
                  <c:v>234.26682540430795</c:v>
                </c:pt>
                <c:pt idx="6">
                  <c:v>234.0228819954965</c:v>
                </c:pt>
                <c:pt idx="7">
                  <c:v>229.68426088607919</c:v>
                </c:pt>
                <c:pt idx="8">
                  <c:v>226.79292951885699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42-4D34-AE38-C1A734FEE4B6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1-4BD7-B086-108186768773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1-4BD7-B086-10818676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'10x15x8'!$Y$3:$Y$11</c:f>
              <c:numCache>
                <c:formatCode>0.00%</c:formatCode>
                <c:ptCount val="9"/>
                <c:pt idx="0">
                  <c:v>0.56807271937666282</c:v>
                </c:pt>
                <c:pt idx="1">
                  <c:v>0.58785045704233818</c:v>
                </c:pt>
                <c:pt idx="2">
                  <c:v>0.59609333241281448</c:v>
                </c:pt>
                <c:pt idx="3">
                  <c:v>0.6035477167992227</c:v>
                </c:pt>
                <c:pt idx="4">
                  <c:v>0.61120053675100261</c:v>
                </c:pt>
                <c:pt idx="5">
                  <c:v>0.61809597110599723</c:v>
                </c:pt>
                <c:pt idx="6">
                  <c:v>0.62607822164391114</c:v>
                </c:pt>
                <c:pt idx="7">
                  <c:v>0.63556190975375815</c:v>
                </c:pt>
                <c:pt idx="8">
                  <c:v>0.65126199552205777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'10x15x8'!$BB$3:$BB$11</c:f>
              <c:numCache>
                <c:formatCode>0.00%</c:formatCode>
                <c:ptCount val="9"/>
                <c:pt idx="0">
                  <c:v>0.59538873063279085</c:v>
                </c:pt>
                <c:pt idx="1">
                  <c:v>0.61243146458522824</c:v>
                </c:pt>
                <c:pt idx="2">
                  <c:v>0.62888887000275084</c:v>
                </c:pt>
                <c:pt idx="3">
                  <c:v>0.6339028240485145</c:v>
                </c:pt>
                <c:pt idx="4">
                  <c:v>0.63794096951639334</c:v>
                </c:pt>
                <c:pt idx="5">
                  <c:v>0.64162715796831649</c:v>
                </c:pt>
                <c:pt idx="6">
                  <c:v>0.64530599497944641</c:v>
                </c:pt>
                <c:pt idx="7">
                  <c:v>0.6514074512300585</c:v>
                </c:pt>
                <c:pt idx="8">
                  <c:v>0.65337448300750889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'10x15x8'!$BI$3:$BI$11</c:f>
              <c:numCache>
                <c:formatCode>0.00</c:formatCode>
                <c:ptCount val="9"/>
                <c:pt idx="0">
                  <c:v>-38.945118323126536</c:v>
                </c:pt>
                <c:pt idx="1">
                  <c:v>-40.859558472925187</c:v>
                </c:pt>
                <c:pt idx="2">
                  <c:v>-43.040220632537483</c:v>
                </c:pt>
                <c:pt idx="3">
                  <c:v>-43.67527122764389</c:v>
                </c:pt>
                <c:pt idx="4">
                  <c:v>-44.066140065870286</c:v>
                </c:pt>
                <c:pt idx="5">
                  <c:v>-43.774090305751713</c:v>
                </c:pt>
                <c:pt idx="6">
                  <c:v>-42.749020924582794</c:v>
                </c:pt>
                <c:pt idx="7">
                  <c:v>-39.900008342437928</c:v>
                </c:pt>
                <c:pt idx="8">
                  <c:v>-38.961849194089297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79F-940F-47DBF71ADFC0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'10x15x8'!$BJ$3:$BJ$11</c:f>
              <c:numCache>
                <c:formatCode>0.00</c:formatCode>
                <c:ptCount val="9"/>
                <c:pt idx="0">
                  <c:v>17.972496317584927</c:v>
                </c:pt>
                <c:pt idx="1">
                  <c:v>19.850594010706487</c:v>
                </c:pt>
                <c:pt idx="2">
                  <c:v>20.946055758894147</c:v>
                </c:pt>
                <c:pt idx="3">
                  <c:v>20.443684636889031</c:v>
                </c:pt>
                <c:pt idx="4">
                  <c:v>19.873658483276586</c:v>
                </c:pt>
                <c:pt idx="5">
                  <c:v>19.853419826158046</c:v>
                </c:pt>
                <c:pt idx="6">
                  <c:v>19.849284975156252</c:v>
                </c:pt>
                <c:pt idx="7">
                  <c:v>20.590789234723559</c:v>
                </c:pt>
                <c:pt idx="8">
                  <c:v>20.839846592084029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79F-940F-47DBF71A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'10x15x8'!$Z$3:$Z$11</c:f>
              <c:numCache>
                <c:formatCode>0.00%</c:formatCode>
                <c:ptCount val="9"/>
                <c:pt idx="0">
                  <c:v>0.73797582824956565</c:v>
                </c:pt>
                <c:pt idx="1">
                  <c:v>0.74989264271664446</c:v>
                </c:pt>
                <c:pt idx="2">
                  <c:v>0.75347462544935606</c:v>
                </c:pt>
                <c:pt idx="3">
                  <c:v>0.75893560503068003</c:v>
                </c:pt>
                <c:pt idx="4">
                  <c:v>0.76452712849218452</c:v>
                </c:pt>
                <c:pt idx="5">
                  <c:v>0.76876906398386469</c:v>
                </c:pt>
                <c:pt idx="6">
                  <c:v>0.77447274221422346</c:v>
                </c:pt>
                <c:pt idx="7">
                  <c:v>0.7821878350118</c:v>
                </c:pt>
                <c:pt idx="8">
                  <c:v>0.79448615440071158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'10x15x8'!$BC$3:$BC$11</c:f>
              <c:numCache>
                <c:formatCode>0.00%</c:formatCode>
                <c:ptCount val="9"/>
                <c:pt idx="0">
                  <c:v>0.70372395586853775</c:v>
                </c:pt>
                <c:pt idx="1">
                  <c:v>0.72149294071236114</c:v>
                </c:pt>
                <c:pt idx="2">
                  <c:v>0.73650689184055851</c:v>
                </c:pt>
                <c:pt idx="3">
                  <c:v>0.73929758078970753</c:v>
                </c:pt>
                <c:pt idx="4">
                  <c:v>0.74137657903427978</c:v>
                </c:pt>
                <c:pt idx="5">
                  <c:v>0.74316598147420299</c:v>
                </c:pt>
                <c:pt idx="6">
                  <c:v>0.74575923635093255</c:v>
                </c:pt>
                <c:pt idx="7">
                  <c:v>0.75174014175993764</c:v>
                </c:pt>
                <c:pt idx="8">
                  <c:v>0.753902317194035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'10x15x8'!$AC$3:$AC$11</c:f>
              <c:numCache>
                <c:formatCode>0.00%</c:formatCode>
                <c:ptCount val="9"/>
                <c:pt idx="0">
                  <c:v>0.78584524809329015</c:v>
                </c:pt>
                <c:pt idx="1">
                  <c:v>0.78950448087802061</c:v>
                </c:pt>
                <c:pt idx="2">
                  <c:v>0.79697677012308477</c:v>
                </c:pt>
                <c:pt idx="3">
                  <c:v>0.80204897699889222</c:v>
                </c:pt>
                <c:pt idx="4">
                  <c:v>0.8072837027577191</c:v>
                </c:pt>
                <c:pt idx="5">
                  <c:v>0.81130872101230134</c:v>
                </c:pt>
                <c:pt idx="6">
                  <c:v>0.81659651425319935</c:v>
                </c:pt>
                <c:pt idx="7">
                  <c:v>0.82365312103968391</c:v>
                </c:pt>
                <c:pt idx="8">
                  <c:v>0.82635951156137177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A-43FA-9F5C-0E7BD113559D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'10x15x8'!$BG$3:$BG$11</c:f>
              <c:numCache>
                <c:formatCode>0.00%</c:formatCode>
                <c:ptCount val="9"/>
                <c:pt idx="0">
                  <c:v>0.70639155518097885</c:v>
                </c:pt>
                <c:pt idx="1">
                  <c:v>0.72222580421617155</c:v>
                </c:pt>
                <c:pt idx="2">
                  <c:v>0.73651134470500479</c:v>
                </c:pt>
                <c:pt idx="3">
                  <c:v>0.74033929022068323</c:v>
                </c:pt>
                <c:pt idx="4">
                  <c:v>0.74355912812184333</c:v>
                </c:pt>
                <c:pt idx="5">
                  <c:v>0.74653045178908461</c:v>
                </c:pt>
                <c:pt idx="6">
                  <c:v>0.75022034562719153</c:v>
                </c:pt>
                <c:pt idx="7">
                  <c:v>0.75689074115764654</c:v>
                </c:pt>
                <c:pt idx="8">
                  <c:v>0.75912150011414636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A-43FA-9F5C-0E7BD113559D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A-43FA-9F5C-0E7BD113559D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A-43FA-9F5C-0E7BD113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'10x15x8'!$AB$3:$AB$11</c:f>
              <c:numCache>
                <c:formatCode>0.00%</c:formatCode>
                <c:ptCount val="9"/>
                <c:pt idx="0">
                  <c:v>0.55749111299036869</c:v>
                </c:pt>
                <c:pt idx="1">
                  <c:v>0.57074242025422373</c:v>
                </c:pt>
                <c:pt idx="2">
                  <c:v>0.58765218465126401</c:v>
                </c:pt>
                <c:pt idx="3">
                  <c:v>0.59542528960195196</c:v>
                </c:pt>
                <c:pt idx="4">
                  <c:v>0.60350314070988964</c:v>
                </c:pt>
                <c:pt idx="5">
                  <c:v>0.61098447735087835</c:v>
                </c:pt>
                <c:pt idx="6">
                  <c:v>0.61942422261697849</c:v>
                </c:pt>
                <c:pt idx="7">
                  <c:v>0.6292258242027684</c:v>
                </c:pt>
                <c:pt idx="8">
                  <c:v>0.63183866161787383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'10x15x8'!$BF$3:$BF$11</c:f>
              <c:numCache>
                <c:formatCode>0.00%</c:formatCode>
                <c:ptCount val="9"/>
                <c:pt idx="0">
                  <c:v>0.58530762851799167</c:v>
                </c:pt>
                <c:pt idx="1">
                  <c:v>0.60074079460763885</c:v>
                </c:pt>
                <c:pt idx="2">
                  <c:v>0.61644026528014984</c:v>
                </c:pt>
                <c:pt idx="3">
                  <c:v>0.62222227033076583</c:v>
                </c:pt>
                <c:pt idx="4">
                  <c:v>0.62716306313239034</c:v>
                </c:pt>
                <c:pt idx="5">
                  <c:v>0.63181325875770411</c:v>
                </c:pt>
                <c:pt idx="6">
                  <c:v>0.6363822346821667</c:v>
                </c:pt>
                <c:pt idx="7">
                  <c:v>0.64297411571277785</c:v>
                </c:pt>
                <c:pt idx="8">
                  <c:v>0.64491566965213487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467978</xdr:colOff>
      <xdr:row>25</xdr:row>
      <xdr:rowOff>101158</xdr:rowOff>
    </xdr:from>
    <xdr:to>
      <xdr:col>71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174C-D3C1-4373-B83A-EDBB6BB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452506</xdr:colOff>
      <xdr:row>5</xdr:row>
      <xdr:rowOff>37886</xdr:rowOff>
    </xdr:from>
    <xdr:to>
      <xdr:col>71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53556A-DC37-4D8F-B85A-A3F012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410002</xdr:colOff>
      <xdr:row>25</xdr:row>
      <xdr:rowOff>111404</xdr:rowOff>
    </xdr:from>
    <xdr:to>
      <xdr:col>80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2043-BCE3-4FD3-9E1E-2BB991B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536281</xdr:colOff>
      <xdr:row>5</xdr:row>
      <xdr:rowOff>76305</xdr:rowOff>
    </xdr:from>
    <xdr:to>
      <xdr:col>79</xdr:col>
      <xdr:colOff>139638</xdr:colOff>
      <xdr:row>23</xdr:row>
      <xdr:rowOff>84019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FC75F-0DA6-4DBE-8602-91C42EDD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635001</xdr:colOff>
      <xdr:row>6</xdr:row>
      <xdr:rowOff>81641</xdr:rowOff>
    </xdr:from>
    <xdr:to>
      <xdr:col>96</xdr:col>
      <xdr:colOff>238358</xdr:colOff>
      <xdr:row>24</xdr:row>
      <xdr:rowOff>89356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3F9FFA-B014-4BB6-87CB-74B902D0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308428</xdr:colOff>
      <xdr:row>6</xdr:row>
      <xdr:rowOff>63499</xdr:rowOff>
    </xdr:from>
    <xdr:to>
      <xdr:col>87</xdr:col>
      <xdr:colOff>555857</xdr:colOff>
      <xdr:row>24</xdr:row>
      <xdr:rowOff>71214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2449BF-0000-4040-8D23-AF49B34A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Documents/GitHub/GZ/resdataASW_all_m3_&#1086;&#1073;&#1088;&#1072;&#1073;&#1086;&#1090;&#1082;&#1072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AppData/Roaming/Microsoft/AddIns/CoolProp.xla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m3"/>
      <sheetName val="250m3 обр"/>
      <sheetName val="400m3 обр"/>
      <sheetName val="565m3 обр"/>
      <sheetName val="250m3"/>
      <sheetName val="400m3"/>
      <sheetName val="565m3"/>
      <sheetName val="Деньги"/>
    </sheetNames>
    <sheetDataSet>
      <sheetData sheetId="0"/>
      <sheetData sheetId="1"/>
      <sheetData sheetId="2">
        <row r="3">
          <cell r="AJ3">
            <v>0.7639810595067742</v>
          </cell>
        </row>
        <row r="4">
          <cell r="AJ4">
            <v>0.77440816895601972</v>
          </cell>
        </row>
        <row r="5">
          <cell r="AJ5">
            <v>0.78318443733754983</v>
          </cell>
        </row>
        <row r="6">
          <cell r="AJ6">
            <v>0.79045599530444199</v>
          </cell>
        </row>
        <row r="7">
          <cell r="AJ7">
            <v>0.79729374357630034</v>
          </cell>
        </row>
        <row r="8">
          <cell r="AJ8">
            <v>0.80228865312812969</v>
          </cell>
        </row>
        <row r="9">
          <cell r="AJ9">
            <v>0.80809278865932643</v>
          </cell>
        </row>
        <row r="10">
          <cell r="AJ10">
            <v>0.81593961541559257</v>
          </cell>
        </row>
        <row r="11">
          <cell r="AJ11">
            <v>0.81892324418297935</v>
          </cell>
        </row>
        <row r="15">
          <cell r="AJ15">
            <v>0.74493284017830408</v>
          </cell>
        </row>
        <row r="16">
          <cell r="AJ16">
            <v>0.75862474836327864</v>
          </cell>
        </row>
        <row r="17">
          <cell r="AJ17">
            <v>0.77226211226929653</v>
          </cell>
        </row>
        <row r="18">
          <cell r="AJ18">
            <v>0.77761187775024698</v>
          </cell>
        </row>
        <row r="19">
          <cell r="AJ19">
            <v>0.78241097181044472</v>
          </cell>
        </row>
        <row r="20">
          <cell r="AJ20">
            <v>0.78578091179149601</v>
          </cell>
        </row>
        <row r="21">
          <cell r="AJ21">
            <v>0.79024207756967935</v>
          </cell>
        </row>
        <row r="22">
          <cell r="AJ22">
            <v>0.79709147270920655</v>
          </cell>
        </row>
        <row r="23">
          <cell r="AJ23">
            <v>0.79962093224874631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13.589094133053891</v>
          </cell>
        </row>
        <row r="13">
          <cell r="E13">
            <v>0.7078689153299943</v>
          </cell>
        </row>
      </sheetData>
      <sheetData sheetId="1"/>
      <sheetData sheetId="2">
        <row r="2">
          <cell r="E2">
            <v>11.973968555165641</v>
          </cell>
        </row>
      </sheetData>
      <sheetData sheetId="3">
        <row r="2">
          <cell r="C2">
            <v>2.145446042951161</v>
          </cell>
        </row>
        <row r="5">
          <cell r="C5">
            <v>120.9418048897099</v>
          </cell>
          <cell r="E5">
            <v>31.049707951710719</v>
          </cell>
        </row>
        <row r="6">
          <cell r="C6">
            <v>6.2064988691440082</v>
          </cell>
        </row>
        <row r="7">
          <cell r="B7">
            <v>43.276234941926468</v>
          </cell>
        </row>
        <row r="12">
          <cell r="C12">
            <v>4.54231405818682E-2</v>
          </cell>
        </row>
      </sheetData>
      <sheetData sheetId="4">
        <row r="8">
          <cell r="B8">
            <v>52.723308943508343</v>
          </cell>
        </row>
        <row r="9">
          <cell r="B9">
            <v>70.087648881000689</v>
          </cell>
        </row>
        <row r="10">
          <cell r="B10">
            <v>6.0219566222448346</v>
          </cell>
        </row>
        <row r="11">
          <cell r="B11">
            <v>34696.843172408837</v>
          </cell>
        </row>
        <row r="17">
          <cell r="B17">
            <v>38554.718555482898</v>
          </cell>
        </row>
      </sheetData>
      <sheetData sheetId="5"/>
      <sheetData sheetId="6">
        <row r="3">
          <cell r="B3">
            <v>0.75689579032102772</v>
          </cell>
        </row>
      </sheetData>
      <sheetData sheetId="7"/>
      <sheetData sheetId="8"/>
      <sheetData sheetId="9">
        <row r="9">
          <cell r="E9">
            <v>3.3046748619762809</v>
          </cell>
        </row>
        <row r="10">
          <cell r="E10">
            <v>1.0811111111111109</v>
          </cell>
        </row>
      </sheetData>
      <sheetData sheetId="10">
        <row r="2">
          <cell r="C2">
            <v>0.68211991504405434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56.427775482838094</v>
          </cell>
        </row>
        <row r="12">
          <cell r="C12">
            <v>0.18443474000061799</v>
          </cell>
        </row>
        <row r="13">
          <cell r="B13">
            <v>47020.960838040402</v>
          </cell>
        </row>
        <row r="14">
          <cell r="B14">
            <v>70544.4962427422</v>
          </cell>
        </row>
      </sheetData>
      <sheetData sheetId="11">
        <row r="8">
          <cell r="B8">
            <v>54.663092182935223</v>
          </cell>
        </row>
        <row r="9">
          <cell r="B9">
            <v>68.08716313433095</v>
          </cell>
        </row>
        <row r="10">
          <cell r="B10">
            <v>5.8760331303184969</v>
          </cell>
        </row>
        <row r="18">
          <cell r="B18">
            <v>38761.340808871377</v>
          </cell>
        </row>
      </sheetData>
      <sheetData sheetId="12">
        <row r="3">
          <cell r="E3">
            <v>23.516497371811869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13.57302537467827</v>
          </cell>
        </row>
        <row r="13">
          <cell r="E13">
            <v>0.70703187833174552</v>
          </cell>
        </row>
      </sheetData>
      <sheetData sheetId="1"/>
      <sheetData sheetId="2">
        <row r="2">
          <cell r="E2">
            <v>11.97396938395101</v>
          </cell>
        </row>
      </sheetData>
      <sheetData sheetId="3">
        <row r="2">
          <cell r="C2">
            <v>2.2190445960609901</v>
          </cell>
        </row>
        <row r="5">
          <cell r="C5">
            <v>118.9179000057555</v>
          </cell>
          <cell r="E5">
            <v>30.933717851221498</v>
          </cell>
        </row>
        <row r="6">
          <cell r="C6">
            <v>6.2022045891824709</v>
          </cell>
        </row>
        <row r="7">
          <cell r="B7">
            <v>43.189091731133018</v>
          </cell>
        </row>
        <row r="12">
          <cell r="C12">
            <v>4.4870453998254747E-2</v>
          </cell>
        </row>
      </sheetData>
      <sheetData sheetId="4">
        <row r="8">
          <cell r="B8">
            <v>54.201044583040421</v>
          </cell>
        </row>
        <row r="9">
          <cell r="B9">
            <v>68.126362633936054</v>
          </cell>
        </row>
        <row r="10">
          <cell r="B10">
            <v>5.8278060747670741</v>
          </cell>
        </row>
        <row r="11">
          <cell r="B11">
            <v>34723.52333243264</v>
          </cell>
        </row>
        <row r="17">
          <cell r="B17">
            <v>38576.019541769587</v>
          </cell>
        </row>
      </sheetData>
      <sheetData sheetId="5"/>
      <sheetData sheetId="6">
        <row r="3">
          <cell r="B3">
            <v>0.75707333660408205</v>
          </cell>
        </row>
      </sheetData>
      <sheetData sheetId="7"/>
      <sheetData sheetId="8"/>
      <sheetData sheetId="9">
        <row r="9">
          <cell r="E9">
            <v>3.3063876685570008</v>
          </cell>
        </row>
        <row r="10">
          <cell r="E10">
            <v>1.0811111111111109</v>
          </cell>
        </row>
      </sheetData>
      <sheetData sheetId="10">
        <row r="2">
          <cell r="C2">
            <v>0.67820114753838379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56.219279578427233</v>
          </cell>
        </row>
        <row r="12">
          <cell r="C12">
            <v>0.18425332447741299</v>
          </cell>
        </row>
        <row r="13">
          <cell r="B13">
            <v>47045.827872736598</v>
          </cell>
        </row>
        <row r="14">
          <cell r="B14">
            <v>70581.612049136616</v>
          </cell>
        </row>
      </sheetData>
      <sheetData sheetId="11">
        <row r="8">
          <cell r="B8">
            <v>51.73505370356159</v>
          </cell>
        </row>
        <row r="9">
          <cell r="B9">
            <v>70.047079843704822</v>
          </cell>
        </row>
        <row r="10">
          <cell r="B10">
            <v>6.020288069735062</v>
          </cell>
        </row>
        <row r="18">
          <cell r="B18">
            <v>38928.75692369217</v>
          </cell>
        </row>
      </sheetData>
      <sheetData sheetId="12">
        <row r="3">
          <cell r="E3">
            <v>23.507316922203401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13.652405299087601</v>
          </cell>
        </row>
        <row r="13">
          <cell r="E13">
            <v>0.71116685454431994</v>
          </cell>
        </row>
      </sheetData>
      <sheetData sheetId="1"/>
      <sheetData sheetId="2">
        <row r="2">
          <cell r="E2">
            <v>11.97388398043354</v>
          </cell>
        </row>
      </sheetData>
      <sheetData sheetId="3">
        <row r="2">
          <cell r="C2">
            <v>2.587841917640596</v>
          </cell>
        </row>
        <row r="5">
          <cell r="C5">
            <v>115.100929844389</v>
          </cell>
          <cell r="E5">
            <v>30.452624003549261</v>
          </cell>
        </row>
        <row r="6">
          <cell r="C6">
            <v>6.1941058200121946</v>
          </cell>
        </row>
        <row r="7">
          <cell r="B7">
            <v>30.933051544978241</v>
          </cell>
        </row>
        <row r="12">
          <cell r="C12">
            <v>4.4554993332421119E-2</v>
          </cell>
        </row>
      </sheetData>
      <sheetData sheetId="4">
        <row r="8">
          <cell r="B8">
            <v>17.214316843686831</v>
          </cell>
        </row>
        <row r="9">
          <cell r="B9">
            <v>95.729385314188406</v>
          </cell>
        </row>
        <row r="10">
          <cell r="B10">
            <v>7.8378461649447768</v>
          </cell>
        </row>
        <row r="11">
          <cell r="B11">
            <v>34591.334113016273</v>
          </cell>
        </row>
        <row r="17">
          <cell r="B17">
            <v>36433.017945101463</v>
          </cell>
        </row>
      </sheetData>
      <sheetData sheetId="5"/>
      <sheetData sheetId="6">
        <row r="3">
          <cell r="B3">
            <v>0.69480218425926021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0.99949824150008271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44.050113971134323</v>
          </cell>
        </row>
        <row r="12">
          <cell r="C12">
            <v>0.17052232115415961</v>
          </cell>
        </row>
        <row r="13">
          <cell r="B13">
            <v>46778.792791445863</v>
          </cell>
        </row>
        <row r="14">
          <cell r="B14">
            <v>70193.160472000105</v>
          </cell>
        </row>
      </sheetData>
      <sheetData sheetId="11">
        <row r="8">
          <cell r="B8">
            <v>23.826863724290821</v>
          </cell>
        </row>
        <row r="9">
          <cell r="B9">
            <v>91.866391547914262</v>
          </cell>
        </row>
        <row r="10">
          <cell r="B10">
            <v>7.6594562593142186</v>
          </cell>
        </row>
        <row r="18">
          <cell r="B18">
            <v>33847.514915620501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13.66448997973005</v>
          </cell>
        </row>
        <row r="13">
          <cell r="E13">
            <v>0.71179635712151301</v>
          </cell>
        </row>
      </sheetData>
      <sheetData sheetId="1"/>
      <sheetData sheetId="2">
        <row r="2">
          <cell r="E2">
            <v>11.97394275849347</v>
          </cell>
        </row>
      </sheetData>
      <sheetData sheetId="3">
        <row r="2">
          <cell r="C2">
            <v>2.5704854406649602</v>
          </cell>
        </row>
        <row r="5">
          <cell r="C5">
            <v>123.6884922377637</v>
          </cell>
          <cell r="E5">
            <v>31.138984395053079</v>
          </cell>
        </row>
        <row r="6">
          <cell r="C6">
            <v>6.2123267341454058</v>
          </cell>
        </row>
        <row r="7">
          <cell r="B7">
            <v>32.8827487516646</v>
          </cell>
        </row>
        <row r="12">
          <cell r="C12">
            <v>4.5370607446721938E-2</v>
          </cell>
        </row>
      </sheetData>
      <sheetData sheetId="4">
        <row r="8">
          <cell r="B8">
            <v>18.64256111232886</v>
          </cell>
        </row>
        <row r="9">
          <cell r="B9">
            <v>99.914308030773768</v>
          </cell>
        </row>
        <row r="10">
          <cell r="B10">
            <v>8.4419812946116082</v>
          </cell>
        </row>
        <row r="11">
          <cell r="B11">
            <v>34571.553057120676</v>
          </cell>
        </row>
        <row r="17">
          <cell r="B17">
            <v>36804.291931202977</v>
          </cell>
        </row>
      </sheetData>
      <sheetData sheetId="5"/>
      <sheetData sheetId="6">
        <row r="3">
          <cell r="B3">
            <v>0.7466406630312914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0.95593913148242637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45.912917377624687</v>
          </cell>
        </row>
        <row r="12">
          <cell r="C12">
            <v>0.16687188131889169</v>
          </cell>
        </row>
        <row r="13">
          <cell r="B13">
            <v>46805.650471372763</v>
          </cell>
        </row>
        <row r="14">
          <cell r="B14">
            <v>70231.660312158536</v>
          </cell>
        </row>
      </sheetData>
      <sheetData sheetId="11">
        <row r="8">
          <cell r="B8">
            <v>25.36534451136432</v>
          </cell>
        </row>
        <row r="9">
          <cell r="B9">
            <v>95.996761822824112</v>
          </cell>
        </row>
        <row r="10">
          <cell r="B10">
            <v>8.25184262227509</v>
          </cell>
        </row>
        <row r="18">
          <cell r="B18">
            <v>34175.183802657841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13.667812542351079</v>
          </cell>
        </row>
        <row r="13">
          <cell r="E13">
            <v>0.71196943258744461</v>
          </cell>
        </row>
      </sheetData>
      <sheetData sheetId="1"/>
      <sheetData sheetId="2">
        <row r="2">
          <cell r="E2">
            <v>11.97393563896599</v>
          </cell>
        </row>
      </sheetData>
      <sheetData sheetId="3">
        <row r="2">
          <cell r="C2">
            <v>2.2797799773862408</v>
          </cell>
        </row>
        <row r="5">
          <cell r="C5">
            <v>129.11021269083929</v>
          </cell>
          <cell r="E5">
            <v>31.60833630360203</v>
          </cell>
        </row>
        <row r="6">
          <cell r="C6">
            <v>6.2238304296418097</v>
          </cell>
        </row>
        <row r="7">
          <cell r="B7">
            <v>35.45395799005653</v>
          </cell>
        </row>
        <row r="12">
          <cell r="C12">
            <v>4.5141605718147293E-2</v>
          </cell>
        </row>
      </sheetData>
      <sheetData sheetId="4">
        <row r="8">
          <cell r="B8">
            <v>21.980273923143599</v>
          </cell>
        </row>
        <row r="9">
          <cell r="B9">
            <v>100.56379823483459</v>
          </cell>
        </row>
        <row r="10">
          <cell r="B10">
            <v>8.6886914567165707</v>
          </cell>
        </row>
        <row r="11">
          <cell r="B11">
            <v>34566.003133843296</v>
          </cell>
        </row>
        <row r="17">
          <cell r="B17">
            <v>37246.71394247032</v>
          </cell>
        </row>
      </sheetData>
      <sheetData sheetId="5"/>
      <sheetData sheetId="6">
        <row r="3">
          <cell r="B3">
            <v>0.77936866286876294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0.87000125653966087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48.809767748233462</v>
          </cell>
        </row>
        <row r="12">
          <cell r="C12">
            <v>0.16593015716324261</v>
          </cell>
        </row>
        <row r="13">
          <cell r="B13">
            <v>46839.268921184201</v>
          </cell>
        </row>
        <row r="14">
          <cell r="B14">
            <v>70279.851547881801</v>
          </cell>
        </row>
      </sheetData>
      <sheetData sheetId="11">
        <row r="8">
          <cell r="B8">
            <v>30.083149783016641</v>
          </cell>
        </row>
        <row r="9">
          <cell r="B9">
            <v>95.098019616850024</v>
          </cell>
        </row>
        <row r="10">
          <cell r="B10">
            <v>8.3526005737814533</v>
          </cell>
        </row>
        <row r="18">
          <cell r="B18">
            <v>34935.651089683932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13.655746408147049</v>
          </cell>
        </row>
        <row r="13">
          <cell r="E13">
            <v>0.71134089611197371</v>
          </cell>
        </row>
      </sheetData>
      <sheetData sheetId="1"/>
      <sheetData sheetId="2">
        <row r="2">
          <cell r="E2">
            <v>11.97396211504722</v>
          </cell>
        </row>
      </sheetData>
      <sheetData sheetId="3">
        <row r="2">
          <cell r="C2">
            <v>2.2670468119814799</v>
          </cell>
        </row>
        <row r="5">
          <cell r="C5">
            <v>127.3643694340626</v>
          </cell>
          <cell r="E5">
            <v>31.460844339217282</v>
          </cell>
        </row>
        <row r="6">
          <cell r="C6">
            <v>6.2201261351500099</v>
          </cell>
        </row>
        <row r="7">
          <cell r="B7">
            <v>37.235228205639359</v>
          </cell>
        </row>
        <row r="12">
          <cell r="C12">
            <v>4.5311423512046797E-2</v>
          </cell>
        </row>
      </sheetData>
      <sheetData sheetId="4">
        <row r="8">
          <cell r="B8">
            <v>26.070522368068168</v>
          </cell>
        </row>
        <row r="9">
          <cell r="B9">
            <v>96.353205467529463</v>
          </cell>
        </row>
        <row r="10">
          <cell r="B10">
            <v>8.3289559776966637</v>
          </cell>
        </row>
        <row r="11">
          <cell r="B11">
            <v>34586.161063950327</v>
          </cell>
        </row>
        <row r="17">
          <cell r="B17">
            <v>37501.276317035466</v>
          </cell>
        </row>
      </sheetData>
      <sheetData sheetId="5"/>
      <sheetData sheetId="6">
        <row r="3">
          <cell r="B3">
            <v>0.76882994949935191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0.7501460646950332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50.977835502461701</v>
          </cell>
        </row>
        <row r="12">
          <cell r="C12">
            <v>0.16741119152865561</v>
          </cell>
        </row>
        <row r="13">
          <cell r="B13">
            <v>46872.93802369092</v>
          </cell>
        </row>
        <row r="14">
          <cell r="B14">
            <v>70328.115386403413</v>
          </cell>
        </row>
      </sheetData>
      <sheetData sheetId="11">
        <row r="8">
          <cell r="B8">
            <v>36.251286626115217</v>
          </cell>
        </row>
        <row r="9">
          <cell r="B9">
            <v>88.526701843515767</v>
          </cell>
        </row>
        <row r="10">
          <cell r="B10">
            <v>7.7733028893711396</v>
          </cell>
        </row>
        <row r="18">
          <cell r="B18">
            <v>35696.780361733843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13.64205439693982</v>
          </cell>
        </row>
        <row r="13">
          <cell r="E13">
            <v>0.71062766614777939</v>
          </cell>
        </row>
      </sheetData>
      <sheetData sheetId="1"/>
      <sheetData sheetId="2">
        <row r="2">
          <cell r="E2">
            <v>11.973934575647901</v>
          </cell>
        </row>
      </sheetData>
      <sheetData sheetId="3">
        <row r="2">
          <cell r="C2">
            <v>2.246992913563123</v>
          </cell>
        </row>
        <row r="5">
          <cell r="C5">
            <v>125.5329661863711</v>
          </cell>
          <cell r="E5">
            <v>31.297572936648329</v>
          </cell>
        </row>
        <row r="6">
          <cell r="C6">
            <v>6.2162403012205569</v>
          </cell>
        </row>
        <row r="7">
          <cell r="B7">
            <v>39.05098537833274</v>
          </cell>
        </row>
        <row r="12">
          <cell r="C12">
            <v>4.5265768523943227E-2</v>
          </cell>
        </row>
      </sheetData>
      <sheetData sheetId="4">
        <row r="8">
          <cell r="B8">
            <v>31.171799317192502</v>
          </cell>
        </row>
        <row r="9">
          <cell r="B9">
            <v>91.212406206016283</v>
          </cell>
        </row>
        <row r="10">
          <cell r="B10">
            <v>7.8879691642715652</v>
          </cell>
        </row>
        <row r="11">
          <cell r="B11">
            <v>34608.759869799578</v>
          </cell>
        </row>
        <row r="17">
          <cell r="B17">
            <v>37759.939706280667</v>
          </cell>
        </row>
      </sheetData>
      <sheetData sheetId="5"/>
      <sheetData sheetId="6">
        <row r="3">
          <cell r="B3">
            <v>0.75777475664838301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0.67208772525286054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52.977154194367813</v>
          </cell>
        </row>
        <row r="12">
          <cell r="C12">
            <v>0.16827639832045399</v>
          </cell>
        </row>
        <row r="13">
          <cell r="B13">
            <v>46906.656904943753</v>
          </cell>
        </row>
        <row r="14">
          <cell r="B14">
            <v>70376.450574922987</v>
          </cell>
        </row>
      </sheetData>
      <sheetData sheetId="11">
        <row r="8">
          <cell r="B8">
            <v>43.642419585267419</v>
          </cell>
        </row>
        <row r="9">
          <cell r="B9">
            <v>80.8388386668191</v>
          </cell>
        </row>
        <row r="10">
          <cell r="B10">
            <v>7.0892931587899879</v>
          </cell>
        </row>
        <row r="18">
          <cell r="B18">
            <v>36458.587320236467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13.62890062799843</v>
          </cell>
        </row>
        <row r="13">
          <cell r="E13">
            <v>0.70994247373819896</v>
          </cell>
        </row>
      </sheetData>
      <sheetData sheetId="1"/>
      <sheetData sheetId="2">
        <row r="2">
          <cell r="E2">
            <v>11.973932738648539</v>
          </cell>
        </row>
      </sheetData>
      <sheetData sheetId="3">
        <row r="2">
          <cell r="C2">
            <v>2.1391485113478712</v>
          </cell>
        </row>
        <row r="5">
          <cell r="C5">
            <v>124.72386504815999</v>
          </cell>
          <cell r="E5">
            <v>31.205804708297691</v>
          </cell>
        </row>
        <row r="6">
          <cell r="C6">
            <v>6.214523566984564</v>
          </cell>
        </row>
        <row r="7">
          <cell r="B7">
            <v>40.968260557652599</v>
          </cell>
        </row>
        <row r="12">
          <cell r="C12">
            <v>4.5283360806108792E-2</v>
          </cell>
        </row>
      </sheetData>
      <sheetData sheetId="4">
        <row r="8">
          <cell r="B8">
            <v>37.521173625103181</v>
          </cell>
        </row>
        <row r="9">
          <cell r="B9">
            <v>84.897057401809974</v>
          </cell>
        </row>
        <row r="10">
          <cell r="B10">
            <v>7.3410334705482088</v>
          </cell>
        </row>
        <row r="11">
          <cell r="B11">
            <v>34630.58802690576</v>
          </cell>
        </row>
        <row r="17">
          <cell r="B17">
            <v>38054.597346496237</v>
          </cell>
        </row>
      </sheetData>
      <sheetData sheetId="5"/>
      <sheetData sheetId="6">
        <row r="3">
          <cell r="B3">
            <v>0.75289064981383569</v>
          </cell>
        </row>
      </sheetData>
      <sheetData sheetId="7"/>
      <sheetData sheetId="8"/>
      <sheetData sheetId="9">
        <row r="9">
          <cell r="E9">
            <v>3.299969266969438</v>
          </cell>
        </row>
        <row r="10">
          <cell r="E10">
            <v>1.0811111111111109</v>
          </cell>
        </row>
      </sheetData>
      <sheetData sheetId="10">
        <row r="2">
          <cell r="C2">
            <v>0.68229978423778059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55.137910819663901</v>
          </cell>
        </row>
        <row r="12">
          <cell r="C12">
            <v>0.1749860448252161</v>
          </cell>
        </row>
        <row r="13">
          <cell r="B13">
            <v>46940.901942022218</v>
          </cell>
        </row>
        <row r="14">
          <cell r="B14">
            <v>70425.696351193052</v>
          </cell>
        </row>
      </sheetData>
      <sheetData sheetId="11">
        <row r="8">
          <cell r="B8">
            <v>52.80627089397305</v>
          </cell>
        </row>
        <row r="9">
          <cell r="B9">
            <v>71.531169280447529</v>
          </cell>
        </row>
        <row r="10">
          <cell r="B10">
            <v>6.2536847333324772</v>
          </cell>
        </row>
        <row r="18">
          <cell r="B18">
            <v>37221.556971155369</v>
          </cell>
        </row>
      </sheetData>
      <sheetData sheetId="12">
        <row r="3">
          <cell r="E3">
            <v>23.541755779113611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13.61116814060308</v>
          </cell>
        </row>
        <row r="13">
          <cell r="E13">
            <v>0.70901877150346959</v>
          </cell>
        </row>
      </sheetData>
      <sheetData sheetId="1"/>
      <sheetData sheetId="2">
        <row r="2">
          <cell r="E2">
            <v>11.973964746111029</v>
          </cell>
        </row>
      </sheetData>
      <sheetData sheetId="3">
        <row r="2">
          <cell r="C2">
            <v>2.1091148975811929</v>
          </cell>
        </row>
        <row r="5">
          <cell r="C5">
            <v>123.3033426939177</v>
          </cell>
          <cell r="E5">
            <v>31.127267090964281</v>
          </cell>
        </row>
        <row r="6">
          <cell r="C6">
            <v>6.2115095317257438</v>
          </cell>
        </row>
        <row r="7">
          <cell r="B7">
            <v>42.454650586517651</v>
          </cell>
        </row>
        <row r="12">
          <cell r="C12">
            <v>4.5455138847056133E-2</v>
          </cell>
        </row>
      </sheetData>
      <sheetData sheetId="4">
        <row r="8">
          <cell r="B8">
            <v>44.847394331631911</v>
          </cell>
        </row>
        <row r="9">
          <cell r="B9">
            <v>77.724968718770214</v>
          </cell>
        </row>
        <row r="10">
          <cell r="B10">
            <v>6.7087150881843449</v>
          </cell>
        </row>
        <row r="11">
          <cell r="B11">
            <v>34660.179278716103</v>
          </cell>
        </row>
        <row r="17">
          <cell r="B17">
            <v>38317.930934632313</v>
          </cell>
        </row>
      </sheetData>
      <sheetData sheetId="5"/>
      <sheetData sheetId="6">
        <row r="3">
          <cell r="B3">
            <v>0.75045581617263146</v>
          </cell>
        </row>
      </sheetData>
      <sheetData sheetId="7"/>
      <sheetData sheetId="8"/>
      <sheetData sheetId="9">
        <row r="9">
          <cell r="E9">
            <v>3.3021674120840272</v>
          </cell>
        </row>
        <row r="10">
          <cell r="E10">
            <v>1.0811111111111109</v>
          </cell>
        </row>
      </sheetData>
      <sheetData sheetId="10">
        <row r="2">
          <cell r="C2">
            <v>0.68639229919712363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56.274224030153043</v>
          </cell>
        </row>
        <row r="12">
          <cell r="C12">
            <v>0.18214254041483291</v>
          </cell>
        </row>
        <row r="13">
          <cell r="B13">
            <v>46980.4884467429</v>
          </cell>
        </row>
        <row r="14">
          <cell r="B14">
            <v>70484.328694481112</v>
          </cell>
        </row>
      </sheetData>
      <sheetData sheetId="11">
        <row r="8">
          <cell r="B8">
            <v>62.779445892051108</v>
          </cell>
        </row>
        <row r="9">
          <cell r="B9">
            <v>61.490953959056753</v>
          </cell>
        </row>
        <row r="10">
          <cell r="B10">
            <v>5.3378423542610038</v>
          </cell>
        </row>
        <row r="18">
          <cell r="B18">
            <v>37990.554441752858</v>
          </cell>
        </row>
      </sheetData>
      <sheetData sheetId="12">
        <row r="3">
          <cell r="E3">
            <v>23.529949959524259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74EA-CA5D-4ED4-8CDE-9C378CCAE5E3}">
  <dimension ref="A1:G11"/>
  <sheetViews>
    <sheetView workbookViewId="0">
      <selection activeCell="C4" sqref="C4"/>
    </sheetView>
  </sheetViews>
  <sheetFormatPr defaultColWidth="9.1796875" defaultRowHeight="14" x14ac:dyDescent="0.35"/>
  <cols>
    <col min="1" max="1" width="9.1796875" style="9"/>
    <col min="2" max="2" width="12" style="9" bestFit="1" customWidth="1"/>
    <col min="3" max="3" width="12" style="35" bestFit="1" customWidth="1"/>
    <col min="4" max="4" width="12" style="35" customWidth="1"/>
    <col min="5" max="5" width="12" style="9" bestFit="1" customWidth="1"/>
    <col min="6" max="6" width="12" style="35" bestFit="1" customWidth="1"/>
    <col min="7" max="7" width="9.1796875" style="10"/>
    <col min="8" max="16384" width="9.1796875" style="6"/>
  </cols>
  <sheetData>
    <row r="1" spans="1:7" ht="14.5" customHeight="1" x14ac:dyDescent="0.35">
      <c r="A1" s="36" t="s">
        <v>0</v>
      </c>
      <c r="B1" s="38" t="s">
        <v>31</v>
      </c>
      <c r="C1" s="39"/>
      <c r="D1" s="40"/>
      <c r="E1" s="38" t="s">
        <v>32</v>
      </c>
      <c r="F1" s="39"/>
      <c r="G1" s="40"/>
    </row>
    <row r="2" spans="1:7" ht="14.5" thickBot="1" x14ac:dyDescent="0.4">
      <c r="A2" s="37"/>
      <c r="B2" s="7" t="s">
        <v>30</v>
      </c>
      <c r="C2" s="34" t="s">
        <v>29</v>
      </c>
      <c r="D2" s="34" t="s">
        <v>51</v>
      </c>
      <c r="E2" s="7" t="s">
        <v>30</v>
      </c>
      <c r="F2" s="34" t="s">
        <v>29</v>
      </c>
      <c r="G2" s="8" t="s">
        <v>51</v>
      </c>
    </row>
    <row r="3" spans="1:7" ht="15.5" x14ac:dyDescent="0.35">
      <c r="A3" s="11">
        <v>-29</v>
      </c>
      <c r="B3" s="9">
        <v>175.06425550511426</v>
      </c>
      <c r="C3" s="35">
        <v>0.63051292317147878</v>
      </c>
      <c r="D3" s="35">
        <f>'[1]400m3 обр'!AJ3</f>
        <v>0.7639810595067742</v>
      </c>
      <c r="E3" s="9">
        <v>205.13768958891018</v>
      </c>
      <c r="F3" s="35">
        <v>0.62325556396576853</v>
      </c>
      <c r="G3" s="10">
        <f>'[1]400m3 обр'!AJ15</f>
        <v>0.74493284017830408</v>
      </c>
    </row>
    <row r="4" spans="1:7" ht="15.5" x14ac:dyDescent="0.35">
      <c r="A4" s="11">
        <v>-25</v>
      </c>
      <c r="B4" s="9">
        <v>187.45722067174907</v>
      </c>
      <c r="C4" s="35">
        <v>0.64701713584893716</v>
      </c>
      <c r="D4" s="35">
        <f>'[1]400m3 обр'!AJ4</f>
        <v>0.77440816895601972</v>
      </c>
      <c r="E4" s="9">
        <v>205.12811200461454</v>
      </c>
      <c r="F4" s="35">
        <v>0.63615415876698722</v>
      </c>
      <c r="G4" s="10">
        <f>'[1]400m3 обр'!AJ16</f>
        <v>0.75862474836327864</v>
      </c>
    </row>
    <row r="5" spans="1:7" ht="15.5" x14ac:dyDescent="0.35">
      <c r="A5" s="11">
        <v>-20</v>
      </c>
      <c r="B5" s="9">
        <v>197.85202699937264</v>
      </c>
      <c r="C5" s="35">
        <v>0.66122196160902258</v>
      </c>
      <c r="D5" s="35">
        <f>'[1]400m3 обр'!AJ5</f>
        <v>0.78318443733754983</v>
      </c>
      <c r="E5" s="9">
        <v>206.94935951134502</v>
      </c>
      <c r="F5" s="35">
        <v>0.65157412488013533</v>
      </c>
      <c r="G5" s="10">
        <f>'[1]400m3 обр'!AJ17</f>
        <v>0.77226211226929653</v>
      </c>
    </row>
    <row r="6" spans="1:7" ht="15.5" x14ac:dyDescent="0.35">
      <c r="A6" s="11">
        <v>-15</v>
      </c>
      <c r="B6" s="9">
        <v>198.48648515336524</v>
      </c>
      <c r="C6" s="35">
        <v>0.67130130649635533</v>
      </c>
      <c r="D6" s="35">
        <f>'[1]400m3 обр'!AJ6</f>
        <v>0.79045599530444199</v>
      </c>
      <c r="E6" s="9">
        <v>209.69488283053695</v>
      </c>
      <c r="F6" s="35">
        <v>0.65993888017537883</v>
      </c>
      <c r="G6" s="10">
        <f>'[1]400m3 обр'!AJ18</f>
        <v>0.77761187775024698</v>
      </c>
    </row>
    <row r="7" spans="1:7" ht="15.5" x14ac:dyDescent="0.35">
      <c r="A7" s="11">
        <v>-10</v>
      </c>
      <c r="B7" s="9">
        <v>198.83285532277509</v>
      </c>
      <c r="C7" s="35">
        <v>0.68073926798168138</v>
      </c>
      <c r="D7" s="35">
        <f>'[1]400m3 обр'!AJ7</f>
        <v>0.79729374357630034</v>
      </c>
      <c r="E7" s="9">
        <v>212.3005749713769</v>
      </c>
      <c r="F7" s="35">
        <v>0.66751247292528593</v>
      </c>
      <c r="G7" s="10">
        <f>'[1]400m3 обр'!AJ19</f>
        <v>0.78241097181044472</v>
      </c>
    </row>
    <row r="8" spans="1:7" ht="15.5" x14ac:dyDescent="0.35">
      <c r="A8" s="11">
        <v>-5</v>
      </c>
      <c r="B8" s="9">
        <v>199.70820992674109</v>
      </c>
      <c r="C8" s="35">
        <v>0.68802044051979483</v>
      </c>
      <c r="D8" s="35">
        <f>'[1]400m3 обр'!AJ8</f>
        <v>0.80228865312812969</v>
      </c>
      <c r="E8" s="9">
        <v>214.41340557814991</v>
      </c>
      <c r="F8" s="35">
        <v>0.67298351536860157</v>
      </c>
      <c r="G8" s="10">
        <f>'[1]400m3 обр'!AJ20</f>
        <v>0.78578091179149601</v>
      </c>
    </row>
    <row r="9" spans="1:7" ht="15.5" x14ac:dyDescent="0.35">
      <c r="A9" s="11">
        <v>0</v>
      </c>
      <c r="B9" s="9">
        <v>198.73947885409888</v>
      </c>
      <c r="C9" s="35">
        <v>0.69554448470388708</v>
      </c>
      <c r="D9" s="35">
        <f>'[1]400m3 обр'!AJ9</f>
        <v>0.80809278865932643</v>
      </c>
      <c r="E9" s="9">
        <v>214.17359702034025</v>
      </c>
      <c r="F9" s="35">
        <v>0.67883262410718481</v>
      </c>
      <c r="G9" s="10">
        <f>'[1]400m3 обр'!AJ21</f>
        <v>0.79024207756967935</v>
      </c>
    </row>
    <row r="10" spans="1:7" ht="15.5" x14ac:dyDescent="0.35">
      <c r="A10" s="11">
        <v>5</v>
      </c>
      <c r="B10" s="9">
        <v>194.29244468757045</v>
      </c>
      <c r="C10" s="35">
        <v>0.7042625250155683</v>
      </c>
      <c r="D10" s="35">
        <f>'[1]400m3 обр'!AJ10</f>
        <v>0.81593961541559257</v>
      </c>
      <c r="E10" s="9">
        <v>209.09347165135563</v>
      </c>
      <c r="F10" s="35">
        <v>0.68570725290387591</v>
      </c>
      <c r="G10" s="10">
        <f>'[1]400m3 обр'!AJ22</f>
        <v>0.79709147270920655</v>
      </c>
    </row>
    <row r="11" spans="1:7" ht="15.5" x14ac:dyDescent="0.35">
      <c r="A11" s="11">
        <v>8</v>
      </c>
      <c r="B11" s="9">
        <v>191.17246153573632</v>
      </c>
      <c r="C11" s="35">
        <v>0.70722919011666807</v>
      </c>
      <c r="D11" s="35">
        <f>'[1]400m3 обр'!AJ11</f>
        <v>0.81892324418297935</v>
      </c>
      <c r="E11" s="9">
        <v>205.95308292677296</v>
      </c>
      <c r="F11" s="35">
        <v>0.6880089886857067</v>
      </c>
      <c r="G11" s="10">
        <f>'[1]400m3 обр'!AJ23</f>
        <v>0.79962093224874631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5D9-FB45-439F-B4E0-95CA08E16843}">
  <dimension ref="A1:BN39"/>
  <sheetViews>
    <sheetView tabSelected="1" topLeftCell="BL4" zoomScale="70" zoomScaleNormal="70" workbookViewId="0">
      <selection activeCell="CL31" sqref="CL31"/>
    </sheetView>
  </sheetViews>
  <sheetFormatPr defaultColWidth="9.1796875" defaultRowHeight="15.5" x14ac:dyDescent="0.35"/>
  <cols>
    <col min="1" max="1" width="7.08984375" style="5" bestFit="1" customWidth="1"/>
    <col min="2" max="3" width="16.1796875" style="3" bestFit="1" customWidth="1"/>
    <col min="4" max="4" width="10.36328125" style="3" bestFit="1" customWidth="1"/>
    <col min="5" max="5" width="7.6328125" style="3" bestFit="1" customWidth="1"/>
    <col min="6" max="6" width="7.453125" style="3" bestFit="1" customWidth="1"/>
    <col min="7" max="7" width="7.90625" style="3" bestFit="1" customWidth="1"/>
    <col min="8" max="9" width="5.1796875" style="3" bestFit="1" customWidth="1"/>
    <col min="10" max="10" width="5.26953125" style="3" bestFit="1" customWidth="1"/>
    <col min="11" max="11" width="7.453125" style="3" bestFit="1" customWidth="1"/>
    <col min="12" max="12" width="7.36328125" style="3" bestFit="1" customWidth="1"/>
    <col min="13" max="13" width="6.36328125" style="3" bestFit="1" customWidth="1"/>
    <col min="14" max="14" width="10.90625" style="3" bestFit="1" customWidth="1"/>
    <col min="15" max="15" width="10.7265625" style="3" bestFit="1" customWidth="1"/>
    <col min="16" max="16" width="6.36328125" style="2" bestFit="1" customWidth="1"/>
    <col min="17" max="17" width="11.36328125" style="3" bestFit="1" customWidth="1"/>
    <col min="18" max="18" width="12.54296875" style="3" bestFit="1" customWidth="1"/>
    <col min="19" max="19" width="11.36328125" style="4" bestFit="1" customWidth="1"/>
    <col min="20" max="20" width="13.36328125" style="3" bestFit="1" customWidth="1"/>
    <col min="21" max="21" width="11.90625" style="5" bestFit="1" customWidth="1"/>
    <col min="22" max="22" width="11.81640625" style="5" bestFit="1" customWidth="1"/>
    <col min="23" max="23" width="12.26953125" style="5" bestFit="1" customWidth="1"/>
    <col min="24" max="24" width="18.81640625" style="5" bestFit="1" customWidth="1"/>
    <col min="25" max="25" width="21.08984375" style="5" bestFit="1" customWidth="1"/>
    <col min="26" max="26" width="11.36328125" style="5" bestFit="1" customWidth="1"/>
    <col min="27" max="27" width="21.6328125" style="5" bestFit="1" customWidth="1"/>
    <col min="28" max="28" width="31" style="5" bestFit="1" customWidth="1"/>
    <col min="29" max="29" width="21.453125" style="5" bestFit="1" customWidth="1"/>
    <col min="30" max="30" width="11.08984375" style="3" bestFit="1" customWidth="1"/>
    <col min="31" max="31" width="11.36328125" style="3" bestFit="1" customWidth="1"/>
    <col min="32" max="32" width="7" style="3" bestFit="1" customWidth="1"/>
    <col min="33" max="33" width="10.36328125" style="3" bestFit="1" customWidth="1"/>
    <col min="34" max="34" width="7.6328125" style="3" bestFit="1" customWidth="1"/>
    <col min="35" max="35" width="7.453125" style="3" bestFit="1" customWidth="1"/>
    <col min="36" max="36" width="7.90625" style="3" bestFit="1" customWidth="1"/>
    <col min="37" max="38" width="5.1796875" style="3" bestFit="1" customWidth="1"/>
    <col min="39" max="39" width="5.26953125" style="3" bestFit="1" customWidth="1"/>
    <col min="40" max="40" width="12.81640625" style="3" bestFit="1" customWidth="1"/>
    <col min="41" max="41" width="11.26953125" style="3" bestFit="1" customWidth="1"/>
    <col min="42" max="43" width="7.36328125" style="3" bestFit="1" customWidth="1"/>
    <col min="44" max="44" width="6.36328125" style="3" bestFit="1" customWidth="1"/>
    <col min="45" max="45" width="10.90625" style="3" bestFit="1" customWidth="1"/>
    <col min="46" max="46" width="8.6328125" style="3" bestFit="1" customWidth="1"/>
    <col min="47" max="47" width="14.36328125" style="2" bestFit="1" customWidth="1"/>
    <col min="48" max="48" width="15.453125" style="3" bestFit="1" customWidth="1"/>
    <col min="49" max="49" width="14.90625" style="4" bestFit="1" customWidth="1"/>
    <col min="50" max="50" width="11.90625" style="4" bestFit="1" customWidth="1"/>
    <col min="51" max="52" width="11" style="5" bestFit="1" customWidth="1"/>
    <col min="53" max="53" width="18.81640625" style="5" bestFit="1" customWidth="1"/>
    <col min="54" max="54" width="21.08984375" style="5" bestFit="1" customWidth="1"/>
    <col min="55" max="55" width="11.36328125" style="5" bestFit="1" customWidth="1"/>
    <col min="56" max="56" width="24.54296875" style="5" bestFit="1" customWidth="1"/>
    <col min="57" max="57" width="15.08984375" style="5" bestFit="1" customWidth="1"/>
    <col min="58" max="58" width="31" style="5" bestFit="1" customWidth="1"/>
    <col min="59" max="59" width="21.453125" style="5" bestFit="1" customWidth="1"/>
    <col min="60" max="60" width="13.08984375" style="5" bestFit="1" customWidth="1"/>
    <col min="61" max="61" width="11.26953125" style="2" bestFit="1" customWidth="1"/>
    <col min="62" max="62" width="12.453125" style="4" bestFit="1" customWidth="1"/>
    <col min="63" max="63" width="9.7265625" style="1" bestFit="1" customWidth="1"/>
    <col min="64" max="64" width="6.36328125" style="1" bestFit="1" customWidth="1"/>
    <col min="65" max="16384" width="9.1796875" style="1"/>
  </cols>
  <sheetData>
    <row r="1" spans="1:66" s="3" customFormat="1" x14ac:dyDescent="0.35">
      <c r="A1" s="41" t="s">
        <v>0</v>
      </c>
      <c r="B1" s="45" t="s">
        <v>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3"/>
      <c r="P1" s="16"/>
      <c r="Q1" s="17"/>
      <c r="R1" s="17"/>
      <c r="S1" s="18"/>
      <c r="T1" s="43" t="s">
        <v>14</v>
      </c>
      <c r="U1" s="41" t="s">
        <v>17</v>
      </c>
      <c r="V1" s="41" t="s">
        <v>58</v>
      </c>
      <c r="W1" s="41" t="s">
        <v>59</v>
      </c>
      <c r="X1" s="41" t="s">
        <v>49</v>
      </c>
      <c r="Y1" s="41" t="s">
        <v>50</v>
      </c>
      <c r="Z1" s="41" t="s">
        <v>52</v>
      </c>
      <c r="AA1" s="41" t="s">
        <v>55</v>
      </c>
      <c r="AB1" s="41" t="s">
        <v>68</v>
      </c>
      <c r="AC1" s="41" t="s">
        <v>60</v>
      </c>
      <c r="AD1" s="45" t="s">
        <v>8</v>
      </c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3"/>
      <c r="AU1" s="45" t="s">
        <v>15</v>
      </c>
      <c r="AV1" s="46" t="s">
        <v>16</v>
      </c>
      <c r="AW1" s="43" t="s">
        <v>22</v>
      </c>
      <c r="AX1" s="43" t="s">
        <v>17</v>
      </c>
      <c r="AY1" s="41" t="s">
        <v>62</v>
      </c>
      <c r="AZ1" s="41" t="s">
        <v>61</v>
      </c>
      <c r="BA1" s="41" t="s">
        <v>49</v>
      </c>
      <c r="BB1" s="41" t="s">
        <v>50</v>
      </c>
      <c r="BC1" s="41" t="s">
        <v>52</v>
      </c>
      <c r="BD1" s="41" t="s">
        <v>63</v>
      </c>
      <c r="BE1" s="41" t="s">
        <v>64</v>
      </c>
      <c r="BF1" s="41" t="s">
        <v>68</v>
      </c>
      <c r="BG1" s="41" t="s">
        <v>60</v>
      </c>
      <c r="BH1" s="41" t="s">
        <v>23</v>
      </c>
      <c r="BI1" s="45" t="s">
        <v>33</v>
      </c>
      <c r="BJ1" s="43" t="s">
        <v>34</v>
      </c>
      <c r="BK1" s="19" t="s">
        <v>11</v>
      </c>
      <c r="BL1" s="19">
        <v>0.95</v>
      </c>
      <c r="BN1" s="1" t="s">
        <v>66</v>
      </c>
    </row>
    <row r="2" spans="1:66" s="3" customFormat="1" ht="16" thickBot="1" x14ac:dyDescent="0.4">
      <c r="A2" s="42"/>
      <c r="B2" s="20" t="s">
        <v>57</v>
      </c>
      <c r="C2" s="20" t="s">
        <v>56</v>
      </c>
      <c r="D2" s="20" t="s">
        <v>27</v>
      </c>
      <c r="E2" s="20" t="s">
        <v>1</v>
      </c>
      <c r="F2" s="20" t="s">
        <v>2</v>
      </c>
      <c r="G2" s="20" t="s">
        <v>3</v>
      </c>
      <c r="H2" s="20" t="s">
        <v>4</v>
      </c>
      <c r="I2" s="20" t="s">
        <v>5</v>
      </c>
      <c r="J2" s="20" t="s">
        <v>6</v>
      </c>
      <c r="K2" s="20" t="s">
        <v>18</v>
      </c>
      <c r="L2" s="20" t="s">
        <v>19</v>
      </c>
      <c r="M2" s="20" t="s">
        <v>36</v>
      </c>
      <c r="N2" s="20" t="s">
        <v>35</v>
      </c>
      <c r="O2" s="20" t="s">
        <v>20</v>
      </c>
      <c r="P2" s="21" t="s">
        <v>37</v>
      </c>
      <c r="Q2" s="20" t="s">
        <v>38</v>
      </c>
      <c r="R2" s="20" t="s">
        <v>39</v>
      </c>
      <c r="S2" s="22" t="s">
        <v>48</v>
      </c>
      <c r="T2" s="44"/>
      <c r="U2" s="42"/>
      <c r="V2" s="42"/>
      <c r="W2" s="42"/>
      <c r="X2" s="42"/>
      <c r="Y2" s="42"/>
      <c r="Z2" s="42"/>
      <c r="AA2" s="42"/>
      <c r="AB2" s="42"/>
      <c r="AC2" s="42"/>
      <c r="AD2" s="20" t="s">
        <v>24</v>
      </c>
      <c r="AE2" s="20" t="s">
        <v>25</v>
      </c>
      <c r="AF2" s="20" t="s">
        <v>26</v>
      </c>
      <c r="AG2" s="20" t="s">
        <v>27</v>
      </c>
      <c r="AH2" s="20" t="s">
        <v>1</v>
      </c>
      <c r="AI2" s="20" t="s">
        <v>2</v>
      </c>
      <c r="AJ2" s="20" t="s">
        <v>3</v>
      </c>
      <c r="AK2" s="20" t="s">
        <v>4</v>
      </c>
      <c r="AL2" s="20" t="s">
        <v>5</v>
      </c>
      <c r="AM2" s="20" t="s">
        <v>6</v>
      </c>
      <c r="AN2" s="23" t="s">
        <v>9</v>
      </c>
      <c r="AO2" s="23" t="s">
        <v>10</v>
      </c>
      <c r="AP2" s="20" t="s">
        <v>18</v>
      </c>
      <c r="AQ2" s="20" t="s">
        <v>19</v>
      </c>
      <c r="AR2" s="20" t="s">
        <v>36</v>
      </c>
      <c r="AS2" s="20" t="s">
        <v>35</v>
      </c>
      <c r="AT2" s="23" t="s">
        <v>21</v>
      </c>
      <c r="AU2" s="47"/>
      <c r="AV2" s="48"/>
      <c r="AW2" s="44"/>
      <c r="AX2" s="44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7"/>
      <c r="BJ2" s="44"/>
      <c r="BK2" s="19" t="s">
        <v>12</v>
      </c>
      <c r="BL2" s="19">
        <v>0.99</v>
      </c>
      <c r="BN2" s="1" t="s">
        <v>67</v>
      </c>
    </row>
    <row r="3" spans="1:66" x14ac:dyDescent="0.35">
      <c r="A3" s="24">
        <v>-29</v>
      </c>
      <c r="B3" s="15">
        <f>0.151140511695727*[2]syngas_streams_zaryad!$E$2</f>
        <v>1.8097389517879936</v>
      </c>
      <c r="C3" s="15">
        <f>[2]gas_streams_zaryad!$E$13</f>
        <v>0.71116685454431994</v>
      </c>
      <c r="D3" s="25">
        <f>[2]electric_zaryad!$E$5</f>
        <v>30.452624003549261</v>
      </c>
      <c r="E3" s="25">
        <f>[2]GTU_input_zaryad!$B$3</f>
        <v>0.69480218425926021</v>
      </c>
      <c r="F3" s="25">
        <f>[2]electric_zaryad!$C$5</f>
        <v>115.100929844389</v>
      </c>
      <c r="G3" s="25">
        <f>[2]electric_zaryad!$B$7</f>
        <v>30.933051544978241</v>
      </c>
      <c r="H3" s="25">
        <f>[2]electric_zaryad!$C$12</f>
        <v>4.4554993332421119E-2</v>
      </c>
      <c r="I3" s="25">
        <f>[2]electric_zaryad!$C$6</f>
        <v>6.1941058200121946</v>
      </c>
      <c r="J3" s="25">
        <f>[2]electric_zaryad!$C$2</f>
        <v>2.587841917640596</v>
      </c>
      <c r="K3" s="25">
        <f>[2]heaters_zaryad!$B$9</f>
        <v>95.729385314188406</v>
      </c>
      <c r="L3" s="25">
        <f>[2]heaters_zaryad!$B$8</f>
        <v>17.214316843686831</v>
      </c>
      <c r="M3" s="25">
        <f>[2]heaters_zaryad!$B$10</f>
        <v>7.8378461649447768</v>
      </c>
      <c r="N3" s="25">
        <f t="shared" ref="N3:N10" si="0">K3+L3+M3</f>
        <v>120.78154832282002</v>
      </c>
      <c r="O3" s="25">
        <f>[2]heaters_zaryad!$B$17/1000</f>
        <v>36.433017945101462</v>
      </c>
      <c r="P3" s="26">
        <f>[2]heaters_zaryad!$B$11/1000</f>
        <v>34.591334113016273</v>
      </c>
      <c r="Q3" s="25">
        <f>[2]gas_streams_zaryad!$E$4</f>
        <v>13.652405299087601</v>
      </c>
      <c r="R3" s="25">
        <f>[3]!PropsSI("H","P",[2]gas_streams_zaryad!$C$4*10^6,"T",[2]gas_streams_zaryad!$B$4+273.15,"REFPROP::"&amp;[3]!MixtureString($R$16:$R$20,$S$16:$S$20))/1000-[3]!PropsSI("H","P",[2]gas_streams_zaryad!$C$4*10^6,"T",S13+273.15,"REFPROP::"&amp;[3]!MixtureString($R$16:$R$20,$S$16:$S$20))/1000</f>
        <v>1246.7674708223194</v>
      </c>
      <c r="S3" s="27">
        <f t="shared" ref="S3:S10" si="1">R3*Q3/1000</f>
        <v>17.021374825384679</v>
      </c>
      <c r="T3" s="25">
        <f t="shared" ref="T3:T11" si="2">F3+G3*$BL$2*$BL$3-H3/$BL$1/$BL$2-I3-J3/$BL$1/$BL$2</f>
        <v>136.11913718198772</v>
      </c>
      <c r="U3" s="24">
        <f>N3+O3</f>
        <v>157.21456626792147</v>
      </c>
      <c r="V3" s="24">
        <f>C3*$R$14</f>
        <v>35.700576098124863</v>
      </c>
      <c r="W3" s="24">
        <f t="shared" ref="W3:W10" si="3">B3*$R$14</f>
        <v>90.84889537975728</v>
      </c>
      <c r="X3" s="32">
        <f t="shared" ref="X3:X9" si="4">T3/((100*F3)/D3-N3)</f>
        <v>0.5292641212244632</v>
      </c>
      <c r="Y3" s="33">
        <f t="shared" ref="Y3:Y11" si="5">T3/((100*F3)/D3-N3-P3+S3)</f>
        <v>0.56807271937666282</v>
      </c>
      <c r="Z3" s="33">
        <f t="shared" ref="Z3:Z10" si="6">(T3+P3+N3)/((100*F3)/D3+S3)</f>
        <v>0.73797582824956565</v>
      </c>
      <c r="AA3" s="33">
        <f>(AD3+AE3)*AF3/(V3+W3-O3-S3+P3)</f>
        <v>0.95776543770142974</v>
      </c>
      <c r="AB3" s="33">
        <f t="shared" ref="AB3:AB10" si="7">(T3)/((100*F3)/D3+$R$14*(B3+C3)-(AD3+AE3)*AF3-U3)</f>
        <v>0.55749111299036869</v>
      </c>
      <c r="AC3" s="33">
        <f>((AD3+AE3)*AF3+U3+T3)/((100*F3)/D3+$R$14*(B3+C3))</f>
        <v>0.78584524809329015</v>
      </c>
      <c r="AD3" s="15">
        <f>[2]syngas_streams_razryad!$E$10</f>
        <v>1.0811111111111109</v>
      </c>
      <c r="AE3" s="15">
        <f>[2]syngas_streams_razryad!$E$9</f>
        <v>3.2997870354208629</v>
      </c>
      <c r="AF3" s="25">
        <f>[2]accumulation_razryad!$E$3</f>
        <v>23.54273504191962</v>
      </c>
      <c r="AG3" s="25">
        <f>[2]electric_razryad!$E$5</f>
        <v>34.07583168780608</v>
      </c>
      <c r="AH3" s="25">
        <f>[2]GTU_input_razryad!$B$3</f>
        <v>1</v>
      </c>
      <c r="AI3" s="25">
        <f>[2]electric_razryad!$C$5</f>
        <v>165.66</v>
      </c>
      <c r="AJ3" s="25">
        <f>[2]electric_razryad!$B$7</f>
        <v>44.050113971134323</v>
      </c>
      <c r="AK3" s="25">
        <f>[2]electric_razryad!$C$12</f>
        <v>0.17052232115415961</v>
      </c>
      <c r="AL3" s="25">
        <f>[2]electric_razryad!$C$6</f>
        <v>6.3013810203264402</v>
      </c>
      <c r="AM3" s="25">
        <f>[2]electric_razryad!$C$2</f>
        <v>0.99949824150008271</v>
      </c>
      <c r="AN3" s="25">
        <f>[2]electric_razryad!$B$13</f>
        <v>46778.792791445863</v>
      </c>
      <c r="AO3" s="25">
        <f>[2]electric_razryad!$B$14</f>
        <v>70193.160472000105</v>
      </c>
      <c r="AP3" s="25">
        <f>[2]heaters_razryad!$B$9</f>
        <v>91.866391547914262</v>
      </c>
      <c r="AQ3" s="25">
        <f>[2]heaters_razryad!$B$8</f>
        <v>23.826863724290821</v>
      </c>
      <c r="AR3" s="25">
        <f>[2]heaters_razryad!$B$10</f>
        <v>7.6594562593142186</v>
      </c>
      <c r="AS3" s="25">
        <f t="shared" ref="AS3:AS10" si="8">AR3+AQ3+AP3</f>
        <v>123.3527115315193</v>
      </c>
      <c r="AT3" s="25">
        <f>[2]heaters_razryad!$B$18/1000</f>
        <v>33.847514915620501</v>
      </c>
      <c r="AU3" s="26">
        <f t="shared" ref="AU3:AU11" si="9">AI3+AJ3*$BL$2*$BL$3-AK3/$BL$1/$BL$2-AL3-AM3/$BL$1/$BL$2</f>
        <v>200.85199855217755</v>
      </c>
      <c r="AV3" s="25">
        <f t="shared" ref="AV3:AV11" si="10">(-AN3/1000/$BL$2+AO3/1000)*$BL$2*$BL$3</f>
        <v>22.258187354317553</v>
      </c>
      <c r="AW3" s="27">
        <f t="shared" ref="AW3:AW10" si="11">AU3+AV3</f>
        <v>223.1101859064951</v>
      </c>
      <c r="AX3" s="27">
        <f t="shared" ref="AX3:AX10" si="12">AS3+AT3</f>
        <v>157.20022644713981</v>
      </c>
      <c r="AY3" s="24">
        <f t="shared" ref="AY3:AY11" si="13">(100*AI3)/AG3-AD3*AF3</f>
        <v>460.69869780624794</v>
      </c>
      <c r="AZ3" s="24">
        <f>AE3*AF3</f>
        <v>77.686011869674815</v>
      </c>
      <c r="BA3" s="32">
        <f t="shared" ref="BA3:BA11" si="14">AU3/((100*AI3)/AG3-AS3)</f>
        <v>0.55361890963617699</v>
      </c>
      <c r="BB3" s="33">
        <f>AU3/(AY3-AS3)</f>
        <v>0.59538873063279085</v>
      </c>
      <c r="BC3" s="33">
        <f>(AU3+AS3)/(AY3)</f>
        <v>0.70372395586853775</v>
      </c>
      <c r="BD3" s="33">
        <f>AV3/(AZ3-AT3)</f>
        <v>0.5077315350853755</v>
      </c>
      <c r="BE3" s="33">
        <f>(AV3+AT3)/(AZ3)</f>
        <v>0.72221112809935906</v>
      </c>
      <c r="BF3" s="33">
        <f>AW3/(AZ3+AY3-AX3)</f>
        <v>0.58530762851799167</v>
      </c>
      <c r="BG3" s="33">
        <f>(AW3+AX3)/(AY3+AZ3)</f>
        <v>0.70639155518097885</v>
      </c>
      <c r="BH3" s="24">
        <f t="shared" ref="BH3:BH11" si="15">ABS(AX3-U3)/U3*100</f>
        <v>9.1211782229006777E-3</v>
      </c>
      <c r="BI3" s="26">
        <f>T3-'Без ПКМ'!B3</f>
        <v>-38.945118323126536</v>
      </c>
      <c r="BJ3" s="27">
        <f>AW3-'Без ПКМ'!E3</f>
        <v>17.972496317584927</v>
      </c>
      <c r="BK3" s="29" t="s">
        <v>13</v>
      </c>
      <c r="BL3" s="29">
        <v>0.98</v>
      </c>
      <c r="BN3" s="1" t="s">
        <v>65</v>
      </c>
    </row>
    <row r="4" spans="1:66" s="12" customFormat="1" x14ac:dyDescent="0.35">
      <c r="A4" s="28">
        <v>-25</v>
      </c>
      <c r="B4" s="15">
        <f>0.151140511695727*[4]syngas_streams_zaryad!$E$2</f>
        <v>1.8097478355340479</v>
      </c>
      <c r="C4" s="15">
        <f>[4]gas_streams_zaryad!$E$13</f>
        <v>0.71179635712151301</v>
      </c>
      <c r="D4" s="25">
        <f>[4]electric_zaryad!$E$5</f>
        <v>31.138984395053079</v>
      </c>
      <c r="E4" s="25">
        <f>[4]GTU_input_zaryad!$B$3</f>
        <v>0.7466406630312914</v>
      </c>
      <c r="F4" s="25">
        <f>[4]electric_zaryad!$C$5</f>
        <v>123.6884922377637</v>
      </c>
      <c r="G4" s="25">
        <f>[4]electric_zaryad!$B$7</f>
        <v>32.8827487516646</v>
      </c>
      <c r="H4" s="25">
        <f>[4]electric_zaryad!$C$12</f>
        <v>4.5370607446721938E-2</v>
      </c>
      <c r="I4" s="25">
        <f>[4]electric_zaryad!$C$6</f>
        <v>6.2123267341454058</v>
      </c>
      <c r="J4" s="25">
        <f>[4]electric_zaryad!$C$2</f>
        <v>2.5704854406649602</v>
      </c>
      <c r="K4" s="25">
        <f>[4]heaters_zaryad!$B$9</f>
        <v>99.914308030773768</v>
      </c>
      <c r="L4" s="25">
        <f>[4]heaters_zaryad!$B$8</f>
        <v>18.64256111232886</v>
      </c>
      <c r="M4" s="25">
        <f>[4]heaters_zaryad!$B$10</f>
        <v>8.4419812946116082</v>
      </c>
      <c r="N4" s="25">
        <f t="shared" si="0"/>
        <v>126.99885043771424</v>
      </c>
      <c r="O4" s="25">
        <f>[4]heaters_zaryad!$B$17/1000</f>
        <v>36.804291931202975</v>
      </c>
      <c r="P4" s="26">
        <f>[4]heaters_zaryad!$B$11/1000</f>
        <v>34.571553057120674</v>
      </c>
      <c r="Q4" s="25">
        <f>[4]gas_streams_zaryad!$E$4</f>
        <v>13.66448997973005</v>
      </c>
      <c r="R4" s="25">
        <f>[3]!PropsSI("H","P",[4]gas_streams_zaryad!$C$4*10^6,"T",[4]gas_streams_zaryad!$B$4+273.15,"REFPROP::"&amp;[3]!MixtureString($R$16:$R$20,$S$16:$S$20))/1000-[3]!PropsSI("H","P",[4]gas_streams_zaryad!$C$4*10^6,"T",R14+273.15,"REFPROP::"&amp;[3]!MixtureString($R$16:$R$20,$S$16:$S$20))/1000</f>
        <v>1005.1820610676375</v>
      </c>
      <c r="S4" s="27">
        <f t="shared" si="1"/>
        <v>13.735300201263131</v>
      </c>
      <c r="T4" s="25">
        <f t="shared" si="2"/>
        <v>146.59766219882388</v>
      </c>
      <c r="U4" s="24">
        <f t="shared" ref="U4:U10" si="16">N4+O4</f>
        <v>163.80314236891721</v>
      </c>
      <c r="V4" s="24">
        <f t="shared" ref="V4:V11" si="17">C4*$R$14</f>
        <v>35.732177127499952</v>
      </c>
      <c r="W4" s="24">
        <f t="shared" si="3"/>
        <v>90.849341343809215</v>
      </c>
      <c r="X4" s="32">
        <f t="shared" si="4"/>
        <v>0.54252143624485161</v>
      </c>
      <c r="Y4" s="33">
        <f t="shared" si="5"/>
        <v>0.58785045704233818</v>
      </c>
      <c r="Z4" s="33">
        <f t="shared" si="6"/>
        <v>0.74989264271664446</v>
      </c>
      <c r="AA4" s="33">
        <f t="shared" ref="AA4:AA10" si="18">(AD4+AE4)*AF4/(V4+W4-O4-S4+P4)</f>
        <v>0.93242093886436883</v>
      </c>
      <c r="AB4" s="33">
        <f t="shared" si="7"/>
        <v>0.57074242025422373</v>
      </c>
      <c r="AC4" s="33">
        <f t="shared" ref="AC4:AC10" si="19">((AD4+AE4)*AF4+U4+T4)/((100*F4)/D4+$R$14*(B4+C4))</f>
        <v>0.78950448087802061</v>
      </c>
      <c r="AD4" s="15">
        <f>[4]syngas_streams_razryad!$E$10</f>
        <v>1.0811111111111109</v>
      </c>
      <c r="AE4" s="15">
        <f>[4]syngas_streams_razryad!$E$9</f>
        <v>3.2997870354208629</v>
      </c>
      <c r="AF4" s="25">
        <f>[4]accumulation_razryad!$E$3</f>
        <v>23.54273504191962</v>
      </c>
      <c r="AG4" s="25">
        <f>[4]electric_razryad!$E$5</f>
        <v>34.082383064645562</v>
      </c>
      <c r="AH4" s="25">
        <f>[4]GTU_input_razryad!$B$3</f>
        <v>1</v>
      </c>
      <c r="AI4" s="25">
        <f>[4]electric_razryad!$C$5</f>
        <v>165.66</v>
      </c>
      <c r="AJ4" s="25">
        <f>[4]electric_razryad!$B$7</f>
        <v>45.912917377624687</v>
      </c>
      <c r="AK4" s="25">
        <f>[4]electric_razryad!$C$12</f>
        <v>0.16687188131889169</v>
      </c>
      <c r="AL4" s="25">
        <f>[4]electric_razryad!$C$6</f>
        <v>6.3013810203264402</v>
      </c>
      <c r="AM4" s="25">
        <f>[4]electric_razryad!$C$2</f>
        <v>0.95593913148242637</v>
      </c>
      <c r="AN4" s="25">
        <f>[4]electric_razryad!$B$13</f>
        <v>46805.650471372763</v>
      </c>
      <c r="AO4" s="25">
        <f>[4]electric_razryad!$B$14</f>
        <v>70231.660312158536</v>
      </c>
      <c r="AP4" s="25">
        <f>[4]heaters_razryad!$B$9</f>
        <v>95.996761822824112</v>
      </c>
      <c r="AQ4" s="25">
        <f>[4]heaters_razryad!$B$8</f>
        <v>25.36534451136432</v>
      </c>
      <c r="AR4" s="25">
        <f>[4]heaters_razryad!$B$10</f>
        <v>8.25184262227509</v>
      </c>
      <c r="AS4" s="25">
        <f t="shared" si="8"/>
        <v>129.61394895646353</v>
      </c>
      <c r="AT4" s="25">
        <f>[4]heaters_razryad!$B$18/1000</f>
        <v>34.175183802657841</v>
      </c>
      <c r="AU4" s="26">
        <f t="shared" si="9"/>
        <v>202.70948664241013</v>
      </c>
      <c r="AV4" s="25">
        <f t="shared" si="10"/>
        <v>22.269219372910904</v>
      </c>
      <c r="AW4" s="27">
        <f t="shared" si="11"/>
        <v>224.97870601532102</v>
      </c>
      <c r="AX4" s="27">
        <f t="shared" si="12"/>
        <v>163.78913275912137</v>
      </c>
      <c r="AY4" s="24">
        <f t="shared" si="13"/>
        <v>460.60524898657548</v>
      </c>
      <c r="AZ4" s="24">
        <f t="shared" ref="AZ4:AZ11" si="20">AE4*AF4</f>
        <v>77.686011869674815</v>
      </c>
      <c r="BA4" s="32">
        <f t="shared" si="14"/>
        <v>0.5687000118694554</v>
      </c>
      <c r="BB4" s="33">
        <f t="shared" ref="BB4:BB11" si="21">AU4/(AY4-AS4)</f>
        <v>0.61243146458522824</v>
      </c>
      <c r="BC4" s="33">
        <f t="shared" ref="BC4:BC11" si="22">(AU4+AS4)/(AY4)</f>
        <v>0.72149294071236114</v>
      </c>
      <c r="BD4" s="33">
        <f t="shared" ref="BD4:BD11" si="23">AV4/(AZ4-AT4)</f>
        <v>0.51180867756897286</v>
      </c>
      <c r="BE4" s="33">
        <f t="shared" ref="BE4:BE11" si="24">(AV4+AT4)/(AZ4)</f>
        <v>0.726570998010031</v>
      </c>
      <c r="BF4" s="33">
        <f t="shared" ref="BF4:BF11" si="25">AW4/(AZ4+AY4-AX4)</f>
        <v>0.60074079460763885</v>
      </c>
      <c r="BG4" s="33">
        <f t="shared" ref="BG4:BG11" si="26">(AW4+AX4)/(AY4+AZ4)</f>
        <v>0.72222580421617155</v>
      </c>
      <c r="BH4" s="24">
        <f t="shared" si="15"/>
        <v>8.5527112564681169E-3</v>
      </c>
      <c r="BI4" s="26">
        <f>T4-'Без ПКМ'!B4</f>
        <v>-40.859558472925187</v>
      </c>
      <c r="BJ4" s="27">
        <f>AW4-'Без ПКМ'!E4</f>
        <v>19.850594010706487</v>
      </c>
      <c r="BK4" s="30" t="s">
        <v>28</v>
      </c>
      <c r="BL4" s="30">
        <v>50.2</v>
      </c>
      <c r="BN4" s="12" t="s">
        <v>31</v>
      </c>
    </row>
    <row r="5" spans="1:66" x14ac:dyDescent="0.35">
      <c r="A5" s="24">
        <v>-20</v>
      </c>
      <c r="B5" s="15">
        <f>0.151140511695727*[5]syngas_streams_zaryad!$E$2</f>
        <v>1.8097467594850216</v>
      </c>
      <c r="C5" s="15">
        <f>[5]gas_streams_zaryad!$E$13</f>
        <v>0.71196943258744461</v>
      </c>
      <c r="D5" s="25">
        <f>[5]electric_zaryad!$E$5</f>
        <v>31.60833630360203</v>
      </c>
      <c r="E5" s="25">
        <f>[5]GTU_input_zaryad!$B$3</f>
        <v>0.77936866286876294</v>
      </c>
      <c r="F5" s="25">
        <f>[5]electric_zaryad!$C$5</f>
        <v>129.11021269083929</v>
      </c>
      <c r="G5" s="25">
        <f>[5]electric_zaryad!$B$7</f>
        <v>35.45395799005653</v>
      </c>
      <c r="H5" s="25">
        <f>[5]electric_zaryad!$C$12</f>
        <v>4.5141605718147293E-2</v>
      </c>
      <c r="I5" s="25">
        <f>[5]electric_zaryad!$C$6</f>
        <v>6.2238304296418097</v>
      </c>
      <c r="J5" s="25">
        <f>[5]electric_zaryad!$C$2</f>
        <v>2.2797799773862408</v>
      </c>
      <c r="K5" s="25">
        <f>[5]heaters_zaryad!$B$9</f>
        <v>100.56379823483459</v>
      </c>
      <c r="L5" s="25">
        <f>[5]heaters_zaryad!$B$8</f>
        <v>21.980273923143599</v>
      </c>
      <c r="M5" s="25">
        <f>[5]heaters_zaryad!$B$10</f>
        <v>8.6886914567165707</v>
      </c>
      <c r="N5" s="25">
        <f t="shared" si="0"/>
        <v>131.23276361469476</v>
      </c>
      <c r="O5" s="25">
        <f>[5]heaters_zaryad!$B$17/1000</f>
        <v>37.246713942470322</v>
      </c>
      <c r="P5" s="26">
        <f>[5]heaters_zaryad!$B$11/1000</f>
        <v>34.566003133843296</v>
      </c>
      <c r="Q5" s="25">
        <f>[5]gas_streams_zaryad!$E$4</f>
        <v>13.667812542351079</v>
      </c>
      <c r="R5" s="25">
        <f>[3]!PropsSI("H","P",[5]gas_streams_zaryad!$C$4*10^6,"T",[5]gas_streams_zaryad!$B$4+273.15,"REFPROP::"&amp;[3]!MixtureString($R$16:$R$20,$S$16:$S$20))/1000-[3]!PropsSI("H","P",[5]gas_streams_zaryad!$C$4*10^6,"T",S15+273.15,"REFPROP::"&amp;[3]!MixtureString($R$16:$R$20,$S$16:$S$20))/1000</f>
        <v>1246.7674708223194</v>
      </c>
      <c r="S5" s="27">
        <f t="shared" si="1"/>
        <v>17.040584075100629</v>
      </c>
      <c r="T5" s="25">
        <f t="shared" si="2"/>
        <v>154.81180636683516</v>
      </c>
      <c r="U5" s="24">
        <f t="shared" si="16"/>
        <v>168.47947755716507</v>
      </c>
      <c r="V5" s="24">
        <f t="shared" si="17"/>
        <v>35.740865515889723</v>
      </c>
      <c r="W5" s="24">
        <f t="shared" si="3"/>
        <v>90.849287326148087</v>
      </c>
      <c r="X5" s="32">
        <f t="shared" si="4"/>
        <v>0.55841142381925557</v>
      </c>
      <c r="Y5" s="33">
        <f t="shared" si="5"/>
        <v>0.59609333241281448</v>
      </c>
      <c r="Z5" s="33">
        <f t="shared" si="6"/>
        <v>0.75347462544935606</v>
      </c>
      <c r="AA5" s="33">
        <f t="shared" si="18"/>
        <v>0.96509241588109396</v>
      </c>
      <c r="AB5" s="33">
        <f t="shared" si="7"/>
        <v>0.58765218465126401</v>
      </c>
      <c r="AC5" s="33">
        <f t="shared" si="19"/>
        <v>0.79697677012308477</v>
      </c>
      <c r="AD5" s="15">
        <f>[5]syngas_streams_razryad!$E$10</f>
        <v>1.0811111111111109</v>
      </c>
      <c r="AE5" s="15">
        <f>[5]syngas_streams_razryad!$E$9</f>
        <v>3.2997870354208629</v>
      </c>
      <c r="AF5" s="25">
        <f>[5]accumulation_razryad!$E$3</f>
        <v>23.54273504191962</v>
      </c>
      <c r="AG5" s="25">
        <f>[5]electric_razryad!$E$5</f>
        <v>34.091218921592109</v>
      </c>
      <c r="AH5" s="25">
        <f>[5]GTU_input_razryad!$B$3</f>
        <v>1</v>
      </c>
      <c r="AI5" s="25">
        <f>[5]electric_razryad!$C$5</f>
        <v>165.66</v>
      </c>
      <c r="AJ5" s="25">
        <f>[5]electric_razryad!$B$7</f>
        <v>48.809767748233462</v>
      </c>
      <c r="AK5" s="25">
        <f>[5]electric_razryad!$C$12</f>
        <v>0.16593015716324261</v>
      </c>
      <c r="AL5" s="25">
        <f>[5]electric_razryad!$C$6</f>
        <v>6.3013810203264402</v>
      </c>
      <c r="AM5" s="25">
        <f>[5]electric_razryad!$C$2</f>
        <v>0.87000125653966087</v>
      </c>
      <c r="AN5" s="25">
        <f>[5]electric_razryad!$B$13</f>
        <v>46839.268921184201</v>
      </c>
      <c r="AO5" s="25">
        <f>[5]electric_razryad!$B$14</f>
        <v>70279.851547881801</v>
      </c>
      <c r="AP5" s="25">
        <f>[5]heaters_razryad!$B$9</f>
        <v>95.098019616850024</v>
      </c>
      <c r="AQ5" s="25">
        <f>[5]heaters_razryad!$B$8</f>
        <v>30.083149783016641</v>
      </c>
      <c r="AR5" s="25">
        <f>[5]heaters_razryad!$B$10</f>
        <v>8.3526005737814533</v>
      </c>
      <c r="AS5" s="25">
        <f t="shared" si="8"/>
        <v>133.53376997364813</v>
      </c>
      <c r="AT5" s="25">
        <f>[5]heaters_razryad!$B$18/1000</f>
        <v>34.93565108968393</v>
      </c>
      <c r="AU5" s="26">
        <f t="shared" si="9"/>
        <v>205.61238684124476</v>
      </c>
      <c r="AV5" s="25">
        <f t="shared" si="10"/>
        <v>22.28302842899441</v>
      </c>
      <c r="AW5" s="27">
        <f t="shared" si="11"/>
        <v>227.89541527023917</v>
      </c>
      <c r="AX5" s="27">
        <f t="shared" si="12"/>
        <v>168.46942106333205</v>
      </c>
      <c r="AY5" s="24">
        <f t="shared" si="13"/>
        <v>460.47927123581132</v>
      </c>
      <c r="AZ5" s="24">
        <f t="shared" si="20"/>
        <v>77.686011869674815</v>
      </c>
      <c r="BA5" s="32">
        <f t="shared" si="14"/>
        <v>0.58346669260315043</v>
      </c>
      <c r="BB5" s="33">
        <f t="shared" si="21"/>
        <v>0.62888887000275084</v>
      </c>
      <c r="BC5" s="33">
        <f t="shared" si="22"/>
        <v>0.73650689184055851</v>
      </c>
      <c r="BD5" s="33">
        <f t="shared" si="23"/>
        <v>0.52123603222136738</v>
      </c>
      <c r="BE5" s="33">
        <f t="shared" si="24"/>
        <v>0.73653773879740103</v>
      </c>
      <c r="BF5" s="33">
        <f t="shared" si="25"/>
        <v>0.61644026528014984</v>
      </c>
      <c r="BG5" s="33">
        <f t="shared" si="26"/>
        <v>0.73651134470500479</v>
      </c>
      <c r="BH5" s="24">
        <f t="shared" si="15"/>
        <v>5.9689725887280623E-3</v>
      </c>
      <c r="BI5" s="26">
        <f>T5-'Без ПКМ'!B5</f>
        <v>-43.040220632537483</v>
      </c>
      <c r="BJ5" s="27">
        <f>AW5-'Без ПКМ'!E5</f>
        <v>20.946055758894147</v>
      </c>
      <c r="BK5" s="31"/>
      <c r="BL5" s="31"/>
    </row>
    <row r="6" spans="1:66" x14ac:dyDescent="0.35">
      <c r="A6" s="24">
        <v>-15</v>
      </c>
      <c r="B6" s="15">
        <f>0.151140511695727*[6]syngas_streams_zaryad!$E$2</f>
        <v>1.8097507610934864</v>
      </c>
      <c r="C6" s="15">
        <f>[6]gas_streams_zaryad!$E$13</f>
        <v>0.71134089611197371</v>
      </c>
      <c r="D6" s="25">
        <f>[6]electric_zaryad!$E$5</f>
        <v>31.460844339217282</v>
      </c>
      <c r="E6" s="25">
        <f>[6]GTU_input_zaryad!$B$3</f>
        <v>0.76882994949935191</v>
      </c>
      <c r="F6" s="25">
        <f>[6]electric_zaryad!$C$5</f>
        <v>127.3643694340626</v>
      </c>
      <c r="G6" s="25">
        <f>[6]electric_zaryad!$B$7</f>
        <v>37.235228205639359</v>
      </c>
      <c r="H6" s="25">
        <f>[6]electric_zaryad!$C$12</f>
        <v>4.5311423512046797E-2</v>
      </c>
      <c r="I6" s="25">
        <f>[6]electric_zaryad!$C$6</f>
        <v>6.2201261351500099</v>
      </c>
      <c r="J6" s="25">
        <f>[6]electric_zaryad!$C$2</f>
        <v>2.2670468119814799</v>
      </c>
      <c r="K6" s="25">
        <f>[6]heaters_zaryad!$B$9</f>
        <v>96.353205467529463</v>
      </c>
      <c r="L6" s="25">
        <f>[6]heaters_zaryad!$B$8</f>
        <v>26.070522368068168</v>
      </c>
      <c r="M6" s="25">
        <f>[6]heaters_zaryad!$B$10</f>
        <v>8.3289559776966637</v>
      </c>
      <c r="N6" s="25">
        <f t="shared" si="0"/>
        <v>130.75268381329428</v>
      </c>
      <c r="O6" s="25">
        <f>[6]heaters_zaryad!$B$17/1000</f>
        <v>37.501276317035469</v>
      </c>
      <c r="P6" s="26">
        <f>[6]heaters_zaryad!$B$11/1000</f>
        <v>34.586161063950328</v>
      </c>
      <c r="Q6" s="25">
        <f>[6]gas_streams_zaryad!$E$4</f>
        <v>13.655746408147049</v>
      </c>
      <c r="R6" s="25">
        <f>[3]!PropsSI("H","P",[6]gas_streams_zaryad!$C$4*10^6,"T",[6]gas_streams_zaryad!$B$4+273.15,"REFPROP::"&amp;[3]!MixtureString($R$16:$R$20,$S$16:$S$20))/1000-[3]!PropsSI("H","P",[6]gas_streams_zaryad!$C$4*10^6,"T",S16+273.15,"REFPROP::"&amp;[3]!MixtureString($R$16:$R$20,$S$16:$S$20))/1000</f>
        <v>1245.3598293915852</v>
      </c>
      <c r="S6" s="27">
        <f t="shared" si="1"/>
        <v>17.006318017064761</v>
      </c>
      <c r="T6" s="25">
        <f t="shared" si="2"/>
        <v>154.81121392572135</v>
      </c>
      <c r="U6" s="24">
        <f t="shared" si="16"/>
        <v>168.25396013032974</v>
      </c>
      <c r="V6" s="24">
        <f t="shared" si="17"/>
        <v>35.709312984821082</v>
      </c>
      <c r="W6" s="24">
        <f t="shared" si="3"/>
        <v>90.849488206893028</v>
      </c>
      <c r="X6" s="32">
        <f t="shared" si="4"/>
        <v>0.56483565585398776</v>
      </c>
      <c r="Y6" s="33">
        <f t="shared" si="5"/>
        <v>0.6035477167992227</v>
      </c>
      <c r="Z6" s="33">
        <f t="shared" si="6"/>
        <v>0.75893560503068003</v>
      </c>
      <c r="AA6" s="33">
        <f t="shared" si="18"/>
        <v>0.96718745332594036</v>
      </c>
      <c r="AB6" s="33">
        <f t="shared" si="7"/>
        <v>0.59542528960195196</v>
      </c>
      <c r="AC6" s="33">
        <f t="shared" si="19"/>
        <v>0.80204897699889222</v>
      </c>
      <c r="AD6" s="15">
        <f>[6]syngas_streams_razryad!$E$10</f>
        <v>1.0811111111111109</v>
      </c>
      <c r="AE6" s="15">
        <f>[6]syngas_streams_razryad!$E$9</f>
        <v>3.2997870354208629</v>
      </c>
      <c r="AF6" s="25">
        <f>[6]accumulation_razryad!$E$3</f>
        <v>23.54273504191962</v>
      </c>
      <c r="AG6" s="25">
        <f>[6]electric_razryad!$E$5</f>
        <v>34.094845350390223</v>
      </c>
      <c r="AH6" s="25">
        <f>[6]GTU_input_razryad!$B$3</f>
        <v>1</v>
      </c>
      <c r="AI6" s="25">
        <f>[6]electric_razryad!$C$5</f>
        <v>165.66</v>
      </c>
      <c r="AJ6" s="25">
        <f>[6]electric_razryad!$B$7</f>
        <v>50.977835502461701</v>
      </c>
      <c r="AK6" s="25">
        <f>[6]electric_razryad!$C$12</f>
        <v>0.16741119152865561</v>
      </c>
      <c r="AL6" s="25">
        <f>[6]electric_razryad!$C$6</f>
        <v>6.3013810203264402</v>
      </c>
      <c r="AM6" s="25">
        <f>[6]electric_razryad!$C$2</f>
        <v>0.7501460646950332</v>
      </c>
      <c r="AN6" s="25">
        <f>[6]electric_razryad!$B$13</f>
        <v>46872.93802369092</v>
      </c>
      <c r="AO6" s="25">
        <f>[6]electric_razryad!$B$14</f>
        <v>70328.115386403413</v>
      </c>
      <c r="AP6" s="25">
        <f>[6]heaters_razryad!$B$9</f>
        <v>88.526701843515767</v>
      </c>
      <c r="AQ6" s="25">
        <f>[6]heaters_razryad!$B$8</f>
        <v>36.251286626115217</v>
      </c>
      <c r="AR6" s="25">
        <f>[6]heaters_razryad!$B$10</f>
        <v>7.7733028893711396</v>
      </c>
      <c r="AS6" s="25">
        <f t="shared" si="8"/>
        <v>132.55129135900211</v>
      </c>
      <c r="AT6" s="25">
        <f>[6]heaters_razryad!$B$18/1000</f>
        <v>35.696780361733843</v>
      </c>
      <c r="AU6" s="26">
        <f t="shared" si="9"/>
        <v>207.8417091827545</v>
      </c>
      <c r="AV6" s="25">
        <f t="shared" si="10"/>
        <v>22.296858284671487</v>
      </c>
      <c r="AW6" s="27">
        <f t="shared" si="11"/>
        <v>230.13856746742599</v>
      </c>
      <c r="AX6" s="27">
        <f t="shared" si="12"/>
        <v>168.24807172073594</v>
      </c>
      <c r="AY6" s="24">
        <f t="shared" si="13"/>
        <v>460.42758611241965</v>
      </c>
      <c r="AZ6" s="24">
        <f t="shared" si="20"/>
        <v>77.686011869674815</v>
      </c>
      <c r="BA6" s="32">
        <f t="shared" si="14"/>
        <v>0.58823912061305983</v>
      </c>
      <c r="BB6" s="33">
        <f t="shared" si="21"/>
        <v>0.6339028240485145</v>
      </c>
      <c r="BC6" s="33">
        <f t="shared" si="22"/>
        <v>0.73929758078970753</v>
      </c>
      <c r="BD6" s="33">
        <f t="shared" si="23"/>
        <v>0.53101372623251564</v>
      </c>
      <c r="BE6" s="33">
        <f t="shared" si="24"/>
        <v>0.74651326861385048</v>
      </c>
      <c r="BF6" s="33">
        <f t="shared" si="25"/>
        <v>0.62222227033076583</v>
      </c>
      <c r="BG6" s="33">
        <f t="shared" si="26"/>
        <v>0.74033929022068323</v>
      </c>
      <c r="BH6" s="24">
        <f t="shared" si="15"/>
        <v>3.4997153049159428E-3</v>
      </c>
      <c r="BI6" s="26">
        <f>T6-'Без ПКМ'!B6</f>
        <v>-43.67527122764389</v>
      </c>
      <c r="BJ6" s="27">
        <f>AW6-'Без ПКМ'!E6</f>
        <v>20.443684636889031</v>
      </c>
      <c r="BK6" s="31"/>
      <c r="BL6" s="31"/>
    </row>
    <row r="7" spans="1:66" x14ac:dyDescent="0.35">
      <c r="A7" s="24">
        <v>-10</v>
      </c>
      <c r="B7" s="15">
        <f>0.151140511695727*[7]syngas_streams_zaryad!$E$2</f>
        <v>1.8097465987745815</v>
      </c>
      <c r="C7" s="15">
        <f>[7]gas_streams_zaryad!$E$13</f>
        <v>0.71062766614777939</v>
      </c>
      <c r="D7" s="25">
        <f>[7]electric_zaryad!$E$5</f>
        <v>31.297572936648329</v>
      </c>
      <c r="E7" s="25">
        <f>[7]GTU_input_zaryad!$B$3</f>
        <v>0.75777475664838301</v>
      </c>
      <c r="F7" s="25">
        <f>[7]electric_zaryad!$C$5</f>
        <v>125.5329661863711</v>
      </c>
      <c r="G7" s="25">
        <f>[7]electric_zaryad!$B$7</f>
        <v>39.05098537833274</v>
      </c>
      <c r="H7" s="25">
        <f>[7]electric_zaryad!$C$12</f>
        <v>4.5265768523943227E-2</v>
      </c>
      <c r="I7" s="25">
        <f>[7]electric_zaryad!$C$6</f>
        <v>6.2162403012205569</v>
      </c>
      <c r="J7" s="25">
        <f>[7]electric_zaryad!$C$2</f>
        <v>2.246992913563123</v>
      </c>
      <c r="K7" s="25">
        <f>[7]heaters_zaryad!$B$9</f>
        <v>91.212406206016283</v>
      </c>
      <c r="L7" s="25">
        <f>[7]heaters_zaryad!$B$8</f>
        <v>31.171799317192502</v>
      </c>
      <c r="M7" s="25">
        <f>[7]heaters_zaryad!$B$10</f>
        <v>7.8879691642715652</v>
      </c>
      <c r="N7" s="25">
        <f t="shared" si="0"/>
        <v>130.27217468748034</v>
      </c>
      <c r="O7" s="25">
        <f>[7]heaters_zaryad!$B$17/1000</f>
        <v>37.759939706280669</v>
      </c>
      <c r="P7" s="26">
        <f>[7]heaters_zaryad!$B$11/1000</f>
        <v>34.608759869799577</v>
      </c>
      <c r="Q7" s="25">
        <f>[7]gas_streams_zaryad!$E$4</f>
        <v>13.64205439693982</v>
      </c>
      <c r="R7" s="25">
        <f>[3]!PropsSI("H","P",[7]gas_streams_zaryad!$C$4*10^6,"T",[7]gas_streams_zaryad!$B$4+273.15,"REFPROP::"&amp;[3]!MixtureString($R$16:$R$20,$S$16:$S$20))/1000-[3]!PropsSI("H","P",[7]gas_streams_zaryad!$C$4*10^6,"T",S17+273.15,"REFPROP::"&amp;[3]!MixtureString($R$16:$R$20,$S$16:$S$20))/1000</f>
        <v>1246.4115417513406</v>
      </c>
      <c r="S7" s="27">
        <f t="shared" si="1"/>
        <v>17.003614053545416</v>
      </c>
      <c r="T7" s="25">
        <f t="shared" si="2"/>
        <v>154.7667152569048</v>
      </c>
      <c r="U7" s="24">
        <f t="shared" si="16"/>
        <v>168.03211439376102</v>
      </c>
      <c r="V7" s="24">
        <f t="shared" si="17"/>
        <v>35.673508840618524</v>
      </c>
      <c r="W7" s="24">
        <f t="shared" si="3"/>
        <v>90.849279258484003</v>
      </c>
      <c r="X7" s="32">
        <f t="shared" si="4"/>
        <v>0.57146873469827708</v>
      </c>
      <c r="Y7" s="33">
        <f t="shared" si="5"/>
        <v>0.61120053675100261</v>
      </c>
      <c r="Z7" s="33">
        <f t="shared" si="6"/>
        <v>0.76452712849218452</v>
      </c>
      <c r="AA7" s="33">
        <f t="shared" si="18"/>
        <v>0.96963682615572522</v>
      </c>
      <c r="AB7" s="33">
        <f t="shared" si="7"/>
        <v>0.60350314070988964</v>
      </c>
      <c r="AC7" s="33">
        <f t="shared" si="19"/>
        <v>0.8072837027577191</v>
      </c>
      <c r="AD7" s="15">
        <f>[7]syngas_streams_razryad!$E$10</f>
        <v>1.0811111111111109</v>
      </c>
      <c r="AE7" s="15">
        <f>[7]syngas_streams_razryad!$E$9</f>
        <v>3.2997870354208629</v>
      </c>
      <c r="AF7" s="25">
        <f>[7]accumulation_razryad!$E$3</f>
        <v>23.54273504191962</v>
      </c>
      <c r="AG7" s="25">
        <f>[7]electric_razryad!$E$5</f>
        <v>34.086911016241331</v>
      </c>
      <c r="AH7" s="25">
        <f>[7]GTU_input_razryad!$B$3</f>
        <v>1</v>
      </c>
      <c r="AI7" s="25">
        <f>[7]electric_razryad!$C$5</f>
        <v>165.66</v>
      </c>
      <c r="AJ7" s="25">
        <f>[7]electric_razryad!$B$7</f>
        <v>52.977154194367813</v>
      </c>
      <c r="AK7" s="25">
        <f>[7]electric_razryad!$C$12</f>
        <v>0.16827639832045399</v>
      </c>
      <c r="AL7" s="25">
        <f>[7]electric_razryad!$C$6</f>
        <v>6.3013810203264402</v>
      </c>
      <c r="AM7" s="25">
        <f>[7]electric_razryad!$C$2</f>
        <v>0.67208772525286054</v>
      </c>
      <c r="AN7" s="25">
        <f>[7]electric_razryad!$B$13</f>
        <v>46906.656904943753</v>
      </c>
      <c r="AO7" s="25">
        <f>[7]electric_razryad!$B$14</f>
        <v>70376.450574922987</v>
      </c>
      <c r="AP7" s="25">
        <f>[7]heaters_razryad!$B$9</f>
        <v>80.8388386668191</v>
      </c>
      <c r="AQ7" s="25">
        <f>[7]heaters_razryad!$B$8</f>
        <v>43.642419585267419</v>
      </c>
      <c r="AR7" s="25">
        <f>[7]heaters_razryad!$B$10</f>
        <v>7.0892931587899879</v>
      </c>
      <c r="AS7" s="25">
        <f t="shared" si="8"/>
        <v>131.5705514108765</v>
      </c>
      <c r="AT7" s="25">
        <f>[7]heaters_razryad!$B$18/1000</f>
        <v>36.458587320236468</v>
      </c>
      <c r="AU7" s="26">
        <f t="shared" si="9"/>
        <v>209.86352487370809</v>
      </c>
      <c r="AV7" s="25">
        <f t="shared" si="10"/>
        <v>22.310708580945402</v>
      </c>
      <c r="AW7" s="27">
        <f t="shared" si="11"/>
        <v>232.17423345465349</v>
      </c>
      <c r="AX7" s="27">
        <f t="shared" si="12"/>
        <v>168.02913873111297</v>
      </c>
      <c r="AY7" s="24">
        <f t="shared" si="13"/>
        <v>460.54068329126073</v>
      </c>
      <c r="AZ7" s="24">
        <f t="shared" si="20"/>
        <v>77.686011869674815</v>
      </c>
      <c r="BA7" s="32">
        <f t="shared" si="14"/>
        <v>0.59212820247957876</v>
      </c>
      <c r="BB7" s="33">
        <f t="shared" si="21"/>
        <v>0.63794096951639334</v>
      </c>
      <c r="BC7" s="33">
        <f t="shared" si="22"/>
        <v>0.74137657903427978</v>
      </c>
      <c r="BD7" s="33">
        <f t="shared" si="23"/>
        <v>0.54116183159079601</v>
      </c>
      <c r="BE7" s="33">
        <f t="shared" si="24"/>
        <v>0.75649778495223285</v>
      </c>
      <c r="BF7" s="33">
        <f t="shared" si="25"/>
        <v>0.62716306313239034</v>
      </c>
      <c r="BG7" s="33">
        <f t="shared" si="26"/>
        <v>0.74355912812184333</v>
      </c>
      <c r="BH7" s="24">
        <f t="shared" si="15"/>
        <v>1.7708892486359782E-3</v>
      </c>
      <c r="BI7" s="26">
        <f>T7-'Без ПКМ'!B7</f>
        <v>-44.066140065870286</v>
      </c>
      <c r="BJ7" s="27">
        <f>AW7-'Без ПКМ'!E7</f>
        <v>19.873658483276586</v>
      </c>
      <c r="BK7" s="31"/>
      <c r="BL7" s="31"/>
    </row>
    <row r="8" spans="1:66" x14ac:dyDescent="0.35">
      <c r="A8" s="24">
        <v>-5</v>
      </c>
      <c r="B8" s="15">
        <f>0.151140511695727*[8]syngas_streams_zaryad!$E$2</f>
        <v>1.8097463211295581</v>
      </c>
      <c r="C8" s="15">
        <f>[8]gas_streams_zaryad!$E$13</f>
        <v>0.70994247373819896</v>
      </c>
      <c r="D8" s="25">
        <f>[8]electric_zaryad!$E$5</f>
        <v>31.205804708297691</v>
      </c>
      <c r="E8" s="25">
        <f>[8]GTU_input_zaryad!$B$3</f>
        <v>0.75289064981383569</v>
      </c>
      <c r="F8" s="25">
        <f>[8]electric_zaryad!$C$5</f>
        <v>124.72386504815999</v>
      </c>
      <c r="G8" s="25">
        <f>[8]electric_zaryad!$B$7</f>
        <v>40.968260557652599</v>
      </c>
      <c r="H8" s="25">
        <f>[8]electric_zaryad!$C$12</f>
        <v>4.5283360806108792E-2</v>
      </c>
      <c r="I8" s="25">
        <f>[8]electric_zaryad!$C$6</f>
        <v>6.214523566984564</v>
      </c>
      <c r="J8" s="25">
        <f>[8]electric_zaryad!$C$2</f>
        <v>2.1391485113478712</v>
      </c>
      <c r="K8" s="25">
        <f>[8]heaters_zaryad!$B$9</f>
        <v>84.897057401809974</v>
      </c>
      <c r="L8" s="25">
        <f>[8]heaters_zaryad!$B$8</f>
        <v>37.521173625103181</v>
      </c>
      <c r="M8" s="25">
        <f>[8]heaters_zaryad!$B$10</f>
        <v>7.3410334705482088</v>
      </c>
      <c r="N8" s="25">
        <f t="shared" si="0"/>
        <v>129.75926449746137</v>
      </c>
      <c r="O8" s="25">
        <f>[8]heaters_zaryad!$B$17/1000</f>
        <v>38.054597346496237</v>
      </c>
      <c r="P8" s="26">
        <f>[8]heaters_zaryad!$B$11/1000</f>
        <v>34.630588026905762</v>
      </c>
      <c r="Q8" s="25">
        <f>[8]gas_streams_zaryad!$E$4</f>
        <v>13.62890062799843</v>
      </c>
      <c r="R8" s="25">
        <f>[3]!PropsSI("H","P",[8]gas_streams_zaryad!$C$4*10^6,"T",[8]gas_streams_zaryad!$B$4+273.15,"REFPROP::"&amp;[3]!MixtureString($R$16:$R$20,$S$16:$S$20))/1000-[3]!PropsSI("H","P",[8]gas_streams_zaryad!$C$4*10^6,"T",S18+273.15,"REFPROP::"&amp;[3]!MixtureString($R$16:$R$20,$S$16:$S$20))/1000</f>
        <v>1246.5891221948264</v>
      </c>
      <c r="S8" s="27">
        <f t="shared" si="1"/>
        <v>16.989639270337079</v>
      </c>
      <c r="T8" s="25">
        <f t="shared" si="2"/>
        <v>155.93411962098938</v>
      </c>
      <c r="U8" s="24">
        <f t="shared" si="16"/>
        <v>167.81386184395762</v>
      </c>
      <c r="V8" s="24">
        <f t="shared" si="17"/>
        <v>35.639112181657588</v>
      </c>
      <c r="W8" s="24">
        <f t="shared" si="3"/>
        <v>90.849265320703822</v>
      </c>
      <c r="X8" s="32">
        <f t="shared" si="4"/>
        <v>0.57769991191729797</v>
      </c>
      <c r="Y8" s="33">
        <f t="shared" si="5"/>
        <v>0.61809597110599723</v>
      </c>
      <c r="Z8" s="33">
        <f t="shared" si="6"/>
        <v>0.76876906398386469</v>
      </c>
      <c r="AA8" s="33">
        <f t="shared" si="18"/>
        <v>0.97231758560119563</v>
      </c>
      <c r="AB8" s="33">
        <f t="shared" si="7"/>
        <v>0.61098447735087835</v>
      </c>
      <c r="AC8" s="33">
        <f t="shared" si="19"/>
        <v>0.81130872101230134</v>
      </c>
      <c r="AD8" s="15">
        <f>[8]syngas_streams_razryad!$E$10</f>
        <v>1.0811111111111109</v>
      </c>
      <c r="AE8" s="15">
        <f>[8]syngas_streams_razryad!$E$9</f>
        <v>3.299969266969438</v>
      </c>
      <c r="AF8" s="25">
        <f>[8]accumulation_razryad!$E$3</f>
        <v>23.541755779113611</v>
      </c>
      <c r="AG8" s="25">
        <f>[8]electric_razryad!$E$5</f>
        <v>34.061064584346838</v>
      </c>
      <c r="AH8" s="25">
        <f>[8]GTU_input_razryad!$B$3</f>
        <v>1</v>
      </c>
      <c r="AI8" s="25">
        <f>[8]electric_razryad!$C$5</f>
        <v>165.66</v>
      </c>
      <c r="AJ8" s="25">
        <f>[8]electric_razryad!$B$7</f>
        <v>55.137910819663901</v>
      </c>
      <c r="AK8" s="25">
        <f>[8]electric_razryad!$C$12</f>
        <v>0.1749860448252161</v>
      </c>
      <c r="AL8" s="25">
        <f>[8]electric_razryad!$C$6</f>
        <v>6.3013810203264402</v>
      </c>
      <c r="AM8" s="25">
        <f>[8]electric_razryad!$C$2</f>
        <v>0.68229978423778059</v>
      </c>
      <c r="AN8" s="25">
        <f>[8]electric_razryad!$B$13</f>
        <v>46940.901942022218</v>
      </c>
      <c r="AO8" s="25">
        <f>[8]electric_razryad!$B$14</f>
        <v>70425.696351193052</v>
      </c>
      <c r="AP8" s="25">
        <f>[8]heaters_razryad!$B$9</f>
        <v>71.531169280447529</v>
      </c>
      <c r="AQ8" s="25">
        <f>[8]heaters_razryad!$B$8</f>
        <v>52.80627089397305</v>
      </c>
      <c r="AR8" s="25">
        <f>[8]heaters_razryad!$B$10</f>
        <v>6.2536847333324772</v>
      </c>
      <c r="AS8" s="25">
        <f t="shared" si="8"/>
        <v>130.59112490775306</v>
      </c>
      <c r="AT8" s="25">
        <f>[8]heaters_razryad!$B$18/1000</f>
        <v>37.221556971155366</v>
      </c>
      <c r="AU8" s="26">
        <f t="shared" si="9"/>
        <v>211.94189870756222</v>
      </c>
      <c r="AV8" s="25">
        <f t="shared" si="10"/>
        <v>22.324926696745731</v>
      </c>
      <c r="AW8" s="27">
        <f t="shared" si="11"/>
        <v>234.26682540430795</v>
      </c>
      <c r="AX8" s="27">
        <f t="shared" si="12"/>
        <v>167.81268187890842</v>
      </c>
      <c r="AY8" s="24">
        <f t="shared" si="13"/>
        <v>460.91052625395963</v>
      </c>
      <c r="AZ8" s="24">
        <f t="shared" si="20"/>
        <v>77.687070561575069</v>
      </c>
      <c r="BA8" s="32">
        <f t="shared" si="14"/>
        <v>0.59572619515660152</v>
      </c>
      <c r="BB8" s="33">
        <f t="shared" si="21"/>
        <v>0.64162715796831649</v>
      </c>
      <c r="BC8" s="33">
        <f t="shared" si="22"/>
        <v>0.74316598147420299</v>
      </c>
      <c r="BD8" s="33">
        <f t="shared" si="23"/>
        <v>0.55170254164353927</v>
      </c>
      <c r="BE8" s="33">
        <f t="shared" si="24"/>
        <v>0.76649155692779447</v>
      </c>
      <c r="BF8" s="33">
        <f t="shared" si="25"/>
        <v>0.63181325875770411</v>
      </c>
      <c r="BG8" s="33">
        <f t="shared" si="26"/>
        <v>0.74653045178908461</v>
      </c>
      <c r="BH8" s="24">
        <f t="shared" si="15"/>
        <v>7.0313920211245522E-4</v>
      </c>
      <c r="BI8" s="26">
        <f>T8-'Без ПКМ'!B8</f>
        <v>-43.774090305751713</v>
      </c>
      <c r="BJ8" s="27">
        <f>AW8-'Без ПКМ'!E8</f>
        <v>19.853419826158046</v>
      </c>
      <c r="BK8" s="31"/>
      <c r="BL8" s="31"/>
    </row>
    <row r="9" spans="1:66" x14ac:dyDescent="0.35">
      <c r="A9" s="24">
        <v>0</v>
      </c>
      <c r="B9" s="15">
        <f>0.151140511695727*[9]syngas_streams_zaryad!$E$2</f>
        <v>1.8097511587538169</v>
      </c>
      <c r="C9" s="15">
        <f>[9]gas_streams_zaryad!$E$13</f>
        <v>0.70901877150346959</v>
      </c>
      <c r="D9" s="25">
        <f>[9]electric_zaryad!$E$5</f>
        <v>31.127267090964281</v>
      </c>
      <c r="E9" s="25">
        <f>[9]GTU_input_zaryad!$B$3</f>
        <v>0.75045581617263146</v>
      </c>
      <c r="F9" s="25">
        <f>[9]electric_zaryad!$C$5</f>
        <v>123.3033426939177</v>
      </c>
      <c r="G9" s="25">
        <f>[9]electric_zaryad!$B$7</f>
        <v>42.454650586517651</v>
      </c>
      <c r="H9" s="25">
        <f>[9]electric_zaryad!$C$12</f>
        <v>4.5455138847056133E-2</v>
      </c>
      <c r="I9" s="25">
        <f>[9]electric_zaryad!$C$6</f>
        <v>6.2115095317257438</v>
      </c>
      <c r="J9" s="25">
        <f>[9]electric_zaryad!$C$2</f>
        <v>2.1091148975811929</v>
      </c>
      <c r="K9" s="25">
        <f>[9]heaters_zaryad!$B$9</f>
        <v>77.724968718770214</v>
      </c>
      <c r="L9" s="25">
        <f>[9]heaters_zaryad!$B$8</f>
        <v>44.847394331631911</v>
      </c>
      <c r="M9" s="25">
        <f>[9]heaters_zaryad!$B$10</f>
        <v>6.7087150881843449</v>
      </c>
      <c r="N9" s="25">
        <f t="shared" si="0"/>
        <v>129.28107813858645</v>
      </c>
      <c r="O9" s="25">
        <f>[9]heaters_zaryad!$B$17/1000</f>
        <v>38.317930934632315</v>
      </c>
      <c r="P9" s="26">
        <f>[9]heaters_zaryad!$B$11/1000</f>
        <v>34.6601792787161</v>
      </c>
      <c r="Q9" s="25">
        <f>[9]gas_streams_zaryad!$E$4</f>
        <v>13.61116814060308</v>
      </c>
      <c r="R9" s="25">
        <f>[3]!PropsSI("H","P",[9]gas_streams_zaryad!$C$4*10^6,"T",[9]gas_streams_zaryad!$B$4+273.15,"REFPROP::"&amp;[3]!MixtureString($R$16:$R$20,$S$16:$S$20))/1000-[3]!PropsSI("H","P",[9]gas_streams_zaryad!$C$4*10^6,"T",S19+273.15,"REFPROP::"&amp;[3]!MixtureString($R$16:$R$20,$S$16:$S$20))/1000</f>
        <v>1246.7478520836039</v>
      </c>
      <c r="S9" s="27">
        <f t="shared" si="1"/>
        <v>16.969694643645671</v>
      </c>
      <c r="T9" s="25">
        <f t="shared" si="2"/>
        <v>155.99045792951608</v>
      </c>
      <c r="U9" s="24">
        <f t="shared" si="16"/>
        <v>167.59900907321878</v>
      </c>
      <c r="V9" s="24">
        <f t="shared" si="17"/>
        <v>35.592742329474177</v>
      </c>
      <c r="W9" s="24">
        <f t="shared" si="3"/>
        <v>90.849508169441606</v>
      </c>
      <c r="X9" s="32">
        <f t="shared" si="4"/>
        <v>0.58457243695751382</v>
      </c>
      <c r="Y9" s="33">
        <f t="shared" si="5"/>
        <v>0.62607822164391114</v>
      </c>
      <c r="Z9" s="33">
        <f t="shared" si="6"/>
        <v>0.77447274221422346</v>
      </c>
      <c r="AA9" s="33">
        <f t="shared" si="18"/>
        <v>0.97470599780279843</v>
      </c>
      <c r="AB9" s="33">
        <f t="shared" si="7"/>
        <v>0.61942422261697849</v>
      </c>
      <c r="AC9" s="33">
        <f t="shared" si="19"/>
        <v>0.81659651425319935</v>
      </c>
      <c r="AD9" s="15">
        <f>[9]syngas_streams_razryad!$E$10</f>
        <v>1.0811111111111109</v>
      </c>
      <c r="AE9" s="15">
        <f>[9]syngas_streams_razryad!$E$9</f>
        <v>3.3021674120840272</v>
      </c>
      <c r="AF9" s="25">
        <f>[9]accumulation_razryad!$E$3</f>
        <v>23.529949959524259</v>
      </c>
      <c r="AG9" s="25">
        <f>[9]electric_razryad!$E$5</f>
        <v>34.012096926621403</v>
      </c>
      <c r="AH9" s="25">
        <f>[9]GTU_input_razryad!$B$3</f>
        <v>1</v>
      </c>
      <c r="AI9" s="25">
        <f>[9]electric_razryad!$C$5</f>
        <v>164.30459999999999</v>
      </c>
      <c r="AJ9" s="25">
        <f>[9]electric_razryad!$B$7</f>
        <v>56.274224030153043</v>
      </c>
      <c r="AK9" s="25">
        <f>[9]electric_razryad!$C$12</f>
        <v>0.18214254041483291</v>
      </c>
      <c r="AL9" s="25">
        <f>[9]electric_razryad!$C$6</f>
        <v>6.2985051603460569</v>
      </c>
      <c r="AM9" s="25">
        <f>[9]electric_razryad!$C$2</f>
        <v>0.68639229919712363</v>
      </c>
      <c r="AN9" s="25">
        <f>[9]electric_razryad!$B$13</f>
        <v>46980.4884467429</v>
      </c>
      <c r="AO9" s="25">
        <f>[9]electric_razryad!$B$14</f>
        <v>70484.328694481112</v>
      </c>
      <c r="AP9" s="25">
        <f>[9]heaters_razryad!$B$9</f>
        <v>61.490953959056753</v>
      </c>
      <c r="AQ9" s="25">
        <f>[9]heaters_razryad!$B$8</f>
        <v>62.779445892051108</v>
      </c>
      <c r="AR9" s="25">
        <f>[9]heaters_razryad!$B$10</f>
        <v>5.3378423542610038</v>
      </c>
      <c r="AS9" s="25">
        <f t="shared" si="8"/>
        <v>129.60824220536887</v>
      </c>
      <c r="AT9" s="25">
        <f>[9]heaters_razryad!$B$18/1000</f>
        <v>37.990554441752856</v>
      </c>
      <c r="AU9" s="26">
        <f t="shared" si="9"/>
        <v>211.679864973919</v>
      </c>
      <c r="AV9" s="25">
        <f t="shared" si="10"/>
        <v>22.34301702157752</v>
      </c>
      <c r="AW9" s="27">
        <f t="shared" si="11"/>
        <v>234.0228819954965</v>
      </c>
      <c r="AX9" s="27">
        <f t="shared" si="12"/>
        <v>167.59879664712173</v>
      </c>
      <c r="AY9" s="24">
        <f t="shared" si="13"/>
        <v>457.63845829016009</v>
      </c>
      <c r="AZ9" s="24">
        <f t="shared" si="20"/>
        <v>77.69983396430888</v>
      </c>
      <c r="BA9" s="32">
        <f t="shared" si="14"/>
        <v>0.59886451367056626</v>
      </c>
      <c r="BB9" s="33">
        <f t="shared" si="21"/>
        <v>0.64530599497944641</v>
      </c>
      <c r="BC9" s="33">
        <f t="shared" si="22"/>
        <v>0.74575923635093255</v>
      </c>
      <c r="BD9" s="33">
        <f t="shared" si="23"/>
        <v>0.5626648806077188</v>
      </c>
      <c r="BE9" s="33">
        <f t="shared" si="24"/>
        <v>0.77649550050575866</v>
      </c>
      <c r="BF9" s="33">
        <f t="shared" si="25"/>
        <v>0.6363822346821667</v>
      </c>
      <c r="BG9" s="33">
        <f t="shared" si="26"/>
        <v>0.75022034562719153</v>
      </c>
      <c r="BH9" s="24">
        <f t="shared" si="15"/>
        <v>1.2674663067823314E-4</v>
      </c>
      <c r="BI9" s="26">
        <f>T9-'Без ПКМ'!B9</f>
        <v>-42.749020924582794</v>
      </c>
      <c r="BJ9" s="27">
        <f>AW9-'Без ПКМ'!E9</f>
        <v>19.849284975156252</v>
      </c>
      <c r="BK9" s="31"/>
      <c r="BL9" s="31"/>
    </row>
    <row r="10" spans="1:66" x14ac:dyDescent="0.35">
      <c r="A10" s="24">
        <v>5</v>
      </c>
      <c r="B10" s="15">
        <f>0.151140511695727*[10]syngas_streams_zaryad!$E$2</f>
        <v>1.8097517344562799</v>
      </c>
      <c r="C10" s="15">
        <f>[10]gas_streams_zaryad!$E$13</f>
        <v>0.7078689153299943</v>
      </c>
      <c r="D10" s="25">
        <f>[10]electric_zaryad!$E$5</f>
        <v>31.049707951710719</v>
      </c>
      <c r="E10" s="25">
        <f>[10]GTU_input_zaryad!$B$3</f>
        <v>0.75689579032102772</v>
      </c>
      <c r="F10" s="25">
        <f>[10]electric_zaryad!$C$5</f>
        <v>120.9418048897099</v>
      </c>
      <c r="G10" s="25">
        <f>[10]electric_zaryad!$B$7</f>
        <v>43.276234941926468</v>
      </c>
      <c r="H10" s="25">
        <f>[10]electric_zaryad!$C$12</f>
        <v>4.54231405818682E-2</v>
      </c>
      <c r="I10" s="25">
        <f>[10]electric_zaryad!$C$6</f>
        <v>6.2064988691440082</v>
      </c>
      <c r="J10" s="25">
        <f>[10]electric_zaryad!$C$2</f>
        <v>2.145446042951161</v>
      </c>
      <c r="K10" s="25">
        <f>[10]heaters_zaryad!$B$9</f>
        <v>70.087648881000689</v>
      </c>
      <c r="L10" s="25">
        <f>[10]heaters_zaryad!$B$8</f>
        <v>52.723308943508343</v>
      </c>
      <c r="M10" s="25">
        <f>[10]heaters_zaryad!$B$10</f>
        <v>6.0219566222448346</v>
      </c>
      <c r="N10" s="25">
        <f t="shared" si="0"/>
        <v>128.83291444675388</v>
      </c>
      <c r="O10" s="25">
        <f>[10]heaters_zaryad!$B$17/1000</f>
        <v>38.5547185554829</v>
      </c>
      <c r="P10" s="26">
        <f>[10]heaters_zaryad!$B$11/1000</f>
        <v>34.696843172408833</v>
      </c>
      <c r="Q10" s="25">
        <f>[10]gas_streams_zaryad!$E$4</f>
        <v>13.589094133053891</v>
      </c>
      <c r="R10" s="25">
        <f>[3]!PropsSI("H","P",[10]gas_streams_zaryad!$C$4*10^6,"T",[10]gas_streams_zaryad!$B$4+273.15,"REFPROP::"&amp;[3]!MixtureString($R$16:$R$20,$S$16:$S$20))/1000-[3]!PropsSI("H","P",[10]gas_streams_zaryad!$C$4*10^6,"T",S20+273.15,"REFPROP::"&amp;[3]!MixtureString($R$16:$R$20,$S$16:$S$20))/1000</f>
        <v>1246.7504596517715</v>
      </c>
      <c r="S10" s="27">
        <f t="shared" si="1"/>
        <v>16.94220935663613</v>
      </c>
      <c r="T10" s="25">
        <f t="shared" si="2"/>
        <v>154.39243634513252</v>
      </c>
      <c r="U10" s="24">
        <f t="shared" si="16"/>
        <v>167.38763300223678</v>
      </c>
      <c r="V10" s="24">
        <f t="shared" si="17"/>
        <v>35.535019549565718</v>
      </c>
      <c r="W10" s="24">
        <f t="shared" si="3"/>
        <v>90.849537069705249</v>
      </c>
      <c r="X10" s="32">
        <f>T10/((100*F10)/D10-N10)</f>
        <v>0.59227403594781869</v>
      </c>
      <c r="Y10" s="33">
        <f t="shared" si="5"/>
        <v>0.63556190975375815</v>
      </c>
      <c r="Z10" s="33">
        <f t="shared" si="6"/>
        <v>0.7821878350118</v>
      </c>
      <c r="AA10" s="33">
        <f t="shared" si="18"/>
        <v>0.97683231703889151</v>
      </c>
      <c r="AB10" s="33">
        <f t="shared" si="7"/>
        <v>0.6292258242027684</v>
      </c>
      <c r="AC10" s="33">
        <f t="shared" si="19"/>
        <v>0.82365312103968391</v>
      </c>
      <c r="AD10" s="15">
        <f>[10]syngas_streams_razryad!$E$10</f>
        <v>1.0811111111111109</v>
      </c>
      <c r="AE10" s="15">
        <f>[10]syngas_streams_razryad!$E$9</f>
        <v>3.3046748619762809</v>
      </c>
      <c r="AF10" s="25">
        <f>[10]accumulation_razryad!$E$3</f>
        <v>23.516497371811869</v>
      </c>
      <c r="AG10" s="25">
        <f>[10]electric_razryad!$E$5</f>
        <v>33.830241541168107</v>
      </c>
      <c r="AH10" s="25">
        <f>[10]GTU_input_razryad!$B$3</f>
        <v>1</v>
      </c>
      <c r="AI10" s="25">
        <f>[10]electric_razryad!$C$5</f>
        <v>159.78659999999999</v>
      </c>
      <c r="AJ10" s="25">
        <f>[10]electric_razryad!$B$7</f>
        <v>56.427775482838094</v>
      </c>
      <c r="AK10" s="25">
        <f>[10]electric_razryad!$C$12</f>
        <v>0.18443474000061799</v>
      </c>
      <c r="AL10" s="25">
        <f>[10]electric_razryad!$C$6</f>
        <v>6.2889189604114444</v>
      </c>
      <c r="AM10" s="25">
        <f>[10]electric_razryad!$C$2</f>
        <v>0.68211991504405434</v>
      </c>
      <c r="AN10" s="25">
        <f>[10]electric_razryad!$B$13</f>
        <v>47020.960838040402</v>
      </c>
      <c r="AO10" s="25">
        <f>[10]electric_razryad!$B$14</f>
        <v>70544.4962427422</v>
      </c>
      <c r="AP10" s="25">
        <f>[10]heaters_razryad!$B$9</f>
        <v>68.08716313433095</v>
      </c>
      <c r="AQ10" s="25">
        <f>[10]heaters_razryad!$B$8</f>
        <v>54.663092182935223</v>
      </c>
      <c r="AR10" s="25">
        <f>[10]heaters_razryad!$B$10</f>
        <v>5.8760331303184969</v>
      </c>
      <c r="AS10" s="25">
        <f t="shared" si="8"/>
        <v>128.62628844758467</v>
      </c>
      <c r="AT10" s="25">
        <f>[10]heaters_razryad!$B$18/1000</f>
        <v>38.761340808871374</v>
      </c>
      <c r="AU10" s="26">
        <f t="shared" si="9"/>
        <v>207.32253225265032</v>
      </c>
      <c r="AV10" s="25">
        <f t="shared" si="10"/>
        <v>22.361728633428882</v>
      </c>
      <c r="AW10" s="27">
        <f t="shared" si="11"/>
        <v>229.68426088607919</v>
      </c>
      <c r="AX10" s="27">
        <f t="shared" si="12"/>
        <v>167.38762925645605</v>
      </c>
      <c r="AY10" s="24">
        <f t="shared" si="13"/>
        <v>446.89488034219892</v>
      </c>
      <c r="AZ10" s="24">
        <f t="shared" si="20"/>
        <v>77.714377706357965</v>
      </c>
      <c r="BA10" s="32">
        <f t="shared" si="14"/>
        <v>0.60322092867908028</v>
      </c>
      <c r="BB10" s="33">
        <f t="shared" si="21"/>
        <v>0.6514074512300585</v>
      </c>
      <c r="BC10" s="33">
        <f t="shared" si="22"/>
        <v>0.75174014175993764</v>
      </c>
      <c r="BD10" s="33">
        <f t="shared" si="23"/>
        <v>0.57406894081913684</v>
      </c>
      <c r="BE10" s="33">
        <f t="shared" si="24"/>
        <v>0.78650915372767194</v>
      </c>
      <c r="BF10" s="33">
        <f t="shared" si="25"/>
        <v>0.64297411571277785</v>
      </c>
      <c r="BG10" s="33">
        <f t="shared" si="26"/>
        <v>0.75689074115764654</v>
      </c>
      <c r="BH10" s="24">
        <f t="shared" si="15"/>
        <v>2.2377882187232694E-6</v>
      </c>
      <c r="BI10" s="26">
        <f>T10-'Без ПКМ'!B10</f>
        <v>-39.900008342437928</v>
      </c>
      <c r="BJ10" s="27">
        <f>AW10-'Без ПКМ'!E10</f>
        <v>20.590789234723559</v>
      </c>
      <c r="BK10" s="31"/>
      <c r="BL10" s="31"/>
    </row>
    <row r="11" spans="1:66" x14ac:dyDescent="0.35">
      <c r="A11" s="24">
        <v>8</v>
      </c>
      <c r="B11" s="15">
        <f>0.151140511695727*[11]syngas_streams_zaryad!$E$2</f>
        <v>1.8097518597193247</v>
      </c>
      <c r="C11" s="15">
        <f>[11]gas_streams_zaryad!$E$13</f>
        <v>0.70703187833174552</v>
      </c>
      <c r="D11" s="25">
        <f>[11]electric_zaryad!$E$5</f>
        <v>30.933717851221498</v>
      </c>
      <c r="E11" s="25">
        <f>[11]GTU_input_zaryad!$B$3</f>
        <v>0.75707333660408205</v>
      </c>
      <c r="F11" s="25">
        <f>[11]electric_zaryad!$C$5</f>
        <v>118.9179000057555</v>
      </c>
      <c r="G11" s="25">
        <f>[11]electric_zaryad!$B$7</f>
        <v>43.189091731133018</v>
      </c>
      <c r="H11" s="25">
        <f>[11]electric_zaryad!$C$12</f>
        <v>4.4870453998254747E-2</v>
      </c>
      <c r="I11" s="25">
        <f>[11]electric_zaryad!$C$6</f>
        <v>6.2022045891824709</v>
      </c>
      <c r="J11" s="25">
        <f>[11]electric_zaryad!$C$2</f>
        <v>2.2190445960609901</v>
      </c>
      <c r="K11" s="25">
        <f>[11]heaters_zaryad!$B$9</f>
        <v>68.126362633936054</v>
      </c>
      <c r="L11" s="25">
        <f>[11]heaters_zaryad!$B$8</f>
        <v>54.201044583040421</v>
      </c>
      <c r="M11" s="25">
        <f>[11]heaters_zaryad!$B$10</f>
        <v>5.8278060747670741</v>
      </c>
      <c r="N11" s="25">
        <f>K11+L11+M11</f>
        <v>128.15521329174354</v>
      </c>
      <c r="O11" s="25">
        <f>[11]heaters_zaryad!$B$17/1000</f>
        <v>38.57601954176959</v>
      </c>
      <c r="P11" s="26">
        <f>[11]heaters_zaryad!$B$11/1000</f>
        <v>34.723523332432642</v>
      </c>
      <c r="Q11" s="25">
        <f>[11]gas_streams_zaryad!$E$4</f>
        <v>13.57302537467827</v>
      </c>
      <c r="R11" s="25">
        <f>[3]!PropsSI("H","P",[11]gas_streams_zaryad!$C$4*10^6,"T",[11]gas_streams_zaryad!$B$4+273.15,"REFPROP::"&amp;[3]!MixtureString($R$16:$R$20,$S$16:$S$20))/1000-[3]!PropsSI("H","P",[11]gas_streams_zaryad!$C$4*10^6,"T",S21+273.15,"REFPROP::"&amp;[3]!MixtureString($R$16:$R$20,$S$16:$S$20))/1000</f>
        <v>896.4142916678345</v>
      </c>
      <c r="S11" s="27">
        <f>R11*Q11/1000</f>
        <v>12.167053927031766</v>
      </c>
      <c r="T11" s="25">
        <f t="shared" si="2"/>
        <v>152.21061234164702</v>
      </c>
      <c r="U11" s="24">
        <f>N11+O11</f>
        <v>166.73123283351313</v>
      </c>
      <c r="V11" s="24">
        <f t="shared" si="17"/>
        <v>35.493000292253626</v>
      </c>
      <c r="W11" s="24">
        <f t="shared" ref="W11" si="27">B11*$R$14</f>
        <v>90.849543357910107</v>
      </c>
      <c r="X11" s="32">
        <f>T11/((100*F11)/D11-N11)</f>
        <v>0.59393961480623847</v>
      </c>
      <c r="Y11" s="33">
        <f t="shared" si="5"/>
        <v>0.65126199552205777</v>
      </c>
      <c r="Z11" s="33">
        <f>(T11+P11+N11)/((100*F11)/D11+S11)</f>
        <v>0.79448615440071158</v>
      </c>
      <c r="AA11" s="33">
        <f>(AD11+AE11)*AF11/(V11+W11-O11-S11+P11)</f>
        <v>0.93487604917593481</v>
      </c>
      <c r="AB11" s="33">
        <f>(T11)/((100*F11)/D11+$R$14*(B11+C11)-(AD11+AE11)*AF11-U11)</f>
        <v>0.63183866161787383</v>
      </c>
      <c r="AC11" s="33">
        <f>((AD11+AE11)*AF11+U11+T11)/((100*F11)/D11+$R$14*(B11+C11))</f>
        <v>0.82635951156137177</v>
      </c>
      <c r="AD11" s="15">
        <f>[11]syngas_streams_razryad!$E$10</f>
        <v>1.0811111111111109</v>
      </c>
      <c r="AE11" s="15">
        <f>[11]syngas_streams_razryad!$E$9</f>
        <v>3.3063876685570008</v>
      </c>
      <c r="AF11" s="25">
        <f>[11]accumulation_razryad!$E$3</f>
        <v>23.507316922203401</v>
      </c>
      <c r="AG11" s="25">
        <f>[11]electric_razryad!$E$5</f>
        <v>33.701191319931901</v>
      </c>
      <c r="AH11" s="25">
        <f>[11]GTU_input_razryad!$B$3</f>
        <v>1</v>
      </c>
      <c r="AI11" s="25">
        <f>[11]electric_razryad!$C$5</f>
        <v>157.07579999999999</v>
      </c>
      <c r="AJ11" s="25">
        <f>[11]electric_razryad!$B$7</f>
        <v>56.219279578427233</v>
      </c>
      <c r="AK11" s="25">
        <f>[11]electric_razryad!$C$12</f>
        <v>0.18425332447741299</v>
      </c>
      <c r="AL11" s="25">
        <f>[11]electric_razryad!$C$6</f>
        <v>6.2831672404506769</v>
      </c>
      <c r="AM11" s="25">
        <f>[11]electric_razryad!$C$2</f>
        <v>0.67820114753838379</v>
      </c>
      <c r="AN11" s="25">
        <f>[11]electric_razryad!$B$13</f>
        <v>47045.827872736598</v>
      </c>
      <c r="AO11" s="25">
        <f>[11]electric_razryad!$B$14</f>
        <v>70581.612049136616</v>
      </c>
      <c r="AP11" s="25">
        <f>[11]heaters_razryad!$B$9</f>
        <v>70.047079843704822</v>
      </c>
      <c r="AQ11" s="25">
        <f>[11]heaters_razryad!$B$8</f>
        <v>51.73505370356159</v>
      </c>
      <c r="AR11" s="25">
        <f>[11]heaters_razryad!$B$10</f>
        <v>6.020288069735062</v>
      </c>
      <c r="AS11" s="25">
        <f>AR11+AQ11+AP11</f>
        <v>127.80242161700147</v>
      </c>
      <c r="AT11" s="25">
        <f>[11]heaters_razryad!$B$18/1000</f>
        <v>38.92875692369217</v>
      </c>
      <c r="AU11" s="26">
        <f t="shared" si="9"/>
        <v>204.41956082406651</v>
      </c>
      <c r="AV11" s="25">
        <f t="shared" si="10"/>
        <v>22.373368694790489</v>
      </c>
      <c r="AW11" s="27">
        <f t="shared" ref="AW11" si="28">AU11+AV11</f>
        <v>226.79292951885699</v>
      </c>
      <c r="AX11" s="27">
        <f>AS11+AT11</f>
        <v>166.73117854069363</v>
      </c>
      <c r="AY11" s="24">
        <f t="shared" si="13"/>
        <v>440.66979881103435</v>
      </c>
      <c r="AZ11" s="24">
        <f t="shared" si="20"/>
        <v>77.724302792434642</v>
      </c>
      <c r="BA11" s="32">
        <f t="shared" si="14"/>
        <v>0.60428850537739254</v>
      </c>
      <c r="BB11" s="33">
        <f t="shared" si="21"/>
        <v>0.65337448300750889</v>
      </c>
      <c r="BC11" s="33">
        <f t="shared" si="22"/>
        <v>0.753902317194035</v>
      </c>
      <c r="BD11" s="33">
        <f t="shared" si="23"/>
        <v>0.57669941726008001</v>
      </c>
      <c r="BE11" s="33">
        <f t="shared" si="24"/>
        <v>0.78871245435539061</v>
      </c>
      <c r="BF11" s="33">
        <f t="shared" si="25"/>
        <v>0.64491566965213487</v>
      </c>
      <c r="BG11" s="33">
        <f t="shared" si="26"/>
        <v>0.75912150011414636</v>
      </c>
      <c r="BH11" s="24">
        <f t="shared" si="15"/>
        <v>3.2563076860999546E-5</v>
      </c>
      <c r="BI11" s="26">
        <f>T11-'Без ПКМ'!B11</f>
        <v>-38.961849194089297</v>
      </c>
      <c r="BJ11" s="27">
        <f>AW11-'Без ПКМ'!E11</f>
        <v>20.839846592084029</v>
      </c>
      <c r="BK11" s="31"/>
      <c r="BL11" s="31"/>
    </row>
    <row r="14" spans="1:66" x14ac:dyDescent="0.35">
      <c r="Q14" s="3" t="s">
        <v>54</v>
      </c>
      <c r="R14" s="25">
        <f>BL4</f>
        <v>50.2</v>
      </c>
      <c r="S14" s="4" t="s">
        <v>53</v>
      </c>
    </row>
    <row r="15" spans="1:66" x14ac:dyDescent="0.35">
      <c r="R15" s="3" t="s">
        <v>40</v>
      </c>
    </row>
    <row r="16" spans="1:66" x14ac:dyDescent="0.35">
      <c r="R16" s="3" t="s">
        <v>41</v>
      </c>
      <c r="S16" s="4">
        <v>0.71032059101601497</v>
      </c>
    </row>
    <row r="17" spans="18:19" x14ac:dyDescent="0.35">
      <c r="R17" s="14" t="s">
        <v>44</v>
      </c>
      <c r="S17" s="4">
        <v>0.18053127301225799</v>
      </c>
    </row>
    <row r="18" spans="18:19" x14ac:dyDescent="0.35">
      <c r="R18" s="14" t="s">
        <v>43</v>
      </c>
      <c r="S18" s="4">
        <v>9.0538556815177001E-2</v>
      </c>
    </row>
    <row r="19" spans="18:19" x14ac:dyDescent="0.35">
      <c r="R19" s="14" t="s">
        <v>42</v>
      </c>
      <c r="S19" s="4">
        <v>9.9671027033589304E-3</v>
      </c>
    </row>
    <row r="20" spans="18:19" x14ac:dyDescent="0.35">
      <c r="R20" s="3" t="s">
        <v>45</v>
      </c>
      <c r="S20" s="4">
        <v>8.6424764531917806E-3</v>
      </c>
    </row>
    <row r="21" spans="18:19" x14ac:dyDescent="0.35">
      <c r="R21" s="3" t="s">
        <v>46</v>
      </c>
      <c r="S21" s="4">
        <v>60</v>
      </c>
    </row>
    <row r="23" spans="18:19" x14ac:dyDescent="0.35">
      <c r="R23" s="3" t="s">
        <v>47</v>
      </c>
      <c r="S23" s="4">
        <f>[3]!PropsSI("Q","P",0.1*10^6,"T",S21+273.15,"REFPROP::"&amp;[3]!MixtureString($R$16:$R$20,$S$16:$S$20))</f>
        <v>998</v>
      </c>
    </row>
    <row r="39" spans="18:20" x14ac:dyDescent="0.35">
      <c r="R39" s="14"/>
      <c r="S39" s="13"/>
      <c r="T39" s="14"/>
    </row>
  </sheetData>
  <mergeCells count="29">
    <mergeCell ref="BI1:BI2"/>
    <mergeCell ref="BJ1:BJ2"/>
    <mergeCell ref="BH1:BH2"/>
    <mergeCell ref="A1:A2"/>
    <mergeCell ref="AU1:AU2"/>
    <mergeCell ref="AV1:AV2"/>
    <mergeCell ref="T1:T2"/>
    <mergeCell ref="U1:U2"/>
    <mergeCell ref="X1:X2"/>
    <mergeCell ref="Y1:Y2"/>
    <mergeCell ref="Z1:Z2"/>
    <mergeCell ref="AA1:AA2"/>
    <mergeCell ref="B1:O1"/>
    <mergeCell ref="V1:V2"/>
    <mergeCell ref="W1:W2"/>
    <mergeCell ref="AC1:AC2"/>
    <mergeCell ref="AY1:AY2"/>
    <mergeCell ref="AZ1:AZ2"/>
    <mergeCell ref="BA1:BA2"/>
    <mergeCell ref="AX1:AX2"/>
    <mergeCell ref="AW1:AW2"/>
    <mergeCell ref="AD1:AT1"/>
    <mergeCell ref="BG1:BG2"/>
    <mergeCell ref="BF1:BF2"/>
    <mergeCell ref="AB1:AB2"/>
    <mergeCell ref="BB1:BB2"/>
    <mergeCell ref="BC1:BC2"/>
    <mergeCell ref="BD1:BD2"/>
    <mergeCell ref="BE1:B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Без ПКМ</vt:lpstr>
      <vt:lpstr>10x15x8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2022-12-07T12:23:39Z</dcterms:modified>
</cp:coreProperties>
</file>