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theme/themeOverride20.xml" ContentType="application/vnd.openxmlformats-officedocument.themeOverrid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2.xml" ContentType="application/vnd.openxmlformats-officedocument.themeOverride+xml"/>
  <Override PartName="/xl/charts/chart28.xml" ContentType="application/vnd.openxmlformats-officedocument.drawingml.chart+xml"/>
  <Override PartName="/xl/theme/themeOverride23.xml" ContentType="application/vnd.openxmlformats-officedocument.themeOverride+xml"/>
  <Override PartName="/xl/charts/chart2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4.xml" ContentType="application/vnd.openxmlformats-officedocument.themeOverride+xml"/>
  <Override PartName="/xl/charts/chart30.xml" ContentType="application/vnd.openxmlformats-officedocument.drawingml.chart+xml"/>
  <Override PartName="/xl/theme/themeOverride25.xml" ContentType="application/vnd.openxmlformats-officedocument.themeOverrid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6.xml" ContentType="application/vnd.openxmlformats-officedocument.themeOverrid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7.xml" ContentType="application/vnd.openxmlformats-officedocument.themeOverride+xml"/>
  <Override PartName="/xl/charts/chart34.xml" ContentType="application/vnd.openxmlformats-officedocument.drawingml.chart+xml"/>
  <Override PartName="/xl/theme/themeOverride28.xml" ContentType="application/vnd.openxmlformats-officedocument.themeOverride+xml"/>
  <Override PartName="/xl/charts/chart3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9.xml" ContentType="application/vnd.openxmlformats-officedocument.themeOverride+xml"/>
  <Override PartName="/xl/charts/chart36.xml" ContentType="application/vnd.openxmlformats-officedocument.drawingml.chart+xml"/>
  <Override PartName="/xl/theme/themeOverride30.xml" ContentType="application/vnd.openxmlformats-officedocument.themeOverrid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ПКМ\"/>
    </mc:Choice>
  </mc:AlternateContent>
  <xr:revisionPtr revIDLastSave="0" documentId="13_ncr:1_{764755E7-2BD5-4842-B55D-34CE5FB9F6A8}" xr6:coauthVersionLast="47" xr6:coauthVersionMax="47" xr10:uidLastSave="{00000000-0000-0000-0000-000000000000}"/>
  <bookViews>
    <workbookView xWindow="-110" yWindow="-110" windowWidth="25820" windowHeight="14020" activeTab="4" xr2:uid="{00000000-000D-0000-FFFF-FFFF00000000}"/>
  </bookViews>
  <sheets>
    <sheet name="10x15x4" sheetId="5" r:id="rId1"/>
    <sheet name="10x15x6" sheetId="4" r:id="rId2"/>
    <sheet name="10x15x8" sheetId="2" r:id="rId3"/>
    <sheet name="10x15x10" sheetId="7" r:id="rId4"/>
    <sheet name="10x15x12" sheetId="8" r:id="rId5"/>
    <sheet name="10x15x14" sheetId="9" r:id="rId6"/>
    <sheet name="Без ПКМ" sheetId="3" r:id="rId7"/>
    <sheet name="Экономика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3" i="9"/>
  <c r="AV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Q4" i="9"/>
  <c r="P4" i="9"/>
  <c r="O4" i="9"/>
  <c r="M4" i="9"/>
  <c r="L4" i="9"/>
  <c r="K4" i="9"/>
  <c r="J4" i="9"/>
  <c r="I4" i="9"/>
  <c r="H4" i="9"/>
  <c r="G4" i="9"/>
  <c r="F4" i="9"/>
  <c r="E4" i="9"/>
  <c r="D4" i="9"/>
  <c r="C4" i="9"/>
  <c r="B4" i="9"/>
  <c r="AV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Q5" i="9"/>
  <c r="P5" i="9"/>
  <c r="O5" i="9"/>
  <c r="M5" i="9"/>
  <c r="L5" i="9"/>
  <c r="K5" i="9"/>
  <c r="J5" i="9"/>
  <c r="I5" i="9"/>
  <c r="H5" i="9"/>
  <c r="G5" i="9"/>
  <c r="F5" i="9"/>
  <c r="E5" i="9"/>
  <c r="D5" i="9"/>
  <c r="C5" i="9"/>
  <c r="AV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Q3" i="8"/>
  <c r="P3" i="8"/>
  <c r="O3" i="8"/>
  <c r="M3" i="8"/>
  <c r="L3" i="8"/>
  <c r="K3" i="8"/>
  <c r="J3" i="8"/>
  <c r="I3" i="8"/>
  <c r="H3" i="8"/>
  <c r="G3" i="8"/>
  <c r="F3" i="8"/>
  <c r="E3" i="8"/>
  <c r="D3" i="8"/>
  <c r="C3" i="8"/>
  <c r="B3" i="8"/>
  <c r="AV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Q4" i="8"/>
  <c r="P4" i="8"/>
  <c r="O4" i="8"/>
  <c r="M4" i="8"/>
  <c r="L4" i="8"/>
  <c r="K4" i="8"/>
  <c r="J4" i="8"/>
  <c r="I4" i="8"/>
  <c r="H4" i="8"/>
  <c r="G4" i="8"/>
  <c r="F4" i="8"/>
  <c r="E4" i="8"/>
  <c r="D4" i="8"/>
  <c r="C4" i="8"/>
  <c r="B4" i="8"/>
  <c r="C3" i="7"/>
  <c r="B3" i="7"/>
  <c r="AV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Q3" i="7"/>
  <c r="P3" i="7"/>
  <c r="O3" i="7"/>
  <c r="M3" i="7"/>
  <c r="L3" i="7"/>
  <c r="K3" i="7"/>
  <c r="J3" i="7"/>
  <c r="I3" i="7"/>
  <c r="H3" i="7"/>
  <c r="G3" i="7"/>
  <c r="F3" i="7"/>
  <c r="E3" i="7"/>
  <c r="D3" i="7"/>
  <c r="AV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Q4" i="7"/>
  <c r="P4" i="7"/>
  <c r="O4" i="7"/>
  <c r="M4" i="7"/>
  <c r="L4" i="7"/>
  <c r="K4" i="7"/>
  <c r="J4" i="7"/>
  <c r="I4" i="7"/>
  <c r="H4" i="7"/>
  <c r="G4" i="7"/>
  <c r="F4" i="7"/>
  <c r="E4" i="7"/>
  <c r="D4" i="7"/>
  <c r="C4" i="7"/>
  <c r="B4" i="7"/>
  <c r="AV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Q5" i="7"/>
  <c r="P5" i="7"/>
  <c r="O5" i="7"/>
  <c r="M5" i="7"/>
  <c r="L5" i="7"/>
  <c r="K5" i="7"/>
  <c r="J5" i="7"/>
  <c r="I5" i="7"/>
  <c r="H5" i="7"/>
  <c r="G5" i="7"/>
  <c r="F5" i="7"/>
  <c r="E5" i="7"/>
  <c r="D5" i="7"/>
  <c r="C5" i="7"/>
  <c r="B5" i="7"/>
  <c r="R4" i="9"/>
  <c r="R5" i="9"/>
  <c r="R3" i="8"/>
  <c r="R4" i="8"/>
  <c r="R3" i="7"/>
  <c r="R4" i="7"/>
  <c r="R5" i="7"/>
  <c r="BK30" i="6" l="1"/>
  <c r="BK31" i="6"/>
  <c r="BH15" i="6"/>
  <c r="BI15" i="6"/>
  <c r="BJ15" i="6"/>
  <c r="BK32" i="6"/>
  <c r="BH16" i="6"/>
  <c r="BI16" i="6"/>
  <c r="BJ16" i="6"/>
  <c r="BK33" i="6"/>
  <c r="BH17" i="6"/>
  <c r="BI17" i="6"/>
  <c r="BJ17" i="6"/>
  <c r="BK34" i="6"/>
  <c r="BH18" i="6"/>
  <c r="BI18" i="6"/>
  <c r="BJ18" i="6"/>
  <c r="BK35" i="6"/>
  <c r="BH19" i="6"/>
  <c r="BI19" i="6"/>
  <c r="BJ19" i="6"/>
  <c r="BK36" i="6"/>
  <c r="BH20" i="6"/>
  <c r="BI20" i="6"/>
  <c r="BJ20" i="6"/>
  <c r="BJ30" i="6"/>
  <c r="BJ31" i="6"/>
  <c r="BJ32" i="6"/>
  <c r="BJ33" i="6"/>
  <c r="BJ34" i="6"/>
  <c r="BJ35" i="6"/>
  <c r="BJ36" i="6"/>
  <c r="BI30" i="6"/>
  <c r="BI31" i="6"/>
  <c r="BI32" i="6"/>
  <c r="BI33" i="6"/>
  <c r="BI34" i="6"/>
  <c r="BI35" i="6"/>
  <c r="BI36" i="6"/>
  <c r="BH30" i="6"/>
  <c r="BH31" i="6"/>
  <c r="BH32" i="6"/>
  <c r="BH33" i="6"/>
  <c r="BH34" i="6"/>
  <c r="BH35" i="6"/>
  <c r="BH36" i="6"/>
  <c r="BG36" i="6"/>
  <c r="BG30" i="6"/>
  <c r="BG31" i="6"/>
  <c r="BG32" i="6"/>
  <c r="BG33" i="6"/>
  <c r="BG34" i="6"/>
  <c r="BG35" i="6"/>
  <c r="BK20" i="6"/>
  <c r="BP36" i="6"/>
  <c r="BF31" i="6"/>
  <c r="BB31" i="6"/>
  <c r="BK15" i="6"/>
  <c r="BK16" i="6"/>
  <c r="BK17" i="6"/>
  <c r="BK18" i="6"/>
  <c r="BK19" i="6"/>
  <c r="BO36" i="6"/>
  <c r="BN36" i="6"/>
  <c r="BL36" i="6"/>
  <c r="BL31" i="6"/>
  <c r="BL32" i="6"/>
  <c r="BL33" i="6"/>
  <c r="BL34" i="6"/>
  <c r="BL35" i="6"/>
  <c r="BM31" i="6"/>
  <c r="BM32" i="6"/>
  <c r="BM33" i="6"/>
  <c r="BM34" i="6"/>
  <c r="BM35" i="6"/>
  <c r="BM36" i="6"/>
  <c r="BN31" i="6"/>
  <c r="BN32" i="6"/>
  <c r="BN33" i="6"/>
  <c r="BN34" i="6"/>
  <c r="BN35" i="6"/>
  <c r="AG31" i="6"/>
  <c r="AG32" i="6"/>
  <c r="AG33" i="6"/>
  <c r="AG34" i="6"/>
  <c r="AG35" i="6"/>
  <c r="AG36" i="6"/>
  <c r="AJ31" i="6"/>
  <c r="AJ32" i="6"/>
  <c r="AJ33" i="6"/>
  <c r="AJ34" i="6"/>
  <c r="BO34" i="6" s="1"/>
  <c r="AJ35" i="6"/>
  <c r="BP35" i="6" s="1"/>
  <c r="AJ36" i="6"/>
  <c r="AI31" i="6"/>
  <c r="AI32" i="6"/>
  <c r="AI33" i="6"/>
  <c r="AI34" i="6"/>
  <c r="AI35" i="6"/>
  <c r="AI36" i="6"/>
  <c r="AJ28" i="6"/>
  <c r="AI28" i="6"/>
  <c r="AH31" i="6"/>
  <c r="AH32" i="6"/>
  <c r="AH33" i="6"/>
  <c r="AH34" i="6"/>
  <c r="AH35" i="6"/>
  <c r="AH36" i="6"/>
  <c r="AG28" i="6"/>
  <c r="AF30" i="6"/>
  <c r="AF31" i="6"/>
  <c r="AF32" i="6"/>
  <c r="AF33" i="6"/>
  <c r="AF34" i="6"/>
  <c r="AF35" i="6"/>
  <c r="AF36" i="6"/>
  <c r="AF28" i="6"/>
  <c r="AE30" i="6"/>
  <c r="AE31" i="6"/>
  <c r="AE32" i="6"/>
  <c r="AE33" i="6"/>
  <c r="AE34" i="6"/>
  <c r="AE35" i="6"/>
  <c r="AE36" i="6"/>
  <c r="AD30" i="6"/>
  <c r="AD31" i="6"/>
  <c r="AD32" i="6"/>
  <c r="AD33" i="6"/>
  <c r="AD34" i="6"/>
  <c r="AD35" i="6"/>
  <c r="AD36" i="6"/>
  <c r="AD28" i="6"/>
  <c r="AC30" i="6"/>
  <c r="AC31" i="6"/>
  <c r="AC32" i="6"/>
  <c r="AC33" i="6"/>
  <c r="AC34" i="6"/>
  <c r="AC35" i="6"/>
  <c r="AC36" i="6"/>
  <c r="AB30" i="6"/>
  <c r="AB31" i="6"/>
  <c r="AB32" i="6"/>
  <c r="AB33" i="6"/>
  <c r="AB34" i="6"/>
  <c r="AB35" i="6"/>
  <c r="AB36" i="6"/>
  <c r="AA31" i="6"/>
  <c r="AA32" i="6"/>
  <c r="AA33" i="6"/>
  <c r="BE33" i="6" s="1"/>
  <c r="AA34" i="6"/>
  <c r="AA35" i="6"/>
  <c r="AA36" i="6"/>
  <c r="Z29" i="6"/>
  <c r="Z31" i="6"/>
  <c r="Z32" i="6"/>
  <c r="Z33" i="6"/>
  <c r="Z34" i="6"/>
  <c r="Z35" i="6"/>
  <c r="Z36" i="6"/>
  <c r="Y29" i="6"/>
  <c r="Y31" i="6"/>
  <c r="BC31" i="6" s="1"/>
  <c r="Y32" i="6"/>
  <c r="BF32" i="6" s="1"/>
  <c r="Y33" i="6"/>
  <c r="BF33" i="6" s="1"/>
  <c r="Y34" i="6"/>
  <c r="BE34" i="6" s="1"/>
  <c r="Y35" i="6"/>
  <c r="BE35" i="6" s="1"/>
  <c r="Y36" i="6"/>
  <c r="BD36" i="6" s="1"/>
  <c r="Y28" i="6"/>
  <c r="BO31" i="6"/>
  <c r="BO32" i="6"/>
  <c r="BO33" i="6"/>
  <c r="BP31" i="6"/>
  <c r="BP32" i="6"/>
  <c r="BP33" i="6"/>
  <c r="AI9" i="6"/>
  <c r="AI11" i="6" s="1"/>
  <c r="AE9" i="6"/>
  <c r="AE11" i="6" s="1"/>
  <c r="AA9" i="6"/>
  <c r="AA11" i="6" s="1"/>
  <c r="AV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BB11" i="9" s="1"/>
  <c r="AF11" i="9"/>
  <c r="Q11" i="9"/>
  <c r="P11" i="9"/>
  <c r="O11" i="9"/>
  <c r="M11" i="9"/>
  <c r="L11" i="9"/>
  <c r="K11" i="9"/>
  <c r="N11" i="9" s="1"/>
  <c r="U11" i="9" s="1"/>
  <c r="J11" i="9"/>
  <c r="T11" i="9" s="1"/>
  <c r="I11" i="9"/>
  <c r="H11" i="9"/>
  <c r="G11" i="9"/>
  <c r="F11" i="9"/>
  <c r="E11" i="9"/>
  <c r="D11" i="9"/>
  <c r="C11" i="9"/>
  <c r="B11" i="9"/>
  <c r="W11" i="9" s="1"/>
  <c r="AV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BB10" i="9" s="1"/>
  <c r="AF10" i="9"/>
  <c r="Q10" i="9"/>
  <c r="P10" i="9"/>
  <c r="O10" i="9"/>
  <c r="M10" i="9"/>
  <c r="L10" i="9"/>
  <c r="K10" i="9"/>
  <c r="J10" i="9"/>
  <c r="I10" i="9"/>
  <c r="H10" i="9"/>
  <c r="G10" i="9"/>
  <c r="F10" i="9"/>
  <c r="E10" i="9"/>
  <c r="D10" i="9"/>
  <c r="C10" i="9"/>
  <c r="B10" i="9"/>
  <c r="W10" i="9" s="1"/>
  <c r="AV9" i="9"/>
  <c r="AT9" i="9"/>
  <c r="AS9" i="9"/>
  <c r="AR9" i="9"/>
  <c r="AQ9" i="9"/>
  <c r="AP9" i="9"/>
  <c r="AO9" i="9"/>
  <c r="AN9" i="9"/>
  <c r="AM9" i="9"/>
  <c r="AW9" i="9" s="1"/>
  <c r="AL9" i="9"/>
  <c r="AK9" i="9"/>
  <c r="AJ9" i="9"/>
  <c r="AI9" i="9"/>
  <c r="AH9" i="9"/>
  <c r="AG9" i="9"/>
  <c r="AF9" i="9"/>
  <c r="Q9" i="9"/>
  <c r="P9" i="9"/>
  <c r="O9" i="9"/>
  <c r="M9" i="9"/>
  <c r="L9" i="9"/>
  <c r="K9" i="9"/>
  <c r="J9" i="9"/>
  <c r="I9" i="9"/>
  <c r="T9" i="9" s="1"/>
  <c r="H9" i="9"/>
  <c r="G9" i="9"/>
  <c r="F9" i="9"/>
  <c r="E9" i="9"/>
  <c r="D9" i="9"/>
  <c r="C9" i="9"/>
  <c r="B9" i="9"/>
  <c r="AD9" i="9" s="1"/>
  <c r="AE9" i="9" s="1"/>
  <c r="AV8" i="9"/>
  <c r="AT8" i="9"/>
  <c r="AS8" i="9"/>
  <c r="AR8" i="9"/>
  <c r="AQ8" i="9"/>
  <c r="AP8" i="9"/>
  <c r="AO8" i="9"/>
  <c r="AN8" i="9"/>
  <c r="AW8" i="9" s="1"/>
  <c r="AM8" i="9"/>
  <c r="AL8" i="9"/>
  <c r="AK8" i="9"/>
  <c r="AJ8" i="9"/>
  <c r="AI8" i="9"/>
  <c r="AH8" i="9"/>
  <c r="AG8" i="9"/>
  <c r="AF8" i="9"/>
  <c r="Q8" i="9"/>
  <c r="P8" i="9"/>
  <c r="O8" i="9"/>
  <c r="M8" i="9"/>
  <c r="L8" i="9"/>
  <c r="K8" i="9"/>
  <c r="J8" i="9"/>
  <c r="I8" i="9"/>
  <c r="T8" i="9" s="1"/>
  <c r="H8" i="9"/>
  <c r="G8" i="9"/>
  <c r="F8" i="9"/>
  <c r="E8" i="9"/>
  <c r="D8" i="9"/>
  <c r="C8" i="9"/>
  <c r="V8" i="9" s="1"/>
  <c r="B8" i="9"/>
  <c r="AD8" i="9" s="1"/>
  <c r="AE8" i="9" s="1"/>
  <c r="AV7" i="9"/>
  <c r="AT7" i="9"/>
  <c r="AS7" i="9"/>
  <c r="AR7" i="9"/>
  <c r="AQ7" i="9"/>
  <c r="AP7" i="9"/>
  <c r="AO7" i="9"/>
  <c r="AN7" i="9"/>
  <c r="AW7" i="9" s="1"/>
  <c r="AM7" i="9"/>
  <c r="AL7" i="9"/>
  <c r="AK7" i="9"/>
  <c r="AJ7" i="9"/>
  <c r="AI7" i="9"/>
  <c r="AH7" i="9"/>
  <c r="AG7" i="9"/>
  <c r="BB7" i="9" s="1"/>
  <c r="AF7" i="9"/>
  <c r="Q7" i="9"/>
  <c r="P7" i="9"/>
  <c r="O7" i="9"/>
  <c r="M7" i="9"/>
  <c r="L7" i="9"/>
  <c r="K7" i="9"/>
  <c r="N7" i="9" s="1"/>
  <c r="U7" i="9" s="1"/>
  <c r="J7" i="9"/>
  <c r="I7" i="9"/>
  <c r="H7" i="9"/>
  <c r="G7" i="9"/>
  <c r="F7" i="9"/>
  <c r="E7" i="9"/>
  <c r="D7" i="9"/>
  <c r="C7" i="9"/>
  <c r="V7" i="9" s="1"/>
  <c r="B7" i="9"/>
  <c r="AD7" i="9" s="1"/>
  <c r="AE7" i="9" s="1"/>
  <c r="AV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Q6" i="9"/>
  <c r="P6" i="9"/>
  <c r="O6" i="9"/>
  <c r="M6" i="9"/>
  <c r="L6" i="9"/>
  <c r="K6" i="9"/>
  <c r="N6" i="9" s="1"/>
  <c r="U6" i="9" s="1"/>
  <c r="J6" i="9"/>
  <c r="I6" i="9"/>
  <c r="T6" i="9" s="1"/>
  <c r="H6" i="9"/>
  <c r="G6" i="9"/>
  <c r="F6" i="9"/>
  <c r="E6" i="9"/>
  <c r="D6" i="9"/>
  <c r="C6" i="9"/>
  <c r="V6" i="9" s="1"/>
  <c r="B6" i="9"/>
  <c r="W6" i="9" s="1"/>
  <c r="AV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BB5" i="8" s="1"/>
  <c r="AF5" i="8"/>
  <c r="Q5" i="8"/>
  <c r="P5" i="8"/>
  <c r="O5" i="8"/>
  <c r="M5" i="8"/>
  <c r="L5" i="8"/>
  <c r="K5" i="8"/>
  <c r="N5" i="8" s="1"/>
  <c r="U5" i="8" s="1"/>
  <c r="J5" i="8"/>
  <c r="I5" i="8"/>
  <c r="T5" i="8" s="1"/>
  <c r="H5" i="8"/>
  <c r="G5" i="8"/>
  <c r="F5" i="8"/>
  <c r="E5" i="8"/>
  <c r="D5" i="8"/>
  <c r="C5" i="8"/>
  <c r="V5" i="8" s="1"/>
  <c r="B5" i="8"/>
  <c r="W5" i="8" s="1"/>
  <c r="AV11" i="8"/>
  <c r="AT11" i="8"/>
  <c r="AS11" i="8"/>
  <c r="AR11" i="8"/>
  <c r="AQ11" i="8"/>
  <c r="AP11" i="8"/>
  <c r="AX11" i="8" s="1"/>
  <c r="AO11" i="8"/>
  <c r="AN11" i="8"/>
  <c r="AM11" i="8"/>
  <c r="AL11" i="8"/>
  <c r="AK11" i="8"/>
  <c r="AJ11" i="8"/>
  <c r="AI11" i="8"/>
  <c r="AH11" i="8"/>
  <c r="AG11" i="8"/>
  <c r="BB11" i="8" s="1"/>
  <c r="AF11" i="8"/>
  <c r="Q11" i="8"/>
  <c r="P11" i="8"/>
  <c r="O11" i="8"/>
  <c r="M11" i="8"/>
  <c r="L11" i="8"/>
  <c r="K11" i="8"/>
  <c r="N11" i="8" s="1"/>
  <c r="U11" i="8" s="1"/>
  <c r="J11" i="8"/>
  <c r="I11" i="8"/>
  <c r="H11" i="8"/>
  <c r="G11" i="8"/>
  <c r="F11" i="8"/>
  <c r="E11" i="8"/>
  <c r="D11" i="8"/>
  <c r="C11" i="8"/>
  <c r="AD11" i="8" s="1"/>
  <c r="AE11" i="8" s="1"/>
  <c r="B11" i="8"/>
  <c r="AV10" i="8"/>
  <c r="AT10" i="8"/>
  <c r="AS10" i="8"/>
  <c r="AR10" i="8"/>
  <c r="AQ10" i="8"/>
  <c r="AP10" i="8"/>
  <c r="AX10" i="8" s="1"/>
  <c r="AO10" i="8"/>
  <c r="AN10" i="8"/>
  <c r="AM10" i="8"/>
  <c r="AL10" i="8"/>
  <c r="AK10" i="8"/>
  <c r="AJ10" i="8"/>
  <c r="AI10" i="8"/>
  <c r="AH10" i="8"/>
  <c r="AG10" i="8"/>
  <c r="BB10" i="8" s="1"/>
  <c r="AF10" i="8"/>
  <c r="Q10" i="8"/>
  <c r="P10" i="8"/>
  <c r="O10" i="8"/>
  <c r="M10" i="8"/>
  <c r="L10" i="8"/>
  <c r="K10" i="8"/>
  <c r="N10" i="8" s="1"/>
  <c r="U10" i="8" s="1"/>
  <c r="J10" i="8"/>
  <c r="I10" i="8"/>
  <c r="H10" i="8"/>
  <c r="G10" i="8"/>
  <c r="F10" i="8"/>
  <c r="E10" i="8"/>
  <c r="D10" i="8"/>
  <c r="AD10" i="8" s="1"/>
  <c r="AE10" i="8" s="1"/>
  <c r="C10" i="8"/>
  <c r="V10" i="8" s="1"/>
  <c r="B10" i="8"/>
  <c r="AV9" i="8"/>
  <c r="AT9" i="8"/>
  <c r="AS9" i="8"/>
  <c r="AR9" i="8"/>
  <c r="AQ9" i="8"/>
  <c r="AP9" i="8"/>
  <c r="AX9" i="8" s="1"/>
  <c r="AO9" i="8"/>
  <c r="AW9" i="8" s="1"/>
  <c r="AN9" i="8"/>
  <c r="AM9" i="8"/>
  <c r="AL9" i="8"/>
  <c r="AK9" i="8"/>
  <c r="AJ9" i="8"/>
  <c r="AI9" i="8"/>
  <c r="AH9" i="8"/>
  <c r="AG9" i="8"/>
  <c r="BB9" i="8" s="1"/>
  <c r="AF9" i="8"/>
  <c r="Q9" i="8"/>
  <c r="P9" i="8"/>
  <c r="O9" i="8"/>
  <c r="M9" i="8"/>
  <c r="L9" i="8"/>
  <c r="K9" i="8"/>
  <c r="N9" i="8" s="1"/>
  <c r="U9" i="8" s="1"/>
  <c r="J9" i="8"/>
  <c r="I9" i="8"/>
  <c r="H9" i="8"/>
  <c r="G9" i="8"/>
  <c r="F9" i="8"/>
  <c r="E9" i="8"/>
  <c r="D9" i="8"/>
  <c r="C9" i="8"/>
  <c r="AD9" i="8" s="1"/>
  <c r="AE9" i="8" s="1"/>
  <c r="B9" i="8"/>
  <c r="AV8" i="8"/>
  <c r="AT8" i="8"/>
  <c r="AS8" i="8"/>
  <c r="AR8" i="8"/>
  <c r="AQ8" i="8"/>
  <c r="AP8" i="8"/>
  <c r="AX8" i="8" s="1"/>
  <c r="AO8" i="8"/>
  <c r="AW8" i="8" s="1"/>
  <c r="AN8" i="8"/>
  <c r="AM8" i="8"/>
  <c r="AL8" i="8"/>
  <c r="AK8" i="8"/>
  <c r="AJ8" i="8"/>
  <c r="AI8" i="8"/>
  <c r="AH8" i="8"/>
  <c r="AG8" i="8"/>
  <c r="BB8" i="8" s="1"/>
  <c r="AF8" i="8"/>
  <c r="Q8" i="8"/>
  <c r="P8" i="8"/>
  <c r="O8" i="8"/>
  <c r="M8" i="8"/>
  <c r="L8" i="8"/>
  <c r="K8" i="8"/>
  <c r="N8" i="8" s="1"/>
  <c r="U8" i="8" s="1"/>
  <c r="J8" i="8"/>
  <c r="I8" i="8"/>
  <c r="H8" i="8"/>
  <c r="G8" i="8"/>
  <c r="F8" i="8"/>
  <c r="E8" i="8"/>
  <c r="D8" i="8"/>
  <c r="C8" i="8"/>
  <c r="AD8" i="8" s="1"/>
  <c r="AE8" i="8" s="1"/>
  <c r="B8" i="8"/>
  <c r="AV7" i="8"/>
  <c r="AT7" i="8"/>
  <c r="AS7" i="8"/>
  <c r="AR7" i="8"/>
  <c r="AQ7" i="8"/>
  <c r="AP7" i="8"/>
  <c r="AX7" i="8" s="1"/>
  <c r="AO7" i="8"/>
  <c r="AW7" i="8" s="1"/>
  <c r="AN7" i="8"/>
  <c r="AM7" i="8"/>
  <c r="AL7" i="8"/>
  <c r="AK7" i="8"/>
  <c r="AJ7" i="8"/>
  <c r="AI7" i="8"/>
  <c r="AH7" i="8"/>
  <c r="AG7" i="8"/>
  <c r="BB7" i="8" s="1"/>
  <c r="AF7" i="8"/>
  <c r="Q7" i="8"/>
  <c r="P7" i="8"/>
  <c r="O7" i="8"/>
  <c r="M7" i="8"/>
  <c r="L7" i="8"/>
  <c r="K7" i="8"/>
  <c r="N7" i="8" s="1"/>
  <c r="U7" i="8" s="1"/>
  <c r="J7" i="8"/>
  <c r="I7" i="8"/>
  <c r="H7" i="8"/>
  <c r="G7" i="8"/>
  <c r="F7" i="8"/>
  <c r="E7" i="8"/>
  <c r="D7" i="8"/>
  <c r="C7" i="8"/>
  <c r="AD7" i="8" s="1"/>
  <c r="AE7" i="8" s="1"/>
  <c r="B7" i="8"/>
  <c r="AV6" i="8"/>
  <c r="AT6" i="8"/>
  <c r="AS6" i="8"/>
  <c r="AR6" i="8"/>
  <c r="AQ6" i="8"/>
  <c r="AP6" i="8"/>
  <c r="AX6" i="8" s="1"/>
  <c r="AO6" i="8"/>
  <c r="AW6" i="8" s="1"/>
  <c r="AN6" i="8"/>
  <c r="AM6" i="8"/>
  <c r="AL6" i="8"/>
  <c r="AK6" i="8"/>
  <c r="AJ6" i="8"/>
  <c r="AI6" i="8"/>
  <c r="AH6" i="8"/>
  <c r="AG6" i="8"/>
  <c r="BB6" i="8" s="1"/>
  <c r="AF6" i="8"/>
  <c r="Q6" i="8"/>
  <c r="P6" i="8"/>
  <c r="O6" i="8"/>
  <c r="M6" i="8"/>
  <c r="L6" i="8"/>
  <c r="K6" i="8"/>
  <c r="J6" i="8"/>
  <c r="I6" i="8"/>
  <c r="H6" i="8"/>
  <c r="G6" i="8"/>
  <c r="F6" i="8"/>
  <c r="E6" i="8"/>
  <c r="D6" i="8"/>
  <c r="AD6" i="8" s="1"/>
  <c r="AE6" i="8" s="1"/>
  <c r="C6" i="8"/>
  <c r="V6" i="8" s="1"/>
  <c r="B6" i="8"/>
  <c r="AV11" i="7"/>
  <c r="AT11" i="7"/>
  <c r="AS11" i="7"/>
  <c r="AR11" i="7"/>
  <c r="AQ11" i="7"/>
  <c r="AP11" i="7"/>
  <c r="AO11" i="7"/>
  <c r="AN11" i="7"/>
  <c r="AW11" i="7" s="1"/>
  <c r="AM11" i="7"/>
  <c r="AL11" i="7"/>
  <c r="AK11" i="7"/>
  <c r="AJ11" i="7"/>
  <c r="AI11" i="7"/>
  <c r="AH11" i="7"/>
  <c r="AG11" i="7"/>
  <c r="AF11" i="7"/>
  <c r="Q11" i="7"/>
  <c r="P11" i="7"/>
  <c r="O11" i="7"/>
  <c r="M11" i="7"/>
  <c r="L11" i="7"/>
  <c r="K11" i="7"/>
  <c r="N11" i="7" s="1"/>
  <c r="U11" i="7" s="1"/>
  <c r="J11" i="7"/>
  <c r="T11" i="7" s="1"/>
  <c r="I11" i="7"/>
  <c r="H11" i="7"/>
  <c r="G11" i="7"/>
  <c r="F11" i="7"/>
  <c r="E11" i="7"/>
  <c r="D11" i="7"/>
  <c r="C11" i="7"/>
  <c r="V11" i="7" s="1"/>
  <c r="B11" i="7"/>
  <c r="W11" i="7" s="1"/>
  <c r="AV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Q10" i="7"/>
  <c r="P10" i="7"/>
  <c r="O10" i="7"/>
  <c r="M10" i="7"/>
  <c r="L10" i="7"/>
  <c r="K10" i="7"/>
  <c r="N10" i="7" s="1"/>
  <c r="U10" i="7" s="1"/>
  <c r="J10" i="7"/>
  <c r="T10" i="7" s="1"/>
  <c r="I10" i="7"/>
  <c r="H10" i="7"/>
  <c r="G10" i="7"/>
  <c r="F10" i="7"/>
  <c r="E10" i="7"/>
  <c r="D10" i="7"/>
  <c r="C10" i="7"/>
  <c r="V10" i="7" s="1"/>
  <c r="B10" i="7"/>
  <c r="AV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BB9" i="7" s="1"/>
  <c r="AF9" i="7"/>
  <c r="Q9" i="7"/>
  <c r="P9" i="7"/>
  <c r="O9" i="7"/>
  <c r="M9" i="7"/>
  <c r="L9" i="7"/>
  <c r="K9" i="7"/>
  <c r="N9" i="7" s="1"/>
  <c r="U9" i="7" s="1"/>
  <c r="J9" i="7"/>
  <c r="I9" i="7"/>
  <c r="H9" i="7"/>
  <c r="G9" i="7"/>
  <c r="F9" i="7"/>
  <c r="E9" i="7"/>
  <c r="D9" i="7"/>
  <c r="C9" i="7"/>
  <c r="B9" i="7"/>
  <c r="W9" i="7" s="1"/>
  <c r="AV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BB8" i="7" s="1"/>
  <c r="AF8" i="7"/>
  <c r="Q8" i="7"/>
  <c r="P8" i="7"/>
  <c r="O8" i="7"/>
  <c r="M8" i="7"/>
  <c r="L8" i="7"/>
  <c r="K8" i="7"/>
  <c r="N8" i="7" s="1"/>
  <c r="U8" i="7" s="1"/>
  <c r="J8" i="7"/>
  <c r="I8" i="7"/>
  <c r="H8" i="7"/>
  <c r="G8" i="7"/>
  <c r="F8" i="7"/>
  <c r="E8" i="7"/>
  <c r="D8" i="7"/>
  <c r="C8" i="7"/>
  <c r="V8" i="7" s="1"/>
  <c r="B8" i="7"/>
  <c r="AD8" i="7" s="1"/>
  <c r="AE8" i="7" s="1"/>
  <c r="AV7" i="7"/>
  <c r="AT7" i="7"/>
  <c r="AS7" i="7"/>
  <c r="AR7" i="7"/>
  <c r="AQ7" i="7"/>
  <c r="AP7" i="7"/>
  <c r="AO7" i="7"/>
  <c r="AN7" i="7"/>
  <c r="AW7" i="7" s="1"/>
  <c r="AM7" i="7"/>
  <c r="AL7" i="7"/>
  <c r="AK7" i="7"/>
  <c r="AJ7" i="7"/>
  <c r="AI7" i="7"/>
  <c r="AH7" i="7"/>
  <c r="AG7" i="7"/>
  <c r="BB7" i="7" s="1"/>
  <c r="AF7" i="7"/>
  <c r="Q7" i="7"/>
  <c r="P7" i="7"/>
  <c r="O7" i="7"/>
  <c r="M7" i="7"/>
  <c r="L7" i="7"/>
  <c r="K7" i="7"/>
  <c r="N7" i="7" s="1"/>
  <c r="U7" i="7" s="1"/>
  <c r="J7" i="7"/>
  <c r="I7" i="7"/>
  <c r="H7" i="7"/>
  <c r="G7" i="7"/>
  <c r="F7" i="7"/>
  <c r="E7" i="7"/>
  <c r="D7" i="7"/>
  <c r="C7" i="7"/>
  <c r="V7" i="7" s="1"/>
  <c r="B7" i="7"/>
  <c r="W7" i="7" s="1"/>
  <c r="AV6" i="7"/>
  <c r="AT6" i="7"/>
  <c r="AS6" i="7"/>
  <c r="AR6" i="7"/>
  <c r="AQ6" i="7"/>
  <c r="AP6" i="7"/>
  <c r="AO6" i="7"/>
  <c r="AN6" i="7"/>
  <c r="AW6" i="7" s="1"/>
  <c r="AM6" i="7"/>
  <c r="AL6" i="7"/>
  <c r="AK6" i="7"/>
  <c r="AJ6" i="7"/>
  <c r="AI6" i="7"/>
  <c r="AH6" i="7"/>
  <c r="AG6" i="7"/>
  <c r="BB6" i="7" s="1"/>
  <c r="AF6" i="7"/>
  <c r="Q6" i="7"/>
  <c r="P6" i="7"/>
  <c r="O6" i="7"/>
  <c r="M6" i="7"/>
  <c r="L6" i="7"/>
  <c r="K6" i="7"/>
  <c r="N6" i="7" s="1"/>
  <c r="U6" i="7" s="1"/>
  <c r="J6" i="7"/>
  <c r="T6" i="7" s="1"/>
  <c r="I6" i="7"/>
  <c r="H6" i="7"/>
  <c r="G6" i="7"/>
  <c r="F6" i="7"/>
  <c r="E6" i="7"/>
  <c r="D6" i="7"/>
  <c r="C6" i="7"/>
  <c r="B6" i="7"/>
  <c r="AD6" i="7" s="1"/>
  <c r="AE6" i="7" s="1"/>
  <c r="BL23" i="9"/>
  <c r="BL22" i="9"/>
  <c r="BL21" i="9"/>
  <c r="BL20" i="9"/>
  <c r="BL19" i="9"/>
  <c r="BL18" i="9"/>
  <c r="BL17" i="9"/>
  <c r="BL16" i="9"/>
  <c r="BL15" i="9"/>
  <c r="BL24" i="9" s="1"/>
  <c r="R14" i="9"/>
  <c r="AX11" i="9"/>
  <c r="AU11" i="9"/>
  <c r="AZ11" i="9" s="1"/>
  <c r="BA11" i="9"/>
  <c r="AD11" i="9"/>
  <c r="AE11" i="9" s="1"/>
  <c r="V11" i="9"/>
  <c r="AU10" i="9"/>
  <c r="AX10" i="9"/>
  <c r="BA10" i="9"/>
  <c r="N10" i="9"/>
  <c r="U10" i="9" s="1"/>
  <c r="AD10" i="9"/>
  <c r="AE10" i="9" s="1"/>
  <c r="V10" i="9"/>
  <c r="AU9" i="9"/>
  <c r="AX9" i="9"/>
  <c r="BA9" i="9"/>
  <c r="BB9" i="9"/>
  <c r="V9" i="9"/>
  <c r="N9" i="9"/>
  <c r="U9" i="9" s="1"/>
  <c r="AU8" i="9"/>
  <c r="AX8" i="9"/>
  <c r="BB8" i="9"/>
  <c r="N8" i="9"/>
  <c r="U8" i="9" s="1"/>
  <c r="AU7" i="9"/>
  <c r="AZ7" i="9" s="1"/>
  <c r="AX7" i="9"/>
  <c r="AU6" i="9"/>
  <c r="AX6" i="9"/>
  <c r="AW6" i="9"/>
  <c r="BA6" i="9"/>
  <c r="AU5" i="9"/>
  <c r="AZ5" i="9" s="1"/>
  <c r="AX5" i="9"/>
  <c r="AW5" i="9"/>
  <c r="BB5" i="9"/>
  <c r="V5" i="9"/>
  <c r="N5" i="9"/>
  <c r="U5" i="9" s="1"/>
  <c r="T5" i="9"/>
  <c r="AG30" i="6" s="1"/>
  <c r="W5" i="9"/>
  <c r="BB4" i="9"/>
  <c r="AU4" i="9"/>
  <c r="AZ4" i="9" s="1"/>
  <c r="AX4" i="9"/>
  <c r="AW4" i="9"/>
  <c r="BA4" i="9"/>
  <c r="BJ4" i="9" s="1"/>
  <c r="BK4" i="9" s="1"/>
  <c r="AJ29" i="6" s="1"/>
  <c r="W4" i="9"/>
  <c r="V4" i="9"/>
  <c r="N4" i="9"/>
  <c r="U4" i="9" s="1"/>
  <c r="T4" i="9"/>
  <c r="AG29" i="6" s="1"/>
  <c r="AV3" i="9"/>
  <c r="AU3" i="9"/>
  <c r="AZ3" i="9" s="1"/>
  <c r="AT3" i="9"/>
  <c r="AS3" i="9"/>
  <c r="AR3" i="9"/>
  <c r="AQ3" i="9"/>
  <c r="AP3" i="9"/>
  <c r="AX3" i="9" s="1"/>
  <c r="AO3" i="9"/>
  <c r="AN3" i="9"/>
  <c r="AM3" i="9"/>
  <c r="AL3" i="9"/>
  <c r="AK3" i="9"/>
  <c r="BA3" i="9" s="1"/>
  <c r="BJ3" i="9" s="1"/>
  <c r="BK3" i="9" s="1"/>
  <c r="AJ3" i="9"/>
  <c r="AI3" i="9"/>
  <c r="AH3" i="9"/>
  <c r="AG3" i="9"/>
  <c r="BB3" i="9" s="1"/>
  <c r="AF3" i="9"/>
  <c r="AC3" i="9" s="1"/>
  <c r="W3" i="9"/>
  <c r="Q3" i="9"/>
  <c r="P3" i="9"/>
  <c r="O3" i="9"/>
  <c r="M3" i="9"/>
  <c r="L3" i="9"/>
  <c r="K3" i="9"/>
  <c r="N3" i="9" s="1"/>
  <c r="U3" i="9" s="1"/>
  <c r="J3" i="9"/>
  <c r="I3" i="9"/>
  <c r="H3" i="9"/>
  <c r="G3" i="9"/>
  <c r="T3" i="9" s="1"/>
  <c r="F3" i="9"/>
  <c r="AD3" i="9" s="1"/>
  <c r="AE3" i="9" s="1"/>
  <c r="AH28" i="6" s="1"/>
  <c r="E3" i="9"/>
  <c r="D3" i="9"/>
  <c r="C3" i="9"/>
  <c r="V3" i="9" s="1"/>
  <c r="BL23" i="8"/>
  <c r="BL22" i="8"/>
  <c r="BL21" i="8"/>
  <c r="BL20" i="8"/>
  <c r="BL19" i="8"/>
  <c r="BL18" i="8"/>
  <c r="BL17" i="8"/>
  <c r="BL16" i="8"/>
  <c r="BL15" i="8"/>
  <c r="BL24" i="8" s="1"/>
  <c r="R14" i="8"/>
  <c r="AU11" i="8"/>
  <c r="AZ11" i="8" s="1"/>
  <c r="BA11" i="8"/>
  <c r="W11" i="8"/>
  <c r="T11" i="8"/>
  <c r="V11" i="8"/>
  <c r="AU10" i="8"/>
  <c r="AZ10" i="8" s="1"/>
  <c r="BA10" i="8"/>
  <c r="W10" i="8"/>
  <c r="AU9" i="8"/>
  <c r="AZ9" i="8" s="1"/>
  <c r="BA9" i="8"/>
  <c r="V9" i="8"/>
  <c r="W9" i="8"/>
  <c r="AU8" i="8"/>
  <c r="AZ8" i="8" s="1"/>
  <c r="V8" i="8"/>
  <c r="W8" i="8"/>
  <c r="AU7" i="8"/>
  <c r="AZ7" i="8" s="1"/>
  <c r="V7" i="8"/>
  <c r="W7" i="8"/>
  <c r="AU6" i="8"/>
  <c r="AZ6" i="8" s="1"/>
  <c r="T6" i="8"/>
  <c r="N6" i="8"/>
  <c r="U6" i="8" s="1"/>
  <c r="W6" i="8"/>
  <c r="AU5" i="8"/>
  <c r="AZ5" i="8" s="1"/>
  <c r="AX5" i="8"/>
  <c r="AW5" i="8"/>
  <c r="BB4" i="8"/>
  <c r="AU4" i="8"/>
  <c r="AZ4" i="8" s="1"/>
  <c r="AX4" i="8"/>
  <c r="BA4" i="8"/>
  <c r="BJ4" i="8" s="1"/>
  <c r="BK4" i="8" s="1"/>
  <c r="AF29" i="6" s="1"/>
  <c r="V4" i="8"/>
  <c r="N4" i="8"/>
  <c r="U4" i="8" s="1"/>
  <c r="AC4" i="8" s="1"/>
  <c r="T4" i="8"/>
  <c r="AC29" i="6" s="1"/>
  <c r="W4" i="8"/>
  <c r="AU3" i="8"/>
  <c r="AZ3" i="8" s="1"/>
  <c r="AX3" i="8"/>
  <c r="BA3" i="8"/>
  <c r="BJ3" i="8" s="1"/>
  <c r="BK3" i="8" s="1"/>
  <c r="BB3" i="8"/>
  <c r="W3" i="8"/>
  <c r="N3" i="8"/>
  <c r="U3" i="8" s="1"/>
  <c r="AD3" i="8"/>
  <c r="AE3" i="8" s="1"/>
  <c r="V3" i="8"/>
  <c r="BL23" i="7"/>
  <c r="BL22" i="7"/>
  <c r="BL21" i="7"/>
  <c r="BL20" i="7"/>
  <c r="BL19" i="7"/>
  <c r="BL18" i="7"/>
  <c r="BL17" i="7"/>
  <c r="BL16" i="7"/>
  <c r="BL24" i="7" s="1"/>
  <c r="BL15" i="7"/>
  <c r="R14" i="7"/>
  <c r="BB11" i="7"/>
  <c r="AU11" i="7"/>
  <c r="AZ11" i="7" s="1"/>
  <c r="AX11" i="7"/>
  <c r="BB10" i="7"/>
  <c r="AU10" i="7"/>
  <c r="AZ10" i="7" s="1"/>
  <c r="AX10" i="7"/>
  <c r="BA10" i="7"/>
  <c r="AU9" i="7"/>
  <c r="AZ9" i="7" s="1"/>
  <c r="AX9" i="7"/>
  <c r="BA9" i="7"/>
  <c r="AU8" i="7"/>
  <c r="AZ8" i="7" s="1"/>
  <c r="AX8" i="7"/>
  <c r="AW8" i="7"/>
  <c r="BA8" i="7"/>
  <c r="AU7" i="7"/>
  <c r="AZ7" i="7" s="1"/>
  <c r="AX7" i="7"/>
  <c r="BA7" i="7"/>
  <c r="AU6" i="7"/>
  <c r="AZ6" i="7" s="1"/>
  <c r="AX6" i="7"/>
  <c r="BA6" i="7"/>
  <c r="V6" i="7"/>
  <c r="W6" i="7"/>
  <c r="AU5" i="7"/>
  <c r="AZ5" i="7" s="1"/>
  <c r="AX5" i="7"/>
  <c r="AW5" i="7"/>
  <c r="BA5" i="7"/>
  <c r="BJ5" i="7" s="1"/>
  <c r="BK5" i="7" s="1"/>
  <c r="BB5" i="7"/>
  <c r="N5" i="7"/>
  <c r="U5" i="7" s="1"/>
  <c r="T5" i="7"/>
  <c r="Y30" i="6" s="1"/>
  <c r="AD5" i="7"/>
  <c r="AE5" i="7" s="1"/>
  <c r="Z30" i="6" s="1"/>
  <c r="V5" i="7"/>
  <c r="W5" i="7"/>
  <c r="AU4" i="7"/>
  <c r="AZ4" i="7" s="1"/>
  <c r="AX4" i="7"/>
  <c r="AW4" i="7"/>
  <c r="N4" i="7"/>
  <c r="U4" i="7" s="1"/>
  <c r="T4" i="7"/>
  <c r="AD4" i="7"/>
  <c r="AE4" i="7" s="1"/>
  <c r="V4" i="7"/>
  <c r="W4" i="7"/>
  <c r="BB3" i="7"/>
  <c r="AU3" i="7"/>
  <c r="AZ3" i="7" s="1"/>
  <c r="AX3" i="7"/>
  <c r="AW3" i="7"/>
  <c r="N3" i="7"/>
  <c r="U3" i="7" s="1"/>
  <c r="AC3" i="7" s="1"/>
  <c r="T3" i="7"/>
  <c r="V3" i="7"/>
  <c r="R11" i="9"/>
  <c r="R10" i="9"/>
  <c r="R9" i="9"/>
  <c r="R8" i="9"/>
  <c r="R7" i="9"/>
  <c r="R6" i="9"/>
  <c r="R5" i="8"/>
  <c r="R11" i="8"/>
  <c r="R10" i="8"/>
  <c r="R9" i="8"/>
  <c r="R8" i="8"/>
  <c r="R7" i="8"/>
  <c r="R6" i="8"/>
  <c r="R11" i="7"/>
  <c r="R10" i="7"/>
  <c r="R9" i="7"/>
  <c r="R8" i="7"/>
  <c r="R7" i="7"/>
  <c r="R6" i="7"/>
  <c r="R3" i="9"/>
  <c r="S23" i="9"/>
  <c r="S23" i="8"/>
  <c r="S23" i="7"/>
  <c r="BD35" i="6" l="1"/>
  <c r="BC36" i="6"/>
  <c r="BD34" i="6"/>
  <c r="BE32" i="6"/>
  <c r="BC35" i="6"/>
  <c r="BD33" i="6"/>
  <c r="BE31" i="6"/>
  <c r="BB36" i="6"/>
  <c r="BC34" i="6"/>
  <c r="BD32" i="6"/>
  <c r="BF36" i="6"/>
  <c r="BB35" i="6"/>
  <c r="BC33" i="6"/>
  <c r="BD31" i="6"/>
  <c r="BF35" i="6"/>
  <c r="BB34" i="6"/>
  <c r="BC32" i="6"/>
  <c r="BE36" i="6"/>
  <c r="BF34" i="6"/>
  <c r="BB33" i="6"/>
  <c r="BB32" i="6"/>
  <c r="BM28" i="6"/>
  <c r="BN28" i="6"/>
  <c r="BK12" i="6"/>
  <c r="BL28" i="6"/>
  <c r="BJ12" i="6"/>
  <c r="BL4" i="9"/>
  <c r="BJ13" i="6"/>
  <c r="BH14" i="6"/>
  <c r="BL5" i="9"/>
  <c r="BL4" i="8"/>
  <c r="BP34" i="6"/>
  <c r="BO35" i="6"/>
  <c r="BP28" i="6"/>
  <c r="BO28" i="6"/>
  <c r="AZ6" i="9"/>
  <c r="BL6" i="9" s="1"/>
  <c r="BJ9" i="9"/>
  <c r="BK9" i="9" s="1"/>
  <c r="BL7" i="9"/>
  <c r="AD6" i="9"/>
  <c r="AE6" i="9" s="1"/>
  <c r="W7" i="9"/>
  <c r="W8" i="9"/>
  <c r="AZ8" i="9"/>
  <c r="BL8" i="9" s="1"/>
  <c r="BJ10" i="9"/>
  <c r="BK10" i="9" s="1"/>
  <c r="W9" i="9"/>
  <c r="AZ9" i="9"/>
  <c r="BL9" i="9" s="1"/>
  <c r="BJ11" i="9"/>
  <c r="BK11" i="9" s="1"/>
  <c r="AZ10" i="9"/>
  <c r="BL10" i="9" s="1"/>
  <c r="BL11" i="9"/>
  <c r="BJ6" i="9"/>
  <c r="BK6" i="9" s="1"/>
  <c r="AC5" i="8"/>
  <c r="AC6" i="8"/>
  <c r="BJ9" i="8"/>
  <c r="BK9" i="8" s="1"/>
  <c r="BJ10" i="8"/>
  <c r="BK10" i="8" s="1"/>
  <c r="BJ11" i="8"/>
  <c r="BK11" i="8" s="1"/>
  <c r="BL9" i="7"/>
  <c r="V9" i="7"/>
  <c r="BL11" i="7"/>
  <c r="AD7" i="7"/>
  <c r="AE7" i="7" s="1"/>
  <c r="W8" i="7"/>
  <c r="AD9" i="7"/>
  <c r="AE9" i="7" s="1"/>
  <c r="BJ6" i="7"/>
  <c r="BK6" i="7" s="1"/>
  <c r="BJ10" i="7"/>
  <c r="BK10" i="7" s="1"/>
  <c r="BJ7" i="7"/>
  <c r="BK7" i="7" s="1"/>
  <c r="BJ8" i="7"/>
  <c r="BK8" i="7" s="1"/>
  <c r="BJ9" i="7"/>
  <c r="BK9" i="7" s="1"/>
  <c r="S9" i="9"/>
  <c r="S8" i="9"/>
  <c r="AA8" i="9" s="1"/>
  <c r="S10" i="9"/>
  <c r="S11" i="9"/>
  <c r="S4" i="9"/>
  <c r="S5" i="9"/>
  <c r="S6" i="9"/>
  <c r="Z6" i="9" s="1"/>
  <c r="S3" i="9"/>
  <c r="S7" i="9"/>
  <c r="BL3" i="9"/>
  <c r="AC5" i="9"/>
  <c r="BE4" i="9"/>
  <c r="AY4" i="9"/>
  <c r="AI29" i="6" s="1"/>
  <c r="BD4" i="9"/>
  <c r="BC4" i="9"/>
  <c r="AY5" i="9"/>
  <c r="AI30" i="6" s="1"/>
  <c r="BC5" i="9"/>
  <c r="BC7" i="9"/>
  <c r="AY7" i="9"/>
  <c r="BC8" i="9"/>
  <c r="AY8" i="9"/>
  <c r="AB11" i="9"/>
  <c r="Z11" i="9"/>
  <c r="BM11" i="9"/>
  <c r="Y11" i="9"/>
  <c r="X11" i="9"/>
  <c r="BG3" i="9"/>
  <c r="BF3" i="9"/>
  <c r="BM8" i="9"/>
  <c r="X8" i="9"/>
  <c r="AB8" i="9"/>
  <c r="AC4" i="9"/>
  <c r="X9" i="9"/>
  <c r="AB9" i="9"/>
  <c r="BM9" i="9"/>
  <c r="Z9" i="9"/>
  <c r="Y9" i="9"/>
  <c r="AC11" i="9"/>
  <c r="AA4" i="9"/>
  <c r="AA5" i="9"/>
  <c r="AY6" i="9"/>
  <c r="BE6" i="9"/>
  <c r="BD6" i="9"/>
  <c r="BC6" i="9"/>
  <c r="AC9" i="9"/>
  <c r="BD9" i="9"/>
  <c r="BF11" i="9"/>
  <c r="AB3" i="9"/>
  <c r="Z3" i="9"/>
  <c r="BM3" i="9"/>
  <c r="Y3" i="9"/>
  <c r="X3" i="9"/>
  <c r="AB4" i="9"/>
  <c r="BM4" i="9"/>
  <c r="Y4" i="9"/>
  <c r="Z4" i="9"/>
  <c r="X4" i="9"/>
  <c r="BG4" i="9"/>
  <c r="BF4" i="9"/>
  <c r="AB5" i="9"/>
  <c r="X5" i="9"/>
  <c r="Z5" i="9"/>
  <c r="BM5" i="9"/>
  <c r="Y5" i="9"/>
  <c r="BG5" i="9"/>
  <c r="BF5" i="9"/>
  <c r="AA6" i="9"/>
  <c r="AA7" i="9"/>
  <c r="BF7" i="9"/>
  <c r="BG7" i="9"/>
  <c r="AC8" i="9"/>
  <c r="BG8" i="9"/>
  <c r="BF8" i="9"/>
  <c r="BG9" i="9"/>
  <c r="BF9" i="9"/>
  <c r="AA10" i="9"/>
  <c r="BG10" i="9"/>
  <c r="BF10" i="9"/>
  <c r="BE9" i="9"/>
  <c r="AD5" i="9"/>
  <c r="AE5" i="9" s="1"/>
  <c r="AH30" i="6" s="1"/>
  <c r="BP30" i="6" s="1"/>
  <c r="AC6" i="9"/>
  <c r="T7" i="9"/>
  <c r="AC7" i="9" s="1"/>
  <c r="AW10" i="9"/>
  <c r="AD4" i="9"/>
  <c r="AE4" i="9" s="1"/>
  <c r="AH29" i="6" s="1"/>
  <c r="BL29" i="6" s="1"/>
  <c r="BA5" i="9"/>
  <c r="BJ5" i="9" s="1"/>
  <c r="BK5" i="9" s="1"/>
  <c r="AJ30" i="6" s="1"/>
  <c r="AB6" i="9"/>
  <c r="AW3" i="9"/>
  <c r="BB6" i="9"/>
  <c r="BG6" i="9" s="1"/>
  <c r="BA7" i="9"/>
  <c r="BJ7" i="9" s="1"/>
  <c r="BK7" i="9" s="1"/>
  <c r="AA9" i="9"/>
  <c r="AY9" i="9"/>
  <c r="AW11" i="9"/>
  <c r="BA8" i="9"/>
  <c r="BJ8" i="9" s="1"/>
  <c r="BK8" i="9" s="1"/>
  <c r="AA3" i="9"/>
  <c r="X6" i="9"/>
  <c r="T10" i="9"/>
  <c r="AA11" i="9"/>
  <c r="BG11" i="9"/>
  <c r="Y6" i="9"/>
  <c r="BM6" i="9"/>
  <c r="BC9" i="9"/>
  <c r="S9" i="8"/>
  <c r="AA9" i="8" s="1"/>
  <c r="S10" i="8"/>
  <c r="S3" i="8"/>
  <c r="S11" i="8"/>
  <c r="S4" i="8"/>
  <c r="S8" i="8"/>
  <c r="AA8" i="8" s="1"/>
  <c r="S5" i="8"/>
  <c r="Y5" i="8" s="1"/>
  <c r="S6" i="8"/>
  <c r="Z6" i="8" s="1"/>
  <c r="S7" i="8"/>
  <c r="AA7" i="8" s="1"/>
  <c r="BG5" i="8"/>
  <c r="BF5" i="8"/>
  <c r="BG6" i="8"/>
  <c r="BF6" i="8"/>
  <c r="AB11" i="8"/>
  <c r="Z11" i="8"/>
  <c r="BM11" i="8"/>
  <c r="Y11" i="8"/>
  <c r="X11" i="8"/>
  <c r="BG3" i="8"/>
  <c r="BF3" i="8"/>
  <c r="BF8" i="8"/>
  <c r="BG8" i="8"/>
  <c r="BF7" i="8"/>
  <c r="BG7" i="8"/>
  <c r="BG4" i="8"/>
  <c r="BF4" i="8"/>
  <c r="AB4" i="8"/>
  <c r="Z4" i="8"/>
  <c r="BM4" i="8"/>
  <c r="Y4" i="8"/>
  <c r="X4" i="8"/>
  <c r="BC8" i="8"/>
  <c r="AY8" i="8"/>
  <c r="BL9" i="8"/>
  <c r="BL10" i="8"/>
  <c r="AY7" i="8"/>
  <c r="BC7" i="8"/>
  <c r="BL8" i="8"/>
  <c r="BL11" i="8"/>
  <c r="BL3" i="8"/>
  <c r="AB5" i="8"/>
  <c r="BM5" i="8"/>
  <c r="X5" i="8"/>
  <c r="AY5" i="8"/>
  <c r="BC5" i="8"/>
  <c r="AY6" i="8"/>
  <c r="BC6" i="8"/>
  <c r="BL7" i="8"/>
  <c r="BD9" i="8"/>
  <c r="AC11" i="8"/>
  <c r="BL5" i="8"/>
  <c r="BL6" i="8"/>
  <c r="AA6" i="8"/>
  <c r="AA3" i="8"/>
  <c r="AA4" i="8"/>
  <c r="BG9" i="8"/>
  <c r="BF9" i="8"/>
  <c r="BG10" i="8"/>
  <c r="BF10" i="8"/>
  <c r="BG11" i="8"/>
  <c r="BF11" i="8"/>
  <c r="BE9" i="8"/>
  <c r="AD5" i="8"/>
  <c r="AE5" i="8" s="1"/>
  <c r="BA6" i="8"/>
  <c r="BJ6" i="8" s="1"/>
  <c r="BK6" i="8" s="1"/>
  <c r="T7" i="8"/>
  <c r="AW10" i="8"/>
  <c r="AB6" i="8"/>
  <c r="AW3" i="8"/>
  <c r="BA7" i="8"/>
  <c r="BJ7" i="8" s="1"/>
  <c r="BK7" i="8" s="1"/>
  <c r="T8" i="8"/>
  <c r="AC8" i="8" s="1"/>
  <c r="AY9" i="8"/>
  <c r="AW11" i="8"/>
  <c r="BA5" i="8"/>
  <c r="BJ5" i="8" s="1"/>
  <c r="BK5" i="8" s="1"/>
  <c r="AW4" i="8"/>
  <c r="BA8" i="8"/>
  <c r="BJ8" i="8" s="1"/>
  <c r="BK8" i="8" s="1"/>
  <c r="T9" i="8"/>
  <c r="AA10" i="8"/>
  <c r="AD4" i="8"/>
  <c r="AE4" i="8" s="1"/>
  <c r="AD29" i="6" s="1"/>
  <c r="X6" i="8"/>
  <c r="T10" i="8"/>
  <c r="AC10" i="8" s="1"/>
  <c r="AA11" i="8"/>
  <c r="T3" i="8"/>
  <c r="AC28" i="6" s="1"/>
  <c r="Y6" i="8"/>
  <c r="BM6" i="8"/>
  <c r="BC9" i="8"/>
  <c r="S6" i="7"/>
  <c r="S7" i="7"/>
  <c r="S9" i="7"/>
  <c r="AA9" i="7" s="1"/>
  <c r="S8" i="7"/>
  <c r="S10" i="7"/>
  <c r="S3" i="7"/>
  <c r="Y3" i="7" s="1"/>
  <c r="S11" i="7"/>
  <c r="S4" i="7"/>
  <c r="Y4" i="7" s="1"/>
  <c r="S5" i="7"/>
  <c r="AA5" i="7" s="1"/>
  <c r="BF6" i="7"/>
  <c r="BG6" i="7"/>
  <c r="AC10" i="7"/>
  <c r="BG3" i="7"/>
  <c r="BF3" i="7"/>
  <c r="BL6" i="7"/>
  <c r="BL10" i="7"/>
  <c r="BC3" i="7"/>
  <c r="AY3" i="7"/>
  <c r="AA28" i="6" s="1"/>
  <c r="AY4" i="7"/>
  <c r="AA29" i="6" s="1"/>
  <c r="BF29" i="6" s="1"/>
  <c r="BC4" i="7"/>
  <c r="BL5" i="7"/>
  <c r="BM6" i="7"/>
  <c r="Y6" i="7"/>
  <c r="X6" i="7"/>
  <c r="AB6" i="7"/>
  <c r="Z6" i="7"/>
  <c r="BL7" i="7"/>
  <c r="BE5" i="7"/>
  <c r="BD5" i="7"/>
  <c r="BC5" i="7"/>
  <c r="AY5" i="7"/>
  <c r="AA30" i="6" s="1"/>
  <c r="BB30" i="6" s="1"/>
  <c r="AB11" i="7"/>
  <c r="Z11" i="7"/>
  <c r="BM11" i="7"/>
  <c r="Y11" i="7"/>
  <c r="X11" i="7"/>
  <c r="BG8" i="7"/>
  <c r="BF8" i="7"/>
  <c r="BG9" i="7"/>
  <c r="BF9" i="7"/>
  <c r="AB3" i="7"/>
  <c r="Z3" i="7"/>
  <c r="BM3" i="7"/>
  <c r="X3" i="7"/>
  <c r="BL3" i="7"/>
  <c r="BL4" i="7"/>
  <c r="AA6" i="7"/>
  <c r="BE6" i="7"/>
  <c r="BD6" i="7"/>
  <c r="BC6" i="7"/>
  <c r="AY6" i="7"/>
  <c r="BG7" i="7"/>
  <c r="BF7" i="7"/>
  <c r="AB10" i="7"/>
  <c r="Z10" i="7"/>
  <c r="BM10" i="7"/>
  <c r="Y10" i="7"/>
  <c r="X10" i="7"/>
  <c r="Z4" i="7"/>
  <c r="BM4" i="7"/>
  <c r="X4" i="7"/>
  <c r="AB4" i="7"/>
  <c r="BF5" i="7"/>
  <c r="BG5" i="7"/>
  <c r="AY11" i="7"/>
  <c r="BC11" i="7"/>
  <c r="Z5" i="7"/>
  <c r="BM5" i="7"/>
  <c r="Y5" i="7"/>
  <c r="X5" i="7"/>
  <c r="AB5" i="7"/>
  <c r="BD7" i="7"/>
  <c r="BC8" i="7"/>
  <c r="BE8" i="7"/>
  <c r="AY8" i="7"/>
  <c r="BD8" i="7"/>
  <c r="BL8" i="7"/>
  <c r="BG10" i="7"/>
  <c r="BF10" i="7"/>
  <c r="AA11" i="7"/>
  <c r="AC11" i="7"/>
  <c r="BG11" i="7"/>
  <c r="BF11" i="7"/>
  <c r="AW9" i="7"/>
  <c r="BA3" i="7"/>
  <c r="BJ3" i="7" s="1"/>
  <c r="BK3" i="7" s="1"/>
  <c r="AB28" i="6" s="1"/>
  <c r="AD3" i="7"/>
  <c r="AE3" i="7" s="1"/>
  <c r="Z28" i="6" s="1"/>
  <c r="AD11" i="7"/>
  <c r="AE11" i="7" s="1"/>
  <c r="W3" i="7"/>
  <c r="AA3" i="7" s="1"/>
  <c r="AC5" i="7"/>
  <c r="AA7" i="7"/>
  <c r="AY7" i="7"/>
  <c r="AC6" i="7"/>
  <c r="T7" i="7"/>
  <c r="AC7" i="7" s="1"/>
  <c r="AA8" i="7"/>
  <c r="AW10" i="7"/>
  <c r="BE7" i="7"/>
  <c r="AD10" i="7"/>
  <c r="AE10" i="7" s="1"/>
  <c r="BA11" i="7"/>
  <c r="BJ11" i="7" s="1"/>
  <c r="BK11" i="7" s="1"/>
  <c r="AC4" i="7"/>
  <c r="BA4" i="7"/>
  <c r="BJ4" i="7" s="1"/>
  <c r="BK4" i="7" s="1"/>
  <c r="AB29" i="6" s="1"/>
  <c r="W10" i="7"/>
  <c r="AA10" i="7" s="1"/>
  <c r="BB4" i="7"/>
  <c r="BF4" i="7" s="1"/>
  <c r="T8" i="7"/>
  <c r="AC8" i="7" s="1"/>
  <c r="T9" i="7"/>
  <c r="AC9" i="7" s="1"/>
  <c r="BC7" i="7"/>
  <c r="G3" i="3"/>
  <c r="BL15" i="5"/>
  <c r="BD28" i="6" l="1"/>
  <c r="BK13" i="6"/>
  <c r="BM29" i="6"/>
  <c r="BP29" i="6"/>
  <c r="BN29" i="6"/>
  <c r="BO29" i="6"/>
  <c r="BL30" i="6"/>
  <c r="BO30" i="6"/>
  <c r="BJ14" i="6"/>
  <c r="BK14" i="6"/>
  <c r="BI14" i="6"/>
  <c r="BN30" i="6"/>
  <c r="BM30" i="6"/>
  <c r="BE28" i="6"/>
  <c r="BF28" i="6"/>
  <c r="BC28" i="6"/>
  <c r="BB28" i="6"/>
  <c r="BE29" i="6"/>
  <c r="BD29" i="6"/>
  <c r="BC29" i="6"/>
  <c r="BB29" i="6"/>
  <c r="BC30" i="6"/>
  <c r="BD30" i="6"/>
  <c r="BE30" i="6"/>
  <c r="BF30" i="6"/>
  <c r="Z8" i="9"/>
  <c r="Y8" i="9"/>
  <c r="Z7" i="9"/>
  <c r="BM7" i="9"/>
  <c r="Y7" i="9"/>
  <c r="X7" i="9"/>
  <c r="AB7" i="9"/>
  <c r="BD7" i="9"/>
  <c r="BI4" i="9"/>
  <c r="BH4" i="9"/>
  <c r="BN4" i="9"/>
  <c r="AB10" i="9"/>
  <c r="Z10" i="9"/>
  <c r="BM10" i="9"/>
  <c r="Y10" i="9"/>
  <c r="X10" i="9"/>
  <c r="BE7" i="9"/>
  <c r="AY3" i="9"/>
  <c r="BE3" i="9"/>
  <c r="BD3" i="9"/>
  <c r="BC3" i="9"/>
  <c r="BI8" i="9"/>
  <c r="BH8" i="9"/>
  <c r="BN8" i="9"/>
  <c r="BF6" i="9"/>
  <c r="BN6" i="9"/>
  <c r="BI6" i="9"/>
  <c r="BH6" i="9"/>
  <c r="BE5" i="9"/>
  <c r="AC10" i="9"/>
  <c r="BD8" i="9"/>
  <c r="BH5" i="9"/>
  <c r="BN5" i="9"/>
  <c r="BI5" i="9"/>
  <c r="AY11" i="9"/>
  <c r="BE11" i="9"/>
  <c r="BC11" i="9"/>
  <c r="BD11" i="9"/>
  <c r="BE8" i="9"/>
  <c r="BD5" i="9"/>
  <c r="BI9" i="9"/>
  <c r="BH9" i="9"/>
  <c r="BN9" i="9"/>
  <c r="BC10" i="9"/>
  <c r="AY10" i="9"/>
  <c r="BE10" i="9"/>
  <c r="BD10" i="9"/>
  <c r="BN7" i="9"/>
  <c r="BI7" i="9"/>
  <c r="BH7" i="9"/>
  <c r="X9" i="8"/>
  <c r="AB9" i="8"/>
  <c r="Y9" i="8"/>
  <c r="BM9" i="8"/>
  <c r="Z9" i="8"/>
  <c r="BN6" i="8"/>
  <c r="BH6" i="8"/>
  <c r="BI6" i="8"/>
  <c r="Z5" i="8"/>
  <c r="BN7" i="8"/>
  <c r="BI7" i="8"/>
  <c r="BH7" i="8"/>
  <c r="AY3" i="8"/>
  <c r="AE28" i="6" s="1"/>
  <c r="BC3" i="8"/>
  <c r="BE3" i="8"/>
  <c r="BD3" i="8"/>
  <c r="AB3" i="8"/>
  <c r="Z3" i="8"/>
  <c r="BM3" i="8"/>
  <c r="Y3" i="8"/>
  <c r="X3" i="8"/>
  <c r="AY4" i="8"/>
  <c r="AE29" i="6" s="1"/>
  <c r="BI13" i="6" s="1"/>
  <c r="BE4" i="8"/>
  <c r="BD4" i="8"/>
  <c r="BC4" i="8"/>
  <c r="BD5" i="8"/>
  <c r="BC10" i="8"/>
  <c r="AY10" i="8"/>
  <c r="BE10" i="8"/>
  <c r="BD10" i="8"/>
  <c r="AC9" i="8"/>
  <c r="BE5" i="8"/>
  <c r="AB10" i="8"/>
  <c r="Z10" i="8"/>
  <c r="X10" i="8"/>
  <c r="BM10" i="8"/>
  <c r="Y10" i="8"/>
  <c r="AY11" i="8"/>
  <c r="BE11" i="8"/>
  <c r="BC11" i="8"/>
  <c r="BD11" i="8"/>
  <c r="Z7" i="8"/>
  <c r="BM7" i="8"/>
  <c r="Y7" i="8"/>
  <c r="X7" i="8"/>
  <c r="AB7" i="8"/>
  <c r="BH5" i="8"/>
  <c r="BN5" i="8"/>
  <c r="BI5" i="8"/>
  <c r="BI8" i="8"/>
  <c r="BH8" i="8"/>
  <c r="BN8" i="8"/>
  <c r="AA5" i="8"/>
  <c r="BI9" i="8"/>
  <c r="BH9" i="8"/>
  <c r="BN9" i="8"/>
  <c r="AC7" i="8"/>
  <c r="BD6" i="8"/>
  <c r="BD7" i="8"/>
  <c r="BD8" i="8"/>
  <c r="BM8" i="8"/>
  <c r="Y8" i="8"/>
  <c r="X8" i="8"/>
  <c r="AB8" i="8"/>
  <c r="Z8" i="8"/>
  <c r="AC3" i="8"/>
  <c r="BE6" i="8"/>
  <c r="BE7" i="8"/>
  <c r="BE8" i="8"/>
  <c r="X7" i="7"/>
  <c r="Y7" i="7"/>
  <c r="AB7" i="7"/>
  <c r="Z7" i="7"/>
  <c r="BM7" i="7"/>
  <c r="BH6" i="7"/>
  <c r="BN6" i="7"/>
  <c r="BI6" i="7"/>
  <c r="BN5" i="7"/>
  <c r="BI5" i="7"/>
  <c r="BH5" i="7"/>
  <c r="BH3" i="7"/>
  <c r="BN3" i="7"/>
  <c r="BI3" i="7"/>
  <c r="BG4" i="7"/>
  <c r="AY9" i="7"/>
  <c r="BC9" i="7"/>
  <c r="BE9" i="7"/>
  <c r="BD9" i="7"/>
  <c r="AA4" i="7"/>
  <c r="BI7" i="7"/>
  <c r="BN7" i="7"/>
  <c r="BH7" i="7"/>
  <c r="BI8" i="7"/>
  <c r="BH8" i="7"/>
  <c r="BN8" i="7"/>
  <c r="BD3" i="7"/>
  <c r="BE3" i="7"/>
  <c r="BD11" i="7"/>
  <c r="BN4" i="7"/>
  <c r="BI4" i="7"/>
  <c r="BH4" i="7"/>
  <c r="AB9" i="7"/>
  <c r="Z9" i="7"/>
  <c r="BM9" i="7"/>
  <c r="Y9" i="7"/>
  <c r="X9" i="7"/>
  <c r="BE11" i="7"/>
  <c r="BD4" i="7"/>
  <c r="AB8" i="7"/>
  <c r="Z8" i="7"/>
  <c r="X8" i="7"/>
  <c r="BM8" i="7"/>
  <c r="Y8" i="7"/>
  <c r="AY10" i="7"/>
  <c r="BE10" i="7"/>
  <c r="BC10" i="7"/>
  <c r="BD10" i="7"/>
  <c r="BH11" i="7"/>
  <c r="BN11" i="7"/>
  <c r="BI11" i="7"/>
  <c r="BE4" i="7"/>
  <c r="W9" i="6"/>
  <c r="W11" i="6" s="1"/>
  <c r="AN19" i="6" s="1"/>
  <c r="J28" i="6"/>
  <c r="BL23" i="2"/>
  <c r="BL22" i="2"/>
  <c r="BL21" i="2"/>
  <c r="BL20" i="2"/>
  <c r="BL19" i="2"/>
  <c r="BL18" i="2"/>
  <c r="BL17" i="2"/>
  <c r="BL16" i="2"/>
  <c r="BL15" i="2"/>
  <c r="BL24" i="2" s="1"/>
  <c r="BL24" i="4"/>
  <c r="BL23" i="4"/>
  <c r="BL22" i="4"/>
  <c r="BL21" i="4"/>
  <c r="BL20" i="4"/>
  <c r="BL19" i="4"/>
  <c r="BL18" i="4"/>
  <c r="BL17" i="4"/>
  <c r="BL16" i="4"/>
  <c r="L28" i="6"/>
  <c r="R11" i="4"/>
  <c r="R10" i="4"/>
  <c r="R4" i="4"/>
  <c r="R3" i="5"/>
  <c r="R4" i="2"/>
  <c r="R6" i="4"/>
  <c r="R5" i="4"/>
  <c r="R5" i="5"/>
  <c r="S23" i="2"/>
  <c r="R9" i="2"/>
  <c r="R5" i="2"/>
  <c r="R3" i="4"/>
  <c r="R4" i="5"/>
  <c r="R7" i="5"/>
  <c r="R3" i="2"/>
  <c r="R6" i="5"/>
  <c r="R7" i="2"/>
  <c r="S23" i="4"/>
  <c r="R8" i="5"/>
  <c r="R7" i="4"/>
  <c r="R10" i="2"/>
  <c r="R11" i="5"/>
  <c r="R8" i="4"/>
  <c r="R11" i="2"/>
  <c r="R6" i="2"/>
  <c r="R9" i="5"/>
  <c r="R9" i="4"/>
  <c r="R10" i="5"/>
  <c r="S23" i="5"/>
  <c r="R8" i="2"/>
  <c r="BI12" i="6" l="1"/>
  <c r="BH12" i="6"/>
  <c r="BG28" i="6"/>
  <c r="BH28" i="6"/>
  <c r="BI28" i="6"/>
  <c r="BJ28" i="6"/>
  <c r="BK28" i="6"/>
  <c r="BH29" i="6"/>
  <c r="BI29" i="6"/>
  <c r="BJ29" i="6"/>
  <c r="BH13" i="6"/>
  <c r="BK29" i="6"/>
  <c r="BG29" i="6"/>
  <c r="BI3" i="9"/>
  <c r="BH3" i="9"/>
  <c r="BN3" i="9"/>
  <c r="BI10" i="9"/>
  <c r="BH10" i="9"/>
  <c r="BN10" i="9"/>
  <c r="BN11" i="9"/>
  <c r="BI11" i="9"/>
  <c r="BH11" i="9"/>
  <c r="BI11" i="8"/>
  <c r="BH11" i="8"/>
  <c r="BN11" i="8"/>
  <c r="BI4" i="8"/>
  <c r="BH4" i="8"/>
  <c r="BN4" i="8"/>
  <c r="BI3" i="8"/>
  <c r="BH3" i="8"/>
  <c r="BN3" i="8"/>
  <c r="BI10" i="8"/>
  <c r="BH10" i="8"/>
  <c r="BN10" i="8"/>
  <c r="BI9" i="7"/>
  <c r="BH9" i="7"/>
  <c r="BN9" i="7"/>
  <c r="BI10" i="7"/>
  <c r="BH10" i="7"/>
  <c r="BN10" i="7"/>
  <c r="BL25" i="4"/>
  <c r="BL16" i="5"/>
  <c r="BL17" i="5"/>
  <c r="BL18" i="5"/>
  <c r="BL19" i="5"/>
  <c r="BL20" i="5"/>
  <c r="BL21" i="5"/>
  <c r="BL22" i="5"/>
  <c r="BL14" i="5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AM19" i="6"/>
  <c r="BL23" i="5" l="1"/>
  <c r="M11" i="3"/>
  <c r="M10" i="3"/>
  <c r="M9" i="3"/>
  <c r="M8" i="3"/>
  <c r="M7" i="3"/>
  <c r="M6" i="3"/>
  <c r="M5" i="3"/>
  <c r="M4" i="3"/>
  <c r="M3" i="3"/>
  <c r="G4" i="3"/>
  <c r="G5" i="3"/>
  <c r="G6" i="3"/>
  <c r="G7" i="3"/>
  <c r="G8" i="3"/>
  <c r="G9" i="3"/>
  <c r="G10" i="3"/>
  <c r="G11" i="3"/>
  <c r="I28" i="6"/>
  <c r="K28" i="6"/>
  <c r="G13" i="6" l="1"/>
  <c r="E27" i="6"/>
  <c r="F27" i="6"/>
  <c r="G27" i="6"/>
  <c r="D27" i="6"/>
  <c r="C27" i="6"/>
  <c r="B27" i="6"/>
  <c r="G21" i="6"/>
  <c r="H21" i="6" s="1"/>
  <c r="C21" i="6"/>
  <c r="C13" i="6"/>
  <c r="G8" i="6"/>
  <c r="C8" i="6"/>
  <c r="G7" i="6"/>
  <c r="C7" i="6"/>
  <c r="G6" i="6"/>
  <c r="C6" i="6"/>
  <c r="H5" i="6"/>
  <c r="D5" i="6"/>
  <c r="C23" i="6" l="1"/>
  <c r="D23" i="6" s="1"/>
  <c r="G15" i="6"/>
  <c r="D8" i="6"/>
  <c r="H8" i="6"/>
  <c r="C28" i="6"/>
  <c r="F36" i="6"/>
  <c r="C31" i="6"/>
  <c r="C30" i="6"/>
  <c r="F34" i="6"/>
  <c r="C29" i="6"/>
  <c r="F31" i="6"/>
  <c r="C36" i="6"/>
  <c r="G14" i="6"/>
  <c r="F33" i="6"/>
  <c r="C35" i="6"/>
  <c r="F30" i="6"/>
  <c r="C34" i="6"/>
  <c r="G16" i="6"/>
  <c r="H16" i="6" s="1"/>
  <c r="F35" i="6"/>
  <c r="C33" i="6"/>
  <c r="C14" i="6"/>
  <c r="F32" i="6"/>
  <c r="C32" i="6"/>
  <c r="F28" i="6"/>
  <c r="F29" i="6"/>
  <c r="G24" i="6"/>
  <c r="H24" i="6" s="1"/>
  <c r="H6" i="6"/>
  <c r="G22" i="6"/>
  <c r="C16" i="6"/>
  <c r="D16" i="6" s="1"/>
  <c r="G23" i="6"/>
  <c r="C22" i="6"/>
  <c r="C24" i="6"/>
  <c r="D24" i="6" s="1"/>
  <c r="D7" i="6"/>
  <c r="C15" i="6"/>
  <c r="D15" i="6" s="1"/>
  <c r="H7" i="6"/>
  <c r="D13" i="6"/>
  <c r="D6" i="6"/>
  <c r="H13" i="6"/>
  <c r="D21" i="6"/>
  <c r="E34" i="6" l="1"/>
  <c r="B28" i="6"/>
  <c r="G28" i="6"/>
  <c r="E33" i="6"/>
  <c r="D30" i="6"/>
  <c r="B34" i="6"/>
  <c r="E36" i="6"/>
  <c r="G35" i="6"/>
  <c r="G31" i="6"/>
  <c r="G29" i="6"/>
  <c r="G32" i="6"/>
  <c r="B36" i="6"/>
  <c r="D35" i="6"/>
  <c r="D33" i="6"/>
  <c r="B33" i="6"/>
  <c r="D34" i="6"/>
  <c r="B31" i="6"/>
  <c r="D36" i="6"/>
  <c r="E35" i="6"/>
  <c r="B30" i="6"/>
  <c r="E31" i="6"/>
  <c r="B29" i="6"/>
  <c r="D32" i="6"/>
  <c r="H22" i="6"/>
  <c r="G33" i="6"/>
  <c r="G36" i="6"/>
  <c r="D28" i="6"/>
  <c r="E32" i="6"/>
  <c r="E28" i="6"/>
  <c r="B35" i="6"/>
  <c r="G30" i="6"/>
  <c r="E29" i="6"/>
  <c r="E30" i="6"/>
  <c r="H3" i="6"/>
  <c r="D29" i="6"/>
  <c r="G34" i="6"/>
  <c r="D31" i="6"/>
  <c r="B32" i="6"/>
  <c r="H14" i="6"/>
  <c r="D3" i="6"/>
  <c r="H15" i="6"/>
  <c r="H23" i="6"/>
  <c r="H19" i="6" s="1"/>
  <c r="D22" i="6"/>
  <c r="D19" i="6" s="1"/>
  <c r="D14" i="6"/>
  <c r="D11" i="6" s="1"/>
  <c r="H11" i="6" l="1"/>
  <c r="AV11" i="5" l="1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B11" i="5"/>
  <c r="AV10" i="5"/>
  <c r="AT10" i="5"/>
  <c r="AS10" i="5"/>
  <c r="AR10" i="5"/>
  <c r="AQ10" i="5"/>
  <c r="AP10" i="5"/>
  <c r="AO10" i="5"/>
  <c r="AN10" i="5"/>
  <c r="AM10" i="5"/>
  <c r="AL10" i="5"/>
  <c r="AK10" i="5"/>
  <c r="BA10" i="5" s="1"/>
  <c r="AJ10" i="5"/>
  <c r="AI10" i="5"/>
  <c r="AH10" i="5"/>
  <c r="AG10" i="5"/>
  <c r="AF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C10" i="5"/>
  <c r="B10" i="5"/>
  <c r="AV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Q9" i="5"/>
  <c r="P9" i="5"/>
  <c r="O9" i="5"/>
  <c r="M9" i="5"/>
  <c r="L9" i="5"/>
  <c r="K9" i="5"/>
  <c r="J9" i="5"/>
  <c r="I9" i="5"/>
  <c r="H9" i="5"/>
  <c r="G9" i="5"/>
  <c r="F9" i="5"/>
  <c r="E9" i="5"/>
  <c r="D9" i="5"/>
  <c r="C9" i="5"/>
  <c r="B9" i="5"/>
  <c r="AV8" i="5"/>
  <c r="AT8" i="5"/>
  <c r="AS8" i="5"/>
  <c r="AR8" i="5"/>
  <c r="AQ8" i="5"/>
  <c r="AP8" i="5"/>
  <c r="AO8" i="5"/>
  <c r="AN8" i="5"/>
  <c r="AM8" i="5"/>
  <c r="AL8" i="5"/>
  <c r="AK8" i="5"/>
  <c r="BA8" i="5" s="1"/>
  <c r="BJ8" i="5" s="1"/>
  <c r="AJ8" i="5"/>
  <c r="AI8" i="5"/>
  <c r="AH8" i="5"/>
  <c r="AG8" i="5"/>
  <c r="AF8" i="5"/>
  <c r="Q8" i="5"/>
  <c r="P8" i="5"/>
  <c r="O8" i="5"/>
  <c r="M8" i="5"/>
  <c r="L8" i="5"/>
  <c r="K8" i="5"/>
  <c r="J8" i="5"/>
  <c r="I8" i="5"/>
  <c r="H8" i="5"/>
  <c r="G8" i="5"/>
  <c r="F8" i="5"/>
  <c r="E8" i="5"/>
  <c r="D8" i="5"/>
  <c r="C8" i="5"/>
  <c r="B8" i="5"/>
  <c r="AV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BB7" i="5" s="1"/>
  <c r="AF7" i="5"/>
  <c r="Q7" i="5"/>
  <c r="P7" i="5"/>
  <c r="O7" i="5"/>
  <c r="M7" i="5"/>
  <c r="L7" i="5"/>
  <c r="K7" i="5"/>
  <c r="J7" i="5"/>
  <c r="I7" i="5"/>
  <c r="H7" i="5"/>
  <c r="G7" i="5"/>
  <c r="F7" i="5"/>
  <c r="E7" i="5"/>
  <c r="D7" i="5"/>
  <c r="C7" i="5"/>
  <c r="B7" i="5"/>
  <c r="AV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Q6" i="5"/>
  <c r="P6" i="5"/>
  <c r="O6" i="5"/>
  <c r="M6" i="5"/>
  <c r="L6" i="5"/>
  <c r="K6" i="5"/>
  <c r="J6" i="5"/>
  <c r="I6" i="5"/>
  <c r="H6" i="5"/>
  <c r="G6" i="5"/>
  <c r="F6" i="5"/>
  <c r="E6" i="5"/>
  <c r="D6" i="5"/>
  <c r="C6" i="5"/>
  <c r="B6" i="5"/>
  <c r="AV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Q5" i="5"/>
  <c r="P5" i="5"/>
  <c r="O5" i="5"/>
  <c r="M5" i="5"/>
  <c r="L5" i="5"/>
  <c r="K5" i="5"/>
  <c r="J5" i="5"/>
  <c r="I5" i="5"/>
  <c r="H5" i="5"/>
  <c r="G5" i="5"/>
  <c r="F5" i="5"/>
  <c r="E5" i="5"/>
  <c r="D5" i="5"/>
  <c r="C5" i="5"/>
  <c r="B5" i="5"/>
  <c r="AV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Q4" i="5"/>
  <c r="P4" i="5"/>
  <c r="O4" i="5"/>
  <c r="M4" i="5"/>
  <c r="L4" i="5"/>
  <c r="K4" i="5"/>
  <c r="J4" i="5"/>
  <c r="I4" i="5"/>
  <c r="H4" i="5"/>
  <c r="G4" i="5"/>
  <c r="F4" i="5"/>
  <c r="E4" i="5"/>
  <c r="D4" i="5"/>
  <c r="C4" i="5"/>
  <c r="B4" i="5"/>
  <c r="AV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Q3" i="5"/>
  <c r="P3" i="5"/>
  <c r="O3" i="5"/>
  <c r="M3" i="5"/>
  <c r="L3" i="5"/>
  <c r="K3" i="5"/>
  <c r="J3" i="5"/>
  <c r="I3" i="5"/>
  <c r="H3" i="5"/>
  <c r="G3" i="5"/>
  <c r="F3" i="5"/>
  <c r="E3" i="5"/>
  <c r="D3" i="5"/>
  <c r="C3" i="5"/>
  <c r="B3" i="5"/>
  <c r="W3" i="5" s="1"/>
  <c r="R14" i="5"/>
  <c r="AV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B11" i="4"/>
  <c r="AV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Q10" i="4"/>
  <c r="P10" i="4"/>
  <c r="O10" i="4"/>
  <c r="M10" i="4"/>
  <c r="L10" i="4"/>
  <c r="K10" i="4"/>
  <c r="J10" i="4"/>
  <c r="I10" i="4"/>
  <c r="H10" i="4"/>
  <c r="G10" i="4"/>
  <c r="F10" i="4"/>
  <c r="E10" i="4"/>
  <c r="D10" i="4"/>
  <c r="C10" i="4"/>
  <c r="B10" i="4"/>
  <c r="AV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Q9" i="4"/>
  <c r="P9" i="4"/>
  <c r="O9" i="4"/>
  <c r="M9" i="4"/>
  <c r="L9" i="4"/>
  <c r="K9" i="4"/>
  <c r="J9" i="4"/>
  <c r="I9" i="4"/>
  <c r="H9" i="4"/>
  <c r="G9" i="4"/>
  <c r="F9" i="4"/>
  <c r="E9" i="4"/>
  <c r="D9" i="4"/>
  <c r="C9" i="4"/>
  <c r="B9" i="4"/>
  <c r="AV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Q8" i="4"/>
  <c r="P8" i="4"/>
  <c r="O8" i="4"/>
  <c r="M8" i="4"/>
  <c r="L8" i="4"/>
  <c r="K8" i="4"/>
  <c r="J8" i="4"/>
  <c r="I8" i="4"/>
  <c r="H8" i="4"/>
  <c r="G8" i="4"/>
  <c r="F8" i="4"/>
  <c r="E8" i="4"/>
  <c r="D8" i="4"/>
  <c r="C8" i="4"/>
  <c r="B8" i="4"/>
  <c r="AV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Q7" i="4"/>
  <c r="P7" i="4"/>
  <c r="O7" i="4"/>
  <c r="M7" i="4"/>
  <c r="L7" i="4"/>
  <c r="K7" i="4"/>
  <c r="J7" i="4"/>
  <c r="I7" i="4"/>
  <c r="H7" i="4"/>
  <c r="G7" i="4"/>
  <c r="F7" i="4"/>
  <c r="E7" i="4"/>
  <c r="D7" i="4"/>
  <c r="C7" i="4"/>
  <c r="B7" i="4"/>
  <c r="AV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Q6" i="4"/>
  <c r="P6" i="4"/>
  <c r="O6" i="4"/>
  <c r="M6" i="4"/>
  <c r="L6" i="4"/>
  <c r="K6" i="4"/>
  <c r="J6" i="4"/>
  <c r="I6" i="4"/>
  <c r="H6" i="4"/>
  <c r="G6" i="4"/>
  <c r="F6" i="4"/>
  <c r="E6" i="4"/>
  <c r="D6" i="4"/>
  <c r="C6" i="4"/>
  <c r="B6" i="4"/>
  <c r="AV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Q5" i="4"/>
  <c r="P5" i="4"/>
  <c r="O5" i="4"/>
  <c r="M5" i="4"/>
  <c r="L5" i="4"/>
  <c r="K5" i="4"/>
  <c r="J5" i="4"/>
  <c r="I5" i="4"/>
  <c r="H5" i="4"/>
  <c r="G5" i="4"/>
  <c r="F5" i="4"/>
  <c r="E5" i="4"/>
  <c r="D5" i="4"/>
  <c r="C5" i="4"/>
  <c r="B5" i="4"/>
  <c r="AV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Q4" i="4"/>
  <c r="P4" i="4"/>
  <c r="O4" i="4"/>
  <c r="M4" i="4"/>
  <c r="L4" i="4"/>
  <c r="K4" i="4"/>
  <c r="J4" i="4"/>
  <c r="I4" i="4"/>
  <c r="H4" i="4"/>
  <c r="G4" i="4"/>
  <c r="F4" i="4"/>
  <c r="E4" i="4"/>
  <c r="D4" i="4"/>
  <c r="C4" i="4"/>
  <c r="B4" i="4"/>
  <c r="AV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Q3" i="4"/>
  <c r="S3" i="4" s="1"/>
  <c r="P3" i="4"/>
  <c r="O3" i="4"/>
  <c r="M3" i="4"/>
  <c r="L3" i="4"/>
  <c r="K3" i="4"/>
  <c r="J3" i="4"/>
  <c r="I3" i="4"/>
  <c r="H3" i="4"/>
  <c r="G3" i="4"/>
  <c r="F3" i="4"/>
  <c r="E3" i="4"/>
  <c r="D3" i="4"/>
  <c r="C3" i="4"/>
  <c r="B3" i="4"/>
  <c r="R14" i="4"/>
  <c r="W5" i="4"/>
  <c r="J4" i="3"/>
  <c r="J5" i="3"/>
  <c r="J6" i="3"/>
  <c r="J7" i="3"/>
  <c r="J8" i="3"/>
  <c r="J9" i="3"/>
  <c r="J10" i="3"/>
  <c r="J11" i="3"/>
  <c r="J3" i="3"/>
  <c r="D4" i="3"/>
  <c r="D5" i="3"/>
  <c r="D6" i="3"/>
  <c r="D7" i="3"/>
  <c r="D8" i="3"/>
  <c r="D9" i="3"/>
  <c r="D10" i="3"/>
  <c r="D11" i="3"/>
  <c r="D3" i="3"/>
  <c r="AX3" i="5" l="1"/>
  <c r="BA3" i="4"/>
  <c r="BA11" i="4"/>
  <c r="BB6" i="4"/>
  <c r="AX7" i="4"/>
  <c r="AX4" i="4"/>
  <c r="BA6" i="4"/>
  <c r="BJ6" i="4" s="1"/>
  <c r="BK6" i="4" s="1"/>
  <c r="T31" i="6" s="1"/>
  <c r="BA6" i="5"/>
  <c r="BJ6" i="5" s="1"/>
  <c r="BB9" i="4"/>
  <c r="N10" i="4"/>
  <c r="U10" i="4" s="1"/>
  <c r="BA5" i="5"/>
  <c r="BJ5" i="5" s="1"/>
  <c r="W4" i="5"/>
  <c r="BJ3" i="4"/>
  <c r="BK3" i="4" s="1"/>
  <c r="T28" i="6" s="1"/>
  <c r="BJ11" i="4"/>
  <c r="BK11" i="4" s="1"/>
  <c r="T36" i="6" s="1"/>
  <c r="O3" i="3"/>
  <c r="BA10" i="4"/>
  <c r="BJ10" i="4" s="1"/>
  <c r="BJ10" i="5"/>
  <c r="BA9" i="4"/>
  <c r="BJ9" i="4" s="1"/>
  <c r="BB5" i="5"/>
  <c r="BA9" i="5"/>
  <c r="BJ9" i="5" s="1"/>
  <c r="BK9" i="5" s="1"/>
  <c r="P34" i="6" s="1"/>
  <c r="O10" i="3"/>
  <c r="BA8" i="4"/>
  <c r="BJ8" i="4" s="1"/>
  <c r="O9" i="3"/>
  <c r="BA7" i="4"/>
  <c r="BJ7" i="4" s="1"/>
  <c r="BA7" i="5"/>
  <c r="BJ7" i="5" s="1"/>
  <c r="BK7" i="5" s="1"/>
  <c r="P32" i="6" s="1"/>
  <c r="O8" i="3"/>
  <c r="O7" i="3"/>
  <c r="AW5" i="4"/>
  <c r="AY5" i="4" s="1"/>
  <c r="S30" i="6" s="1"/>
  <c r="BA5" i="4"/>
  <c r="BJ5" i="4" s="1"/>
  <c r="BK5" i="4" s="1"/>
  <c r="T30" i="6" s="1"/>
  <c r="O6" i="3"/>
  <c r="BA4" i="4"/>
  <c r="BJ4" i="4" s="1"/>
  <c r="BK4" i="4" s="1"/>
  <c r="T29" i="6" s="1"/>
  <c r="BA4" i="5"/>
  <c r="BJ4" i="5" s="1"/>
  <c r="O5" i="3"/>
  <c r="BA3" i="5"/>
  <c r="BJ3" i="5" s="1"/>
  <c r="AW3" i="5"/>
  <c r="AY3" i="5" s="1"/>
  <c r="BA11" i="5"/>
  <c r="BJ11" i="5" s="1"/>
  <c r="O4" i="3"/>
  <c r="O11" i="3"/>
  <c r="AU5" i="5"/>
  <c r="AZ5" i="5" s="1"/>
  <c r="BB10" i="5"/>
  <c r="BB4" i="4"/>
  <c r="AX9" i="5"/>
  <c r="AX5" i="4"/>
  <c r="AU11" i="5"/>
  <c r="AZ11" i="5" s="1"/>
  <c r="AX8" i="5"/>
  <c r="AX5" i="5"/>
  <c r="BF5" i="5" s="1"/>
  <c r="AU9" i="4"/>
  <c r="AZ9" i="4" s="1"/>
  <c r="AX7" i="5"/>
  <c r="BG7" i="5" s="1"/>
  <c r="AX6" i="4"/>
  <c r="W3" i="4"/>
  <c r="V3" i="4"/>
  <c r="N3" i="5"/>
  <c r="U3" i="5" s="1"/>
  <c r="S4" i="5"/>
  <c r="V10" i="4"/>
  <c r="AX10" i="4"/>
  <c r="AX6" i="5"/>
  <c r="AU9" i="5"/>
  <c r="AZ9" i="5" s="1"/>
  <c r="V3" i="5"/>
  <c r="AD5" i="4"/>
  <c r="AE5" i="4" s="1"/>
  <c r="R30" i="6" s="1"/>
  <c r="W9" i="4"/>
  <c r="N4" i="4"/>
  <c r="U4" i="4" s="1"/>
  <c r="BK7" i="4"/>
  <c r="T32" i="6" s="1"/>
  <c r="AU6" i="4"/>
  <c r="AZ6" i="4" s="1"/>
  <c r="AX3" i="4"/>
  <c r="AU5" i="4"/>
  <c r="AZ5" i="4" s="1"/>
  <c r="V11" i="4"/>
  <c r="N5" i="4"/>
  <c r="AU7" i="4"/>
  <c r="AZ7" i="4" s="1"/>
  <c r="AX11" i="4"/>
  <c r="BB3" i="4"/>
  <c r="BB11" i="4"/>
  <c r="AD4" i="4"/>
  <c r="AE4" i="4" s="1"/>
  <c r="R29" i="6" s="1"/>
  <c r="W8" i="4"/>
  <c r="V9" i="4"/>
  <c r="W6" i="4"/>
  <c r="V7" i="4"/>
  <c r="AX4" i="5"/>
  <c r="AD7" i="5"/>
  <c r="AE7" i="5" s="1"/>
  <c r="N32" i="6" s="1"/>
  <c r="W10" i="5"/>
  <c r="V11" i="5"/>
  <c r="V10" i="5"/>
  <c r="AX10" i="5"/>
  <c r="BK8" i="5"/>
  <c r="P33" i="6" s="1"/>
  <c r="AD3" i="4"/>
  <c r="AE3" i="4" s="1"/>
  <c r="R28" i="6" s="1"/>
  <c r="AU3" i="4"/>
  <c r="AZ3" i="4" s="1"/>
  <c r="AU4" i="4"/>
  <c r="AZ4" i="4" s="1"/>
  <c r="AW6" i="4"/>
  <c r="W7" i="4"/>
  <c r="BB7" i="4"/>
  <c r="V8" i="4"/>
  <c r="N8" i="4"/>
  <c r="U8" i="4" s="1"/>
  <c r="BB8" i="4"/>
  <c r="AX8" i="4"/>
  <c r="BG8" i="4" s="1"/>
  <c r="AX9" i="4"/>
  <c r="BF9" i="4" s="1"/>
  <c r="AU10" i="4"/>
  <c r="AZ10" i="4" s="1"/>
  <c r="BL10" i="4" s="1"/>
  <c r="AD11" i="4"/>
  <c r="AE11" i="4" s="1"/>
  <c r="R36" i="6" s="1"/>
  <c r="AU11" i="4"/>
  <c r="AZ11" i="4" s="1"/>
  <c r="AD10" i="4"/>
  <c r="AE10" i="4" s="1"/>
  <c r="R35" i="6" s="1"/>
  <c r="V6" i="4"/>
  <c r="AD9" i="4"/>
  <c r="AE9" i="4" s="1"/>
  <c r="R34" i="6" s="1"/>
  <c r="W4" i="4"/>
  <c r="V5" i="4"/>
  <c r="AD8" i="4"/>
  <c r="AE8" i="4" s="1"/>
  <c r="R33" i="6" s="1"/>
  <c r="AU8" i="4"/>
  <c r="AZ8" i="4" s="1"/>
  <c r="T10" i="4"/>
  <c r="V4" i="4"/>
  <c r="AD7" i="4"/>
  <c r="AE7" i="4" s="1"/>
  <c r="R32" i="6" s="1"/>
  <c r="W11" i="4"/>
  <c r="AD6" i="4"/>
  <c r="AE6" i="4" s="1"/>
  <c r="R31" i="6" s="1"/>
  <c r="W10" i="4"/>
  <c r="W8" i="5"/>
  <c r="T6" i="5"/>
  <c r="M31" i="6" s="1"/>
  <c r="AD6" i="5"/>
  <c r="AE6" i="5" s="1"/>
  <c r="N31" i="6" s="1"/>
  <c r="AU7" i="5"/>
  <c r="AZ7" i="5" s="1"/>
  <c r="T8" i="5"/>
  <c r="M33" i="6" s="1"/>
  <c r="AD5" i="5"/>
  <c r="AE5" i="5" s="1"/>
  <c r="N30" i="6" s="1"/>
  <c r="W9" i="5"/>
  <c r="BB9" i="5"/>
  <c r="BG9" i="5" s="1"/>
  <c r="BK10" i="5"/>
  <c r="P35" i="6" s="1"/>
  <c r="AD4" i="5"/>
  <c r="AE4" i="5" s="1"/>
  <c r="N29" i="6" s="1"/>
  <c r="AD3" i="5"/>
  <c r="AE3" i="5" s="1"/>
  <c r="N28" i="6" s="1"/>
  <c r="AU3" i="5"/>
  <c r="AZ3" i="5" s="1"/>
  <c r="AU4" i="5"/>
  <c r="AZ4" i="5" s="1"/>
  <c r="W7" i="5"/>
  <c r="V8" i="5"/>
  <c r="T11" i="5"/>
  <c r="M36" i="6" s="1"/>
  <c r="AD11" i="5"/>
  <c r="AE11" i="5" s="1"/>
  <c r="N36" i="6" s="1"/>
  <c r="AD10" i="5"/>
  <c r="AE10" i="5" s="1"/>
  <c r="N35" i="6" s="1"/>
  <c r="N4" i="5"/>
  <c r="U4" i="5" s="1"/>
  <c r="W5" i="5"/>
  <c r="T5" i="5"/>
  <c r="M30" i="6" s="1"/>
  <c r="N6" i="5"/>
  <c r="AU8" i="5"/>
  <c r="AZ8" i="5" s="1"/>
  <c r="AD9" i="5"/>
  <c r="AE9" i="5" s="1"/>
  <c r="N34" i="6" s="1"/>
  <c r="AU6" i="5"/>
  <c r="AZ6" i="5" s="1"/>
  <c r="BB4" i="5"/>
  <c r="AD8" i="5"/>
  <c r="AE8" i="5" s="1"/>
  <c r="N33" i="6" s="1"/>
  <c r="V9" i="5"/>
  <c r="W6" i="5"/>
  <c r="W11" i="5"/>
  <c r="V7" i="5"/>
  <c r="V6" i="5"/>
  <c r="T9" i="5"/>
  <c r="M34" i="6" s="1"/>
  <c r="AU10" i="5"/>
  <c r="AZ10" i="5" s="1"/>
  <c r="V5" i="5"/>
  <c r="V4" i="5"/>
  <c r="T3" i="5"/>
  <c r="M28" i="6" s="1"/>
  <c r="AW3" i="4"/>
  <c r="T4" i="4"/>
  <c r="U5" i="4"/>
  <c r="T9" i="4"/>
  <c r="Q34" i="6" s="1"/>
  <c r="AW11" i="4"/>
  <c r="BC11" i="4" s="1"/>
  <c r="BK3" i="5"/>
  <c r="P28" i="6" s="1"/>
  <c r="BK4" i="5"/>
  <c r="P29" i="6" s="1"/>
  <c r="BK6" i="5"/>
  <c r="P31" i="6" s="1"/>
  <c r="T7" i="5"/>
  <c r="BM7" i="5" s="1"/>
  <c r="AW7" i="5"/>
  <c r="T10" i="5"/>
  <c r="M35" i="6" s="1"/>
  <c r="AW10" i="5"/>
  <c r="N11" i="5"/>
  <c r="U11" i="5" s="1"/>
  <c r="AX11" i="5"/>
  <c r="BK10" i="4"/>
  <c r="T35" i="6" s="1"/>
  <c r="N3" i="4"/>
  <c r="U3" i="4" s="1"/>
  <c r="N11" i="4"/>
  <c r="U11" i="4" s="1"/>
  <c r="BL11" i="4" s="1"/>
  <c r="N8" i="5"/>
  <c r="U8" i="5" s="1"/>
  <c r="AW7" i="4"/>
  <c r="N9" i="4"/>
  <c r="U9" i="4" s="1"/>
  <c r="BB6" i="5"/>
  <c r="BF6" i="5" s="1"/>
  <c r="N7" i="5"/>
  <c r="U7" i="5" s="1"/>
  <c r="T6" i="4"/>
  <c r="Q31" i="6" s="1"/>
  <c r="N7" i="4"/>
  <c r="U7" i="4" s="1"/>
  <c r="N5" i="5"/>
  <c r="U5" i="5" s="1"/>
  <c r="AW4" i="4"/>
  <c r="T5" i="4"/>
  <c r="Q30" i="6" s="1"/>
  <c r="BB5" i="4"/>
  <c r="BG5" i="4" s="1"/>
  <c r="N6" i="4"/>
  <c r="U6" i="4" s="1"/>
  <c r="BB3" i="5"/>
  <c r="BB11" i="5"/>
  <c r="BF11" i="5" s="1"/>
  <c r="AW11" i="5"/>
  <c r="AY11" i="5" s="1"/>
  <c r="O36" i="6" s="1"/>
  <c r="T3" i="4"/>
  <c r="Q28" i="6" s="1"/>
  <c r="AW10" i="4"/>
  <c r="BC10" i="4" s="1"/>
  <c r="T11" i="4"/>
  <c r="Q36" i="6" s="1"/>
  <c r="N10" i="5"/>
  <c r="U10" i="5" s="1"/>
  <c r="AW9" i="4"/>
  <c r="BB8" i="5"/>
  <c r="AW8" i="5"/>
  <c r="N9" i="5"/>
  <c r="U9" i="5" s="1"/>
  <c r="AC9" i="5" s="1"/>
  <c r="BK8" i="4"/>
  <c r="T33" i="6" s="1"/>
  <c r="AW8" i="4"/>
  <c r="T8" i="4"/>
  <c r="Q33" i="6" s="1"/>
  <c r="AW4" i="5"/>
  <c r="AW6" i="5"/>
  <c r="T7" i="4"/>
  <c r="Q32" i="6" s="1"/>
  <c r="O28" i="6"/>
  <c r="T4" i="5"/>
  <c r="AW5" i="5"/>
  <c r="S3" i="5"/>
  <c r="S11" i="5"/>
  <c r="S8" i="5"/>
  <c r="S5" i="5"/>
  <c r="S10" i="5"/>
  <c r="S6" i="5"/>
  <c r="S7" i="5"/>
  <c r="S9" i="5"/>
  <c r="BG5" i="5"/>
  <c r="BM6" i="5"/>
  <c r="BF3" i="5"/>
  <c r="BG3" i="5"/>
  <c r="AW9" i="5"/>
  <c r="BK9" i="4"/>
  <c r="T34" i="6" s="1"/>
  <c r="S6" i="4"/>
  <c r="S8" i="4"/>
  <c r="S5" i="4"/>
  <c r="S10" i="4"/>
  <c r="S11" i="4"/>
  <c r="S7" i="4"/>
  <c r="S4" i="4"/>
  <c r="S9" i="4"/>
  <c r="BG7" i="4"/>
  <c r="BF7" i="4"/>
  <c r="BG3" i="4"/>
  <c r="BG6" i="4"/>
  <c r="BF6" i="4"/>
  <c r="BB10" i="4"/>
  <c r="R14" i="2"/>
  <c r="B3" i="2"/>
  <c r="B4" i="2"/>
  <c r="B5" i="2"/>
  <c r="B6" i="2"/>
  <c r="B7" i="2"/>
  <c r="B8" i="2"/>
  <c r="B9" i="2"/>
  <c r="B10" i="2"/>
  <c r="B11" i="2"/>
  <c r="AV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AV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Q4" i="2"/>
  <c r="P4" i="2"/>
  <c r="O4" i="2"/>
  <c r="M4" i="2"/>
  <c r="L4" i="2"/>
  <c r="K4" i="2"/>
  <c r="J4" i="2"/>
  <c r="I4" i="2"/>
  <c r="H4" i="2"/>
  <c r="G4" i="2"/>
  <c r="F4" i="2"/>
  <c r="E4" i="2"/>
  <c r="D4" i="2"/>
  <c r="C4" i="2"/>
  <c r="AV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Q5" i="2"/>
  <c r="P5" i="2"/>
  <c r="O5" i="2"/>
  <c r="M5" i="2"/>
  <c r="L5" i="2"/>
  <c r="K5" i="2"/>
  <c r="J5" i="2"/>
  <c r="I5" i="2"/>
  <c r="H5" i="2"/>
  <c r="G5" i="2"/>
  <c r="F5" i="2"/>
  <c r="E5" i="2"/>
  <c r="D5" i="2"/>
  <c r="C5" i="2"/>
  <c r="AV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Q6" i="2"/>
  <c r="P6" i="2"/>
  <c r="O6" i="2"/>
  <c r="M6" i="2"/>
  <c r="L6" i="2"/>
  <c r="K6" i="2"/>
  <c r="J6" i="2"/>
  <c r="I6" i="2"/>
  <c r="H6" i="2"/>
  <c r="G6" i="2"/>
  <c r="F6" i="2"/>
  <c r="E6" i="2"/>
  <c r="D6" i="2"/>
  <c r="C6" i="2"/>
  <c r="AV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V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V8" i="2" s="1"/>
  <c r="AV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V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AV11" i="2"/>
  <c r="O11" i="2"/>
  <c r="P11" i="2"/>
  <c r="AT11" i="2"/>
  <c r="AS11" i="2"/>
  <c r="AR11" i="2"/>
  <c r="AJ11" i="2"/>
  <c r="AQ11" i="2"/>
  <c r="AP11" i="2"/>
  <c r="AO11" i="2"/>
  <c r="AN11" i="2"/>
  <c r="AM11" i="2"/>
  <c r="AL11" i="2"/>
  <c r="AK11" i="2"/>
  <c r="AI11" i="2"/>
  <c r="AH11" i="2"/>
  <c r="AG11" i="2"/>
  <c r="AF11" i="2"/>
  <c r="M11" i="2"/>
  <c r="L11" i="2"/>
  <c r="K11" i="2"/>
  <c r="E11" i="2"/>
  <c r="J11" i="2"/>
  <c r="I11" i="2"/>
  <c r="H11" i="2"/>
  <c r="G11" i="2"/>
  <c r="F11" i="2"/>
  <c r="D11" i="2"/>
  <c r="Q11" i="2"/>
  <c r="C11" i="2"/>
  <c r="BF3" i="4" l="1"/>
  <c r="BG8" i="5"/>
  <c r="BL6" i="4"/>
  <c r="BG4" i="4"/>
  <c r="BM8" i="5"/>
  <c r="Y5" i="5"/>
  <c r="BL4" i="5"/>
  <c r="BM3" i="5"/>
  <c r="BD4" i="5"/>
  <c r="AA6" i="4"/>
  <c r="BA11" i="2"/>
  <c r="BJ11" i="2" s="1"/>
  <c r="BK11" i="2" s="1"/>
  <c r="X36" i="6" s="1"/>
  <c r="AC8" i="5"/>
  <c r="AY6" i="4"/>
  <c r="S31" i="6" s="1"/>
  <c r="AT31" i="6" s="1"/>
  <c r="BA10" i="2"/>
  <c r="BJ10" i="2" s="1"/>
  <c r="BK10" i="2" s="1"/>
  <c r="X35" i="6" s="1"/>
  <c r="BM8" i="4"/>
  <c r="BC11" i="5"/>
  <c r="BA7" i="2"/>
  <c r="BJ7" i="2" s="1"/>
  <c r="BD10" i="4"/>
  <c r="AY10" i="4"/>
  <c r="S35" i="6" s="1"/>
  <c r="O12" i="3"/>
  <c r="BA8" i="2"/>
  <c r="BJ8" i="2" s="1"/>
  <c r="BK8" i="2" s="1"/>
  <c r="X33" i="6" s="1"/>
  <c r="BF8" i="5"/>
  <c r="BL4" i="4"/>
  <c r="X9" i="4"/>
  <c r="BD6" i="5"/>
  <c r="BA5" i="2"/>
  <c r="BJ5" i="2" s="1"/>
  <c r="BK5" i="2" s="1"/>
  <c r="X30" i="6" s="1"/>
  <c r="X3" i="5"/>
  <c r="AA8" i="5"/>
  <c r="AO28" i="6"/>
  <c r="AM28" i="6"/>
  <c r="BA3" i="2"/>
  <c r="BJ3" i="2" s="1"/>
  <c r="BK3" i="2" s="1"/>
  <c r="X28" i="6" s="1"/>
  <c r="AW3" i="2"/>
  <c r="AA3" i="4"/>
  <c r="Y3" i="4"/>
  <c r="BL10" i="5"/>
  <c r="BA4" i="2"/>
  <c r="BJ4" i="2" s="1"/>
  <c r="M29" i="6"/>
  <c r="Y4" i="5"/>
  <c r="AC7" i="4"/>
  <c r="BC3" i="5"/>
  <c r="BD3" i="5"/>
  <c r="M32" i="6"/>
  <c r="Z7" i="5"/>
  <c r="BL5" i="4"/>
  <c r="BA9" i="2"/>
  <c r="BJ9" i="2" s="1"/>
  <c r="AC4" i="4"/>
  <c r="Q29" i="6"/>
  <c r="BL9" i="4"/>
  <c r="BA6" i="2"/>
  <c r="BJ6" i="2" s="1"/>
  <c r="BL7" i="5"/>
  <c r="BF11" i="4"/>
  <c r="AB10" i="4"/>
  <c r="Q35" i="6"/>
  <c r="AS30" i="6"/>
  <c r="AU30" i="6"/>
  <c r="AR30" i="6"/>
  <c r="AV30" i="6"/>
  <c r="AT30" i="6"/>
  <c r="BG11" i="5"/>
  <c r="BE5" i="5"/>
  <c r="BF10" i="5"/>
  <c r="AC11" i="5"/>
  <c r="AB7" i="5"/>
  <c r="BF4" i="5"/>
  <c r="AQ28" i="6"/>
  <c r="AP28" i="6"/>
  <c r="AN28" i="6"/>
  <c r="BG9" i="4"/>
  <c r="BC4" i="4"/>
  <c r="AC5" i="5"/>
  <c r="BG10" i="5"/>
  <c r="AY10" i="5"/>
  <c r="O35" i="6" s="1"/>
  <c r="AM35" i="6" s="1"/>
  <c r="BF9" i="5"/>
  <c r="X7" i="5"/>
  <c r="AA9" i="5"/>
  <c r="BL11" i="5"/>
  <c r="BD5" i="4"/>
  <c r="BM10" i="4"/>
  <c r="AB5" i="5"/>
  <c r="AY4" i="5"/>
  <c r="O29" i="6" s="1"/>
  <c r="BE7" i="5"/>
  <c r="BG6" i="5"/>
  <c r="AY3" i="4"/>
  <c r="S28" i="6" s="1"/>
  <c r="AR28" i="6" s="1"/>
  <c r="BM3" i="4"/>
  <c r="BM5" i="4"/>
  <c r="BD7" i="5"/>
  <c r="BM5" i="5"/>
  <c r="AA7" i="5"/>
  <c r="BC6" i="4"/>
  <c r="BF4" i="4"/>
  <c r="AC10" i="4"/>
  <c r="BF7" i="5"/>
  <c r="BC10" i="5"/>
  <c r="BE4" i="5"/>
  <c r="BG4" i="5"/>
  <c r="AA5" i="5"/>
  <c r="BC5" i="4"/>
  <c r="AB11" i="5"/>
  <c r="BD7" i="4"/>
  <c r="BE3" i="5"/>
  <c r="AY7" i="5"/>
  <c r="O32" i="6" s="1"/>
  <c r="BF5" i="4"/>
  <c r="AA9" i="4"/>
  <c r="BC7" i="5"/>
  <c r="BE8" i="5"/>
  <c r="BB3" i="2"/>
  <c r="Y4" i="4"/>
  <c r="AY5" i="5"/>
  <c r="O30" i="6" s="1"/>
  <c r="AC9" i="4"/>
  <c r="AB4" i="5"/>
  <c r="X10" i="4"/>
  <c r="BM6" i="4"/>
  <c r="BD8" i="5"/>
  <c r="BM4" i="4"/>
  <c r="AY6" i="5"/>
  <c r="O31" i="6" s="1"/>
  <c r="AQ31" i="6" s="1"/>
  <c r="AC7" i="5"/>
  <c r="BG11" i="4"/>
  <c r="AA3" i="5"/>
  <c r="BE10" i="4"/>
  <c r="AY8" i="5"/>
  <c r="O33" i="6" s="1"/>
  <c r="AQ33" i="6" s="1"/>
  <c r="BC4" i="5"/>
  <c r="AA11" i="5"/>
  <c r="BG10" i="4"/>
  <c r="BC5" i="5"/>
  <c r="BC8" i="5"/>
  <c r="Y3" i="5"/>
  <c r="BE8" i="4"/>
  <c r="AB4" i="4"/>
  <c r="BM11" i="5"/>
  <c r="AD10" i="2"/>
  <c r="AE10" i="2" s="1"/>
  <c r="V35" i="6" s="1"/>
  <c r="AD6" i="2"/>
  <c r="AE6" i="2" s="1"/>
  <c r="V31" i="6" s="1"/>
  <c r="AY4" i="4"/>
  <c r="S29" i="6" s="1"/>
  <c r="X4" i="4"/>
  <c r="AA5" i="4"/>
  <c r="X11" i="5"/>
  <c r="BL3" i="5"/>
  <c r="BM9" i="4"/>
  <c r="Z10" i="4"/>
  <c r="AB9" i="4"/>
  <c r="BM9" i="5"/>
  <c r="AA10" i="5"/>
  <c r="BE11" i="5"/>
  <c r="BK11" i="5"/>
  <c r="P36" i="6" s="1"/>
  <c r="AM36" i="6" s="1"/>
  <c r="BD10" i="5"/>
  <c r="BC6" i="5"/>
  <c r="BE6" i="5"/>
  <c r="Y6" i="5"/>
  <c r="X6" i="5"/>
  <c r="BD5" i="5"/>
  <c r="BK5" i="5"/>
  <c r="P30" i="6" s="1"/>
  <c r="AC3" i="5"/>
  <c r="BE10" i="5"/>
  <c r="Z9" i="4"/>
  <c r="AB7" i="4"/>
  <c r="Y7" i="4"/>
  <c r="AA11" i="4"/>
  <c r="AA4" i="4"/>
  <c r="BC7" i="4"/>
  <c r="BE9" i="4"/>
  <c r="AB3" i="4"/>
  <c r="BL7" i="4"/>
  <c r="BE7" i="4"/>
  <c r="BM7" i="4"/>
  <c r="BF8" i="4"/>
  <c r="AY7" i="4"/>
  <c r="S32" i="6" s="1"/>
  <c r="AS32" i="6" s="1"/>
  <c r="X7" i="4"/>
  <c r="BC3" i="4"/>
  <c r="BL5" i="5"/>
  <c r="X9" i="5"/>
  <c r="BL9" i="5"/>
  <c r="AB3" i="5"/>
  <c r="U6" i="5"/>
  <c r="X5" i="5"/>
  <c r="AB10" i="5"/>
  <c r="Y9" i="5"/>
  <c r="BM10" i="5"/>
  <c r="AC10" i="5"/>
  <c r="AB9" i="5"/>
  <c r="Z5" i="5"/>
  <c r="Y9" i="4"/>
  <c r="BL3" i="4"/>
  <c r="BE5" i="4"/>
  <c r="BE4" i="4"/>
  <c r="BE6" i="4"/>
  <c r="AB6" i="4"/>
  <c r="BE3" i="4"/>
  <c r="AY9" i="4"/>
  <c r="S34" i="6" s="1"/>
  <c r="AV34" i="6" s="1"/>
  <c r="AD11" i="2"/>
  <c r="AE11" i="2" s="1"/>
  <c r="V36" i="6" s="1"/>
  <c r="AD7" i="2"/>
  <c r="AE7" i="2" s="1"/>
  <c r="V32" i="6" s="1"/>
  <c r="AD3" i="2"/>
  <c r="AE3" i="2" s="1"/>
  <c r="V28" i="6" s="1"/>
  <c r="AD8" i="2"/>
  <c r="AE8" i="2" s="1"/>
  <c r="V33" i="6" s="1"/>
  <c r="AD4" i="2"/>
  <c r="AE4" i="2" s="1"/>
  <c r="V29" i="6" s="1"/>
  <c r="AD9" i="2"/>
  <c r="AE9" i="2" s="1"/>
  <c r="V34" i="6" s="1"/>
  <c r="AD5" i="2"/>
  <c r="AE5" i="2" s="1"/>
  <c r="V30" i="6" s="1"/>
  <c r="BD4" i="4"/>
  <c r="AC3" i="4"/>
  <c r="AC8" i="4"/>
  <c r="BC9" i="4"/>
  <c r="BD9" i="4"/>
  <c r="X3" i="4"/>
  <c r="AC4" i="5"/>
  <c r="Y11" i="5"/>
  <c r="Z11" i="5"/>
  <c r="X8" i="4"/>
  <c r="AB8" i="5"/>
  <c r="AA10" i="4"/>
  <c r="AY11" i="4"/>
  <c r="BE11" i="4"/>
  <c r="Y10" i="4"/>
  <c r="Z8" i="4"/>
  <c r="AB8" i="4"/>
  <c r="X11" i="4"/>
  <c r="Z5" i="4"/>
  <c r="Z4" i="4"/>
  <c r="BL8" i="5"/>
  <c r="Y7" i="5"/>
  <c r="Z10" i="5"/>
  <c r="X6" i="4"/>
  <c r="Y8" i="5"/>
  <c r="AC6" i="4"/>
  <c r="BM4" i="5"/>
  <c r="Z8" i="5"/>
  <c r="Z6" i="4"/>
  <c r="Y6" i="4"/>
  <c r="X4" i="5"/>
  <c r="X8" i="5"/>
  <c r="X10" i="5"/>
  <c r="AA6" i="5"/>
  <c r="Z6" i="5"/>
  <c r="AC11" i="4"/>
  <c r="Z7" i="4"/>
  <c r="AB5" i="4"/>
  <c r="AY8" i="4"/>
  <c r="S33" i="6" s="1"/>
  <c r="AU33" i="6" s="1"/>
  <c r="AA7" i="4"/>
  <c r="X5" i="4"/>
  <c r="AC5" i="4"/>
  <c r="BC8" i="4"/>
  <c r="Y11" i="4"/>
  <c r="BB5" i="2"/>
  <c r="BD8" i="4"/>
  <c r="Z11" i="4"/>
  <c r="BL8" i="4"/>
  <c r="AB11" i="4"/>
  <c r="BM11" i="4"/>
  <c r="Y5" i="4"/>
  <c r="Z9" i="5"/>
  <c r="Z3" i="5"/>
  <c r="BN10" i="5"/>
  <c r="BD11" i="5"/>
  <c r="AA4" i="5"/>
  <c r="Z4" i="5"/>
  <c r="BN3" i="5"/>
  <c r="BI3" i="5"/>
  <c r="BH3" i="5"/>
  <c r="Y10" i="5"/>
  <c r="AY9" i="5"/>
  <c r="O34" i="6" s="1"/>
  <c r="AN34" i="6" s="1"/>
  <c r="BE9" i="5"/>
  <c r="BD9" i="5"/>
  <c r="BC9" i="5"/>
  <c r="BN11" i="5"/>
  <c r="BI11" i="5"/>
  <c r="BH11" i="5"/>
  <c r="AA8" i="4"/>
  <c r="Y8" i="4"/>
  <c r="BD11" i="4"/>
  <c r="BF10" i="4"/>
  <c r="BN5" i="4"/>
  <c r="BI5" i="4"/>
  <c r="BH5" i="4"/>
  <c r="Z3" i="4"/>
  <c r="BD6" i="4"/>
  <c r="BD3" i="4"/>
  <c r="BN6" i="4"/>
  <c r="BI6" i="4"/>
  <c r="BH6" i="4"/>
  <c r="BB9" i="2"/>
  <c r="W8" i="2"/>
  <c r="BB7" i="2"/>
  <c r="BK4" i="2"/>
  <c r="X29" i="6" s="1"/>
  <c r="BB8" i="2"/>
  <c r="BB4" i="2"/>
  <c r="BB11" i="2"/>
  <c r="BB10" i="2"/>
  <c r="BB6" i="2"/>
  <c r="BK9" i="2"/>
  <c r="X34" i="6" s="1"/>
  <c r="BK6" i="2"/>
  <c r="X31" i="6" s="1"/>
  <c r="BK7" i="2"/>
  <c r="X32" i="6" s="1"/>
  <c r="W6" i="2"/>
  <c r="V9" i="2"/>
  <c r="V5" i="2"/>
  <c r="W5" i="2"/>
  <c r="V4" i="2"/>
  <c r="W7" i="2"/>
  <c r="W4" i="2"/>
  <c r="V10" i="2"/>
  <c r="V6" i="2"/>
  <c r="W11" i="2"/>
  <c r="V11" i="2"/>
  <c r="V7" i="2"/>
  <c r="N5" i="2"/>
  <c r="U5" i="2" s="1"/>
  <c r="AU4" i="2"/>
  <c r="AZ4" i="2" s="1"/>
  <c r="W3" i="2"/>
  <c r="W9" i="2"/>
  <c r="W10" i="2"/>
  <c r="AU9" i="2"/>
  <c r="AZ9" i="2" s="1"/>
  <c r="N6" i="2"/>
  <c r="U6" i="2" s="1"/>
  <c r="AX5" i="2"/>
  <c r="N4" i="2"/>
  <c r="U4" i="2" s="1"/>
  <c r="V3" i="2"/>
  <c r="N10" i="2"/>
  <c r="U10" i="2" s="1"/>
  <c r="AX6" i="2"/>
  <c r="AU5" i="2"/>
  <c r="AZ5" i="2" s="1"/>
  <c r="N9" i="2"/>
  <c r="U9" i="2" s="1"/>
  <c r="AX9" i="2"/>
  <c r="T10" i="2"/>
  <c r="U35" i="6" s="1"/>
  <c r="AX8" i="2"/>
  <c r="AU10" i="2"/>
  <c r="AZ10" i="2" s="1"/>
  <c r="AX7" i="2"/>
  <c r="AX3" i="2"/>
  <c r="AX4" i="2"/>
  <c r="AW6" i="2"/>
  <c r="AU3" i="2"/>
  <c r="AZ3" i="2" s="1"/>
  <c r="AU8" i="2"/>
  <c r="AZ8" i="2" s="1"/>
  <c r="AW9" i="2"/>
  <c r="T8" i="2"/>
  <c r="U33" i="6" s="1"/>
  <c r="T7" i="2"/>
  <c r="U32" i="6" s="1"/>
  <c r="AW4" i="2"/>
  <c r="T3" i="2"/>
  <c r="U28" i="6" s="1"/>
  <c r="AX10" i="2"/>
  <c r="AW8" i="2"/>
  <c r="T9" i="2"/>
  <c r="U34" i="6" s="1"/>
  <c r="T6" i="2"/>
  <c r="U31" i="6" s="1"/>
  <c r="N3" i="2"/>
  <c r="U3" i="2" s="1"/>
  <c r="N7" i="2"/>
  <c r="U7" i="2" s="1"/>
  <c r="AU6" i="2"/>
  <c r="AZ6" i="2" s="1"/>
  <c r="T5" i="2"/>
  <c r="U30" i="6" s="1"/>
  <c r="N8" i="2"/>
  <c r="U8" i="2" s="1"/>
  <c r="AW5" i="2"/>
  <c r="T4" i="2"/>
  <c r="U29" i="6" s="1"/>
  <c r="AW10" i="2"/>
  <c r="AW7" i="2"/>
  <c r="AU7" i="2"/>
  <c r="AZ7" i="2" s="1"/>
  <c r="S9" i="2"/>
  <c r="S8" i="2"/>
  <c r="S3" i="2"/>
  <c r="S4" i="2"/>
  <c r="S10" i="2"/>
  <c r="S7" i="2"/>
  <c r="S5" i="2"/>
  <c r="S6" i="2"/>
  <c r="S11" i="2"/>
  <c r="AV31" i="6" l="1"/>
  <c r="AS31" i="6"/>
  <c r="AR31" i="6"/>
  <c r="AU31" i="6"/>
  <c r="BN4" i="5"/>
  <c r="AU35" i="6"/>
  <c r="BH4" i="5"/>
  <c r="AN30" i="6"/>
  <c r="BI4" i="5"/>
  <c r="BN3" i="4"/>
  <c r="BI4" i="4"/>
  <c r="AV35" i="6"/>
  <c r="AM33" i="6"/>
  <c r="BH3" i="4"/>
  <c r="BN6" i="5"/>
  <c r="AR35" i="6"/>
  <c r="BI3" i="4"/>
  <c r="BH6" i="5"/>
  <c r="AO32" i="6"/>
  <c r="AS35" i="6"/>
  <c r="BL10" i="2"/>
  <c r="BH7" i="5"/>
  <c r="AM29" i="6"/>
  <c r="AM30" i="6"/>
  <c r="AM34" i="6"/>
  <c r="BI7" i="5"/>
  <c r="AV29" i="6"/>
  <c r="BN10" i="4"/>
  <c r="BH5" i="5"/>
  <c r="AM31" i="6"/>
  <c r="AT35" i="6"/>
  <c r="BH10" i="4"/>
  <c r="BI5" i="5"/>
  <c r="AM32" i="6"/>
  <c r="BH9" i="4"/>
  <c r="BI10" i="4"/>
  <c r="BN5" i="5"/>
  <c r="AT28" i="6"/>
  <c r="AT33" i="6"/>
  <c r="AU29" i="6"/>
  <c r="AP35" i="6"/>
  <c r="AV28" i="6"/>
  <c r="AR33" i="6"/>
  <c r="AS29" i="6"/>
  <c r="BH11" i="4"/>
  <c r="S36" i="6"/>
  <c r="AO33" i="6"/>
  <c r="AS28" i="6"/>
  <c r="AV32" i="6"/>
  <c r="AR29" i="6"/>
  <c r="AU28" i="6"/>
  <c r="AR32" i="6"/>
  <c r="AT29" i="6"/>
  <c r="AT34" i="6"/>
  <c r="AN29" i="6"/>
  <c r="AT32" i="6"/>
  <c r="AU34" i="6"/>
  <c r="AV33" i="6"/>
  <c r="AU32" i="6"/>
  <c r="AR34" i="6"/>
  <c r="AO34" i="6"/>
  <c r="AS33" i="6"/>
  <c r="AS34" i="6"/>
  <c r="AN32" i="6"/>
  <c r="AP32" i="6"/>
  <c r="AN31" i="6"/>
  <c r="AN35" i="6"/>
  <c r="AQ35" i="6"/>
  <c r="AP30" i="6"/>
  <c r="AQ36" i="6"/>
  <c r="AN36" i="6"/>
  <c r="AP36" i="6"/>
  <c r="AQ30" i="6"/>
  <c r="AQ32" i="6"/>
  <c r="AO35" i="6"/>
  <c r="AO30" i="6"/>
  <c r="AP29" i="6"/>
  <c r="AQ29" i="6"/>
  <c r="AP34" i="6"/>
  <c r="AP31" i="6"/>
  <c r="AN33" i="6"/>
  <c r="AO29" i="6"/>
  <c r="AQ34" i="6"/>
  <c r="AO31" i="6"/>
  <c r="AP33" i="6"/>
  <c r="AO36" i="6"/>
  <c r="BN9" i="4"/>
  <c r="BH10" i="5"/>
  <c r="BI11" i="4"/>
  <c r="BI10" i="5"/>
  <c r="BN7" i="5"/>
  <c r="BI6" i="5"/>
  <c r="BN8" i="4"/>
  <c r="BN11" i="4"/>
  <c r="BI7" i="4"/>
  <c r="BN7" i="4"/>
  <c r="BN4" i="4"/>
  <c r="BH7" i="4"/>
  <c r="AB9" i="2"/>
  <c r="BI9" i="4"/>
  <c r="BH4" i="4"/>
  <c r="BH8" i="5"/>
  <c r="BI8" i="5"/>
  <c r="BN8" i="5"/>
  <c r="AB6" i="5"/>
  <c r="BL6" i="5"/>
  <c r="AC6" i="5"/>
  <c r="BH8" i="4"/>
  <c r="BI8" i="4"/>
  <c r="AB8" i="2"/>
  <c r="AA3" i="2"/>
  <c r="BH9" i="5"/>
  <c r="BI9" i="5"/>
  <c r="BN9" i="5"/>
  <c r="BM6" i="2"/>
  <c r="AB6" i="2"/>
  <c r="BM10" i="2"/>
  <c r="AB10" i="2"/>
  <c r="AB5" i="2"/>
  <c r="AB3" i="2"/>
  <c r="AB4" i="2"/>
  <c r="AB7" i="2"/>
  <c r="AA7" i="2"/>
  <c r="AA8" i="2"/>
  <c r="BC3" i="2"/>
  <c r="BD3" i="2"/>
  <c r="BE3" i="2"/>
  <c r="BC5" i="2"/>
  <c r="BE5" i="2"/>
  <c r="BD5" i="2"/>
  <c r="BC8" i="2"/>
  <c r="BE8" i="2"/>
  <c r="BD8" i="2"/>
  <c r="BF9" i="2"/>
  <c r="BG9" i="2"/>
  <c r="AA9" i="2"/>
  <c r="BG10" i="2"/>
  <c r="BF10" i="2"/>
  <c r="BC6" i="2"/>
  <c r="BE6" i="2"/>
  <c r="BD6" i="2"/>
  <c r="BG4" i="2"/>
  <c r="BF4" i="2"/>
  <c r="BG3" i="2"/>
  <c r="BF3" i="2"/>
  <c r="BG6" i="2"/>
  <c r="BF6" i="2"/>
  <c r="BE4" i="2"/>
  <c r="BD4" i="2"/>
  <c r="BG7" i="2"/>
  <c r="BF7" i="2"/>
  <c r="AA10" i="2"/>
  <c r="BC7" i="2"/>
  <c r="BE7" i="2"/>
  <c r="BD7" i="2"/>
  <c r="BC10" i="2"/>
  <c r="BE10" i="2"/>
  <c r="BD10" i="2"/>
  <c r="BG8" i="2"/>
  <c r="BF8" i="2"/>
  <c r="BE9" i="2"/>
  <c r="BD9" i="2"/>
  <c r="BG5" i="2"/>
  <c r="BF5" i="2"/>
  <c r="AA11" i="2"/>
  <c r="AA4" i="2"/>
  <c r="Z4" i="2"/>
  <c r="BC4" i="2"/>
  <c r="BC9" i="2"/>
  <c r="AC9" i="2"/>
  <c r="AC5" i="2"/>
  <c r="Y5" i="2"/>
  <c r="AC7" i="2"/>
  <c r="AY5" i="2"/>
  <c r="W30" i="6" s="1"/>
  <c r="AX30" i="6" s="1"/>
  <c r="AC6" i="2"/>
  <c r="Z7" i="2"/>
  <c r="AC3" i="2"/>
  <c r="Z8" i="2"/>
  <c r="AC10" i="2"/>
  <c r="AY3" i="2"/>
  <c r="W28" i="6" s="1"/>
  <c r="BA28" i="6" s="1"/>
  <c r="X3" i="2"/>
  <c r="Z3" i="2"/>
  <c r="Z10" i="2"/>
  <c r="X10" i="2"/>
  <c r="BM5" i="2"/>
  <c r="Z5" i="2"/>
  <c r="AC8" i="2"/>
  <c r="AC4" i="2"/>
  <c r="Z6" i="2"/>
  <c r="Y6" i="2"/>
  <c r="X9" i="2"/>
  <c r="Z9" i="2"/>
  <c r="AA5" i="2"/>
  <c r="X5" i="2"/>
  <c r="BL9" i="2"/>
  <c r="BL3" i="2"/>
  <c r="BM7" i="2"/>
  <c r="X7" i="2"/>
  <c r="AA6" i="2"/>
  <c r="X4" i="2"/>
  <c r="X6" i="2"/>
  <c r="BM8" i="2"/>
  <c r="X8" i="2"/>
  <c r="BL4" i="2"/>
  <c r="BL6" i="2"/>
  <c r="AY6" i="2"/>
  <c r="W31" i="6" s="1"/>
  <c r="AZ31" i="6" s="1"/>
  <c r="BL8" i="2"/>
  <c r="BL5" i="2"/>
  <c r="AY10" i="2"/>
  <c r="W35" i="6" s="1"/>
  <c r="AW35" i="6" s="1"/>
  <c r="AY9" i="2"/>
  <c r="W34" i="6" s="1"/>
  <c r="BA34" i="6" s="1"/>
  <c r="BM3" i="2"/>
  <c r="Y10" i="2"/>
  <c r="Y7" i="2"/>
  <c r="AY8" i="2"/>
  <c r="W33" i="6" s="1"/>
  <c r="BA33" i="6" s="1"/>
  <c r="BL7" i="2"/>
  <c r="AY7" i="2"/>
  <c r="W32" i="6" s="1"/>
  <c r="BA32" i="6" s="1"/>
  <c r="AY4" i="2"/>
  <c r="W29" i="6" s="1"/>
  <c r="AX29" i="6" s="1"/>
  <c r="Y3" i="2"/>
  <c r="BM4" i="2"/>
  <c r="Y4" i="2"/>
  <c r="BM9" i="2"/>
  <c r="Y8" i="2"/>
  <c r="Y9" i="2"/>
  <c r="AU11" i="2"/>
  <c r="AZ11" i="2" s="1"/>
  <c r="N11" i="2"/>
  <c r="U11" i="2" s="1"/>
  <c r="AW11" i="2"/>
  <c r="AX11" i="2"/>
  <c r="AZ34" i="6" l="1"/>
  <c r="AX33" i="6"/>
  <c r="AZ35" i="6"/>
  <c r="AX31" i="6"/>
  <c r="AY29" i="6"/>
  <c r="AZ28" i="6"/>
  <c r="AW34" i="6"/>
  <c r="AY33" i="6"/>
  <c r="AX35" i="6"/>
  <c r="AY31" i="6"/>
  <c r="AY28" i="6"/>
  <c r="AX34" i="6"/>
  <c r="AZ33" i="6"/>
  <c r="AW32" i="6"/>
  <c r="AW31" i="6"/>
  <c r="AX28" i="6"/>
  <c r="AZ30" i="6"/>
  <c r="AW33" i="6"/>
  <c r="AZ32" i="6"/>
  <c r="BA31" i="6"/>
  <c r="AW28" i="6"/>
  <c r="BA30" i="6"/>
  <c r="AY32" i="6"/>
  <c r="BA29" i="6"/>
  <c r="AW30" i="6"/>
  <c r="AY35" i="6"/>
  <c r="AX32" i="6"/>
  <c r="AZ29" i="6"/>
  <c r="AY34" i="6"/>
  <c r="AY30" i="6"/>
  <c r="BA35" i="6"/>
  <c r="AW29" i="6"/>
  <c r="AV36" i="6"/>
  <c r="AS36" i="6"/>
  <c r="AT36" i="6"/>
  <c r="AR36" i="6"/>
  <c r="AU36" i="6"/>
  <c r="BH7" i="2"/>
  <c r="BI7" i="2"/>
  <c r="BH8" i="2"/>
  <c r="BI8" i="2"/>
  <c r="BN5" i="2"/>
  <c r="BI5" i="2"/>
  <c r="BH5" i="2"/>
  <c r="BI9" i="2"/>
  <c r="BH9" i="2"/>
  <c r="BI6" i="2"/>
  <c r="BH6" i="2"/>
  <c r="BI3" i="2"/>
  <c r="BH3" i="2"/>
  <c r="BI4" i="2"/>
  <c r="BH4" i="2"/>
  <c r="BH10" i="2"/>
  <c r="BI10" i="2"/>
  <c r="BC11" i="2"/>
  <c r="BE11" i="2"/>
  <c r="BD11" i="2"/>
  <c r="BF11" i="2"/>
  <c r="BG11" i="2"/>
  <c r="BN8" i="2"/>
  <c r="BN6" i="2"/>
  <c r="BN4" i="2"/>
  <c r="BN9" i="2"/>
  <c r="BN3" i="2"/>
  <c r="BN7" i="2"/>
  <c r="BN10" i="2"/>
  <c r="BL11" i="2"/>
  <c r="AY11" i="2"/>
  <c r="W36" i="6" s="1"/>
  <c r="BI11" i="2" l="1"/>
  <c r="BH11" i="2"/>
  <c r="BN11" i="2"/>
  <c r="T11" i="2"/>
  <c r="U36" i="6" s="1"/>
  <c r="AZ36" i="6" l="1"/>
  <c r="AW36" i="6"/>
  <c r="BA36" i="6"/>
  <c r="AX36" i="6"/>
  <c r="AY36" i="6"/>
  <c r="AB11" i="2"/>
  <c r="Z11" i="2"/>
  <c r="AC11" i="2"/>
  <c r="X11" i="2"/>
  <c r="Y11" i="2"/>
  <c r="BM11" i="2"/>
</calcChain>
</file>

<file path=xl/sharedStrings.xml><?xml version="1.0" encoding="utf-8"?>
<sst xmlns="http://schemas.openxmlformats.org/spreadsheetml/2006/main" count="665" uniqueCount="110">
  <si>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</si>
  <si>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</si>
  <si>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</si>
  <si>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</si>
  <si>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</si>
  <si>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</si>
  <si>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</si>
  <si>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</si>
  <si>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</si>
  <si>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</si>
  <si>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</si>
  <si>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</si>
  <si>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</si>
  <si>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</si>
  <si>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</si>
  <si>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</si>
  <si>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</si>
  <si>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</si>
  <si>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</si>
  <si>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</si>
  <si>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</si>
  <si>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</si>
  <si>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</si>
  <si>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</si>
  <si>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</si>
  <si>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</si>
  <si>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</si>
  <si>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</si>
  <si>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</si>
  <si>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</si>
  <si>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</si>
  <si>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</si>
  <si>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</si>
  <si>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</si>
  <si>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</si>
  <si>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Q турбины</t>
  </si>
  <si>
    <t>Q ОД</t>
  </si>
  <si>
    <t>Qпп</t>
  </si>
  <si>
    <t>G газ ПКМ</t>
  </si>
  <si>
    <t>dH газ ПКМ</t>
  </si>
  <si>
    <t>Состав уходящих газов ПКМ</t>
  </si>
  <si>
    <t>N2</t>
  </si>
  <si>
    <t>O2</t>
  </si>
  <si>
    <t>CO2</t>
  </si>
  <si>
    <t>H2O</t>
  </si>
  <si>
    <t>Ar</t>
  </si>
  <si>
    <t>Температура конца</t>
  </si>
  <si>
    <t>Влажность</t>
  </si>
  <si>
    <t>Q газ ПКМ</t>
  </si>
  <si>
    <t>КПД ПГУ простой</t>
  </si>
  <si>
    <t>КПД ПГУ физ метод</t>
  </si>
  <si>
    <t>КИТТ</t>
  </si>
  <si>
    <t>КИТТ ПГУ</t>
  </si>
  <si>
    <t>МДж/кг</t>
  </si>
  <si>
    <t>Теплота сгорания метана (нр)</t>
  </si>
  <si>
    <t>КПД ПКМ физ метод</t>
  </si>
  <si>
    <t>G CH4 ref comb</t>
  </si>
  <si>
    <t>G CH4 ref ПКМ</t>
  </si>
  <si>
    <t>Q ПКМ гор</t>
  </si>
  <si>
    <t>Q ПКМ риф</t>
  </si>
  <si>
    <t>КИТТ всей установки</t>
  </si>
  <si>
    <t>Q пик ГТУ</t>
  </si>
  <si>
    <t>Q осн ГТУ</t>
  </si>
  <si>
    <t>КПД пик ГТУ физ метод</t>
  </si>
  <si>
    <t>КИТТ пик ГТУ</t>
  </si>
  <si>
    <t>Номинальный режим</t>
  </si>
  <si>
    <t xml:space="preserve">Зарядка </t>
  </si>
  <si>
    <t>Разрядка</t>
  </si>
  <si>
    <t>КПД всей установки физ метод</t>
  </si>
  <si>
    <t>x</t>
  </si>
  <si>
    <t>y</t>
  </si>
  <si>
    <t>База</t>
  </si>
  <si>
    <t>Максимум</t>
  </si>
  <si>
    <t>Минимум</t>
  </si>
  <si>
    <t>Снизу</t>
  </si>
  <si>
    <t>Сверху</t>
  </si>
  <si>
    <t>сверху</t>
  </si>
  <si>
    <t>среднее</t>
  </si>
  <si>
    <t>снизу</t>
  </si>
  <si>
    <t>Температура</t>
  </si>
  <si>
    <t>10x15x4</t>
  </si>
  <si>
    <t>Базовый вариант</t>
  </si>
  <si>
    <t>Мощность</t>
  </si>
  <si>
    <t>Расход топлива</t>
  </si>
  <si>
    <t>10x15x6</t>
  </si>
  <si>
    <t>10x15x8</t>
  </si>
  <si>
    <t>Расход теплоты</t>
  </si>
  <si>
    <t>Расход метана на всю установку</t>
  </si>
  <si>
    <t>Расход природного газа на всю установку</t>
  </si>
  <si>
    <t>мин заряжаемся</t>
  </si>
  <si>
    <t>макс разряжаемся</t>
  </si>
  <si>
    <t>КПД ГТУ</t>
  </si>
  <si>
    <t>N ГТУ</t>
  </si>
  <si>
    <t>B</t>
  </si>
  <si>
    <t>макс</t>
  </si>
  <si>
    <t>мин</t>
  </si>
  <si>
    <t>ниж</t>
  </si>
  <si>
    <t>верх</t>
  </si>
  <si>
    <t>сред</t>
  </si>
  <si>
    <t>5303 руб./1000  m3</t>
  </si>
  <si>
    <t xml:space="preserve">34,7 МДж/м3 </t>
  </si>
  <si>
    <t>руб/мдж</t>
  </si>
  <si>
    <t>Цена топлива, руб/кг</t>
  </si>
  <si>
    <t>Время зар/раз, ч</t>
  </si>
  <si>
    <t>СХЕМА</t>
  </si>
  <si>
    <t>№</t>
  </si>
  <si>
    <t>Мдж/кг</t>
  </si>
  <si>
    <t>10x15x10</t>
  </si>
  <si>
    <t>10x15x12</t>
  </si>
  <si>
    <t>10x15x14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</si>
</sst>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/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1" fontId="0" fillId="0" borderId="0" xfId="0" applyNumberFormat="1"/>
    <xf numFmtId="0" fontId="2" fillId="0" borderId="8" xfId="0" applyFont="1" applyBorder="1" applyAlignment="1">
      <alignment horizontal="center" vertical="center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1" fontId="0" fillId="0" borderId="6" xfId="0" applyNumberFormat="1" applyBorder="1"/>
    <xf numFmtId="2" fontId="2" fillId="0" borderId="1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2" fillId="2" borderId="2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2" fontId="2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11" fontId="0" fillId="0" borderId="9" xfId="0" applyNumberFormat="1" applyBorder="1"/>
    <xf numFmtId="11" fontId="0" fillId="0" borderId="8" xfId="0" applyNumberFormat="1" applyBorder="1"/>
    <xf numFmtId="11" fontId="0" fillId="0" borderId="10" xfId="0" applyNumberFormat="1" applyBorder="1"/>
    <xf numFmtId="2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2" fontId="2" fillId="0" borderId="0" xfId="0" applyNumberFormat="1" applyFont="1" applyFill="1"/>
    <xf numFmtId="0" fontId="2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'10x15x4'!$T$3:$T$11</c:f>
              <c:numCache>
                <c:formatCode>0.00</c:formatCode>
                <c:ptCount val="9"/>
                <c:pt idx="0">
                  <c:v>155.07887975299244</c:v>
                </c:pt>
                <c:pt idx="1">
                  <c:v>166.06990500022818</c:v>
                </c:pt>
                <c:pt idx="2">
                  <c:v>175.10859031956619</c:v>
                </c:pt>
                <c:pt idx="3">
                  <c:v>176.00030827506924</c:v>
                </c:pt>
                <c:pt idx="4">
                  <c:v>176.30447533197602</c:v>
                </c:pt>
                <c:pt idx="5">
                  <c:v>177.52977941425237</c:v>
                </c:pt>
                <c:pt idx="6">
                  <c:v>177.57947262234029</c:v>
                </c:pt>
                <c:pt idx="7">
                  <c:v>174.96286593975464</c:v>
                </c:pt>
                <c:pt idx="8">
                  <c:v>171.42404990435571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6-4536-89B2-AF0E4499834A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'10x15x4'!$AY$3:$AY$11</c:f>
              <c:numCache>
                <c:formatCode>0.00</c:formatCode>
                <c:ptCount val="9"/>
                <c:pt idx="0">
                  <c:v>213.96254922083995</c:v>
                </c:pt>
                <c:pt idx="1">
                  <c:v>213.69213395306312</c:v>
                </c:pt>
                <c:pt idx="2">
                  <c:v>215.36788594665924</c:v>
                </c:pt>
                <c:pt idx="3">
                  <c:v>218.23518601715995</c:v>
                </c:pt>
                <c:pt idx="4">
                  <c:v>220.8525515951749</c:v>
                </c:pt>
                <c:pt idx="5">
                  <c:v>223.06574019139691</c:v>
                </c:pt>
                <c:pt idx="6">
                  <c:v>222.79377209192367</c:v>
                </c:pt>
                <c:pt idx="7">
                  <c:v>217.33942499962589</c:v>
                </c:pt>
                <c:pt idx="8">
                  <c:v>214.45742790464612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6-4536-89B2-AF0E4499834A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6-4536-89B2-AF0E4499834A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6-4536-89B2-AF0E4499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'10x15x6'!$Z$3:$Z$11</c:f>
              <c:numCache>
                <c:formatCode>0.00%</c:formatCode>
                <c:ptCount val="9"/>
                <c:pt idx="0">
                  <c:v>0.74127377750120327</c:v>
                </c:pt>
                <c:pt idx="1">
                  <c:v>0.75423100280500166</c:v>
                </c:pt>
                <c:pt idx="2">
                  <c:v>0.76098168410704603</c:v>
                </c:pt>
                <c:pt idx="3">
                  <c:v>0.76630639261604871</c:v>
                </c:pt>
                <c:pt idx="4">
                  <c:v>0.77167650928510034</c:v>
                </c:pt>
                <c:pt idx="5">
                  <c:v>0.77592548777820181</c:v>
                </c:pt>
                <c:pt idx="6">
                  <c:v>0.78164377906900984</c:v>
                </c:pt>
                <c:pt idx="7">
                  <c:v>0.78956912734670015</c:v>
                </c:pt>
                <c:pt idx="8">
                  <c:v>0.79941087937945454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2-41E9-B51C-749DB799D41F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'10x15x6'!$BE$3:$BE$11</c:f>
              <c:numCache>
                <c:formatCode>0.00%</c:formatCode>
                <c:ptCount val="9"/>
                <c:pt idx="0">
                  <c:v>0.70537575199735347</c:v>
                </c:pt>
                <c:pt idx="1">
                  <c:v>0.71760170599331119</c:v>
                </c:pt>
                <c:pt idx="2">
                  <c:v>0.7296141169967516</c:v>
                </c:pt>
                <c:pt idx="3">
                  <c:v>0.73417991909034919</c:v>
                </c:pt>
                <c:pt idx="4">
                  <c:v>0.73803775561641605</c:v>
                </c:pt>
                <c:pt idx="5">
                  <c:v>0.7408260520997153</c:v>
                </c:pt>
                <c:pt idx="6">
                  <c:v>0.74357722690379113</c:v>
                </c:pt>
                <c:pt idx="7">
                  <c:v>0.74888325949938761</c:v>
                </c:pt>
                <c:pt idx="8">
                  <c:v>0.75087339731709712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2-41E9-B51C-749DB799D41F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2-41E9-B51C-749DB799D41F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2-41E9-B51C-749DB799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'10x15x6'!$AC$3:$AC$11</c:f>
              <c:numCache>
                <c:formatCode>0.00%</c:formatCode>
                <c:ptCount val="9"/>
                <c:pt idx="0">
                  <c:v>0.77841914252614564</c:v>
                </c:pt>
                <c:pt idx="1">
                  <c:v>0.78482712593604298</c:v>
                </c:pt>
                <c:pt idx="2">
                  <c:v>0.7941538372058633</c:v>
                </c:pt>
                <c:pt idx="3">
                  <c:v>0.79917262115013055</c:v>
                </c:pt>
                <c:pt idx="4">
                  <c:v>0.8042773976247769</c:v>
                </c:pt>
                <c:pt idx="5">
                  <c:v>0.808356742428328</c:v>
                </c:pt>
                <c:pt idx="6">
                  <c:v>0.81377704912895521</c:v>
                </c:pt>
                <c:pt idx="7">
                  <c:v>0.82121278438956591</c:v>
                </c:pt>
                <c:pt idx="8">
                  <c:v>0.82397047101878806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8-4A84-9DBC-23786D05FD3D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'10x15x6'!$BI$3:$BI$11</c:f>
              <c:numCache>
                <c:formatCode>0.00%</c:formatCode>
                <c:ptCount val="9"/>
                <c:pt idx="0">
                  <c:v>0.70692149191126996</c:v>
                </c:pt>
                <c:pt idx="1">
                  <c:v>0.71839067640829057</c:v>
                </c:pt>
                <c:pt idx="2">
                  <c:v>0.7302077770119465</c:v>
                </c:pt>
                <c:pt idx="3">
                  <c:v>0.73529774911665235</c:v>
                </c:pt>
                <c:pt idx="4">
                  <c:v>0.73974863706374594</c:v>
                </c:pt>
                <c:pt idx="5">
                  <c:v>0.74323276168759</c:v>
                </c:pt>
                <c:pt idx="6">
                  <c:v>0.74670461242523922</c:v>
                </c:pt>
                <c:pt idx="7">
                  <c:v>0.75254400617717154</c:v>
                </c:pt>
                <c:pt idx="8">
                  <c:v>0.75460199964213936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8-4A84-9DBC-23786D05FD3D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8-4A84-9DBC-23786D05FD3D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8-4A84-9DBC-23786D05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'10x15x6'!$AB$3:$AB$11</c:f>
              <c:numCache>
                <c:formatCode>0.00%</c:formatCode>
                <c:ptCount val="9"/>
                <c:pt idx="0">
                  <c:v>0.57374367995222175</c:v>
                </c:pt>
                <c:pt idx="1">
                  <c:v>0.5890619337934917</c:v>
                </c:pt>
                <c:pt idx="2">
                  <c:v>0.60735037102610789</c:v>
                </c:pt>
                <c:pt idx="3">
                  <c:v>0.61528831727703792</c:v>
                </c:pt>
                <c:pt idx="4">
                  <c:v>0.62328944709714307</c:v>
                </c:pt>
                <c:pt idx="5">
                  <c:v>0.63059067815721181</c:v>
                </c:pt>
                <c:pt idx="6">
                  <c:v>0.63868407994634624</c:v>
                </c:pt>
                <c:pt idx="7">
                  <c:v>0.64840332523627209</c:v>
                </c:pt>
                <c:pt idx="8">
                  <c:v>0.65105420448168705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E-43DA-A8AD-A0D93A052ADC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'10x15x6'!$BH$3:$BH$11</c:f>
              <c:numCache>
                <c:formatCode>0.00%</c:formatCode>
                <c:ptCount val="9"/>
                <c:pt idx="0">
                  <c:v>0.58601854824769162</c:v>
                </c:pt>
                <c:pt idx="1">
                  <c:v>0.59518453745217037</c:v>
                </c:pt>
                <c:pt idx="2">
                  <c:v>0.60720735545286542</c:v>
                </c:pt>
                <c:pt idx="3">
                  <c:v>0.61481949846970885</c:v>
                </c:pt>
                <c:pt idx="4">
                  <c:v>0.62154527692743489</c:v>
                </c:pt>
                <c:pt idx="5">
                  <c:v>0.62693583486038351</c:v>
                </c:pt>
                <c:pt idx="6">
                  <c:v>0.63115932935738095</c:v>
                </c:pt>
                <c:pt idx="7">
                  <c:v>0.63646719277202068</c:v>
                </c:pt>
                <c:pt idx="8">
                  <c:v>0.63812210751171516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E-43DA-A8AD-A0D93A052ADC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8E-43DA-A8AD-A0D93A052ADC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8E-43DA-A8AD-A0D93A05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'10x15x8'!$T$3:$T$11</c:f>
              <c:numCache>
                <c:formatCode>0.00</c:formatCode>
                <c:ptCount val="9"/>
                <c:pt idx="0">
                  <c:v>136.50650961320528</c:v>
                </c:pt>
                <c:pt idx="1">
                  <c:v>146.59766219882388</c:v>
                </c:pt>
                <c:pt idx="2">
                  <c:v>154.81180636683516</c:v>
                </c:pt>
                <c:pt idx="3">
                  <c:v>154.77183537592788</c:v>
                </c:pt>
                <c:pt idx="4">
                  <c:v>154.77291866655236</c:v>
                </c:pt>
                <c:pt idx="5">
                  <c:v>155.90437190246328</c:v>
                </c:pt>
                <c:pt idx="6">
                  <c:v>155.90114081888706</c:v>
                </c:pt>
                <c:pt idx="7">
                  <c:v>154.35881645518114</c:v>
                </c:pt>
                <c:pt idx="8">
                  <c:v>152.1950123241451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'10x15x8'!$AY$3:$AY$11</c:f>
              <c:numCache>
                <c:formatCode>0.00</c:formatCode>
                <c:ptCount val="9"/>
                <c:pt idx="0">
                  <c:v>232.82227177768343</c:v>
                </c:pt>
                <c:pt idx="1">
                  <c:v>232.19598612288391</c:v>
                </c:pt>
                <c:pt idx="2">
                  <c:v>233.73608830975098</c:v>
                </c:pt>
                <c:pt idx="3">
                  <c:v>236.62931563478273</c:v>
                </c:pt>
                <c:pt idx="4">
                  <c:v>239.42867867585616</c:v>
                </c:pt>
                <c:pt idx="5">
                  <c:v>241.88905515340846</c:v>
                </c:pt>
                <c:pt idx="6">
                  <c:v>241.41194797330621</c:v>
                </c:pt>
                <c:pt idx="7">
                  <c:v>236.60474660022834</c:v>
                </c:pt>
                <c:pt idx="8">
                  <c:v>233.65407993014577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'10x15x8'!$Y$3:$Y$11</c:f>
              <c:numCache>
                <c:formatCode>0.00%</c:formatCode>
                <c:ptCount val="9"/>
                <c:pt idx="0">
                  <c:v>0.5678667317214352</c:v>
                </c:pt>
                <c:pt idx="1">
                  <c:v>0.58785045704233818</c:v>
                </c:pt>
                <c:pt idx="2">
                  <c:v>0.59609333241281448</c:v>
                </c:pt>
                <c:pt idx="3">
                  <c:v>0.60358442593184325</c:v>
                </c:pt>
                <c:pt idx="4">
                  <c:v>0.61119905248151607</c:v>
                </c:pt>
                <c:pt idx="5">
                  <c:v>0.61807821715850197</c:v>
                </c:pt>
                <c:pt idx="6">
                  <c:v>0.62607156932253538</c:v>
                </c:pt>
                <c:pt idx="7">
                  <c:v>0.6355557994208878</c:v>
                </c:pt>
                <c:pt idx="8">
                  <c:v>0.65127183232971075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'10x15x8'!$BD$3:$BD$11</c:f>
              <c:numCache>
                <c:formatCode>0.00%</c:formatCode>
                <c:ptCount val="9"/>
                <c:pt idx="0">
                  <c:v>0.58038884187015183</c:v>
                </c:pt>
                <c:pt idx="1">
                  <c:v>0.58894803948188124</c:v>
                </c:pt>
                <c:pt idx="2">
                  <c:v>0.60004078248797621</c:v>
                </c:pt>
                <c:pt idx="3">
                  <c:v>0.6066094083146949</c:v>
                </c:pt>
                <c:pt idx="4">
                  <c:v>0.61259655976749861</c:v>
                </c:pt>
                <c:pt idx="5">
                  <c:v>0.61715075516446705</c:v>
                </c:pt>
                <c:pt idx="6">
                  <c:v>0.61976895540301891</c:v>
                </c:pt>
                <c:pt idx="7">
                  <c:v>0.62335661665298592</c:v>
                </c:pt>
                <c:pt idx="8">
                  <c:v>0.62457088104874781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'10x15x8'!$BM$3:$BM$11</c:f>
              <c:numCache>
                <c:formatCode>0.00</c:formatCode>
                <c:ptCount val="9"/>
                <c:pt idx="0">
                  <c:v>-38.557745891908979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-43.714649777437359</c:v>
                </c:pt>
                <c:pt idx="4">
                  <c:v>-44.059936656222732</c:v>
                </c:pt>
                <c:pt idx="5">
                  <c:v>-43.803838024277809</c:v>
                </c:pt>
                <c:pt idx="6">
                  <c:v>-42.838338035211819</c:v>
                </c:pt>
                <c:pt idx="7">
                  <c:v>-39.93362823238931</c:v>
                </c:pt>
                <c:pt idx="8">
                  <c:v>-38.977449211591221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'10x15x8'!$BN$3:$BN$11</c:f>
              <c:numCache>
                <c:formatCode>0.00</c:formatCode>
                <c:ptCount val="9"/>
                <c:pt idx="0">
                  <c:v>27.684582188773248</c:v>
                </c:pt>
                <c:pt idx="1">
                  <c:v>27.067874118269373</c:v>
                </c:pt>
                <c:pt idx="2">
                  <c:v>26.78672879840596</c:v>
                </c:pt>
                <c:pt idx="3">
                  <c:v>26.934432804245773</c:v>
                </c:pt>
                <c:pt idx="4">
                  <c:v>27.128103704479258</c:v>
                </c:pt>
                <c:pt idx="5">
                  <c:v>27.475649575258558</c:v>
                </c:pt>
                <c:pt idx="6">
                  <c:v>27.238350952965959</c:v>
                </c:pt>
                <c:pt idx="7">
                  <c:v>27.51127494887271</c:v>
                </c:pt>
                <c:pt idx="8">
                  <c:v>27.700997003372805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'10x15x8'!$Z$3:$Z$11</c:f>
              <c:numCache>
                <c:formatCode>0.00%</c:formatCode>
                <c:ptCount val="9"/>
                <c:pt idx="0">
                  <c:v>0.737514809618244</c:v>
                </c:pt>
                <c:pt idx="1">
                  <c:v>0.74989264271664446</c:v>
                </c:pt>
                <c:pt idx="2">
                  <c:v>0.75347462544935606</c:v>
                </c:pt>
                <c:pt idx="3">
                  <c:v>0.75898827759274134</c:v>
                </c:pt>
                <c:pt idx="4">
                  <c:v>0.76452235625391751</c:v>
                </c:pt>
                <c:pt idx="5">
                  <c:v>0.76877356849081135</c:v>
                </c:pt>
                <c:pt idx="6">
                  <c:v>0.77452045509060408</c:v>
                </c:pt>
                <c:pt idx="7">
                  <c:v>0.78220298126036247</c:v>
                </c:pt>
                <c:pt idx="8">
                  <c:v>0.79450225015999243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'10x15x8'!$BE$3:$BE$11</c:f>
              <c:numCache>
                <c:formatCode>0.00%</c:formatCode>
                <c:ptCount val="9"/>
                <c:pt idx="0">
                  <c:v>0.68685817558192408</c:v>
                </c:pt>
                <c:pt idx="1">
                  <c:v>0.69856071101959949</c:v>
                </c:pt>
                <c:pt idx="2">
                  <c:v>0.70994938679419051</c:v>
                </c:pt>
                <c:pt idx="3">
                  <c:v>0.71392899715084168</c:v>
                </c:pt>
                <c:pt idx="4">
                  <c:v>0.71747643395825922</c:v>
                </c:pt>
                <c:pt idx="5">
                  <c:v>0.71994812866073266</c:v>
                </c:pt>
                <c:pt idx="6">
                  <c:v>0.72178391898459071</c:v>
                </c:pt>
                <c:pt idx="7">
                  <c:v>0.7259276718480393</c:v>
                </c:pt>
                <c:pt idx="8">
                  <c:v>0.72751534823436603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'10x15x8'!$AC$3:$AC$11</c:f>
              <c:numCache>
                <c:formatCode>0.00%</c:formatCode>
                <c:ptCount val="9"/>
                <c:pt idx="0">
                  <c:v>0.78542703260677971</c:v>
                </c:pt>
                <c:pt idx="1">
                  <c:v>0.78950448087802061</c:v>
                </c:pt>
                <c:pt idx="2">
                  <c:v>0.79697677012308477</c:v>
                </c:pt>
                <c:pt idx="3">
                  <c:v>0.80209515655808283</c:v>
                </c:pt>
                <c:pt idx="4">
                  <c:v>0.80727838007757569</c:v>
                </c:pt>
                <c:pt idx="5">
                  <c:v>0.81131337590313823</c:v>
                </c:pt>
                <c:pt idx="6">
                  <c:v>0.8166409737211805</c:v>
                </c:pt>
                <c:pt idx="7">
                  <c:v>0.82366842416406971</c:v>
                </c:pt>
                <c:pt idx="8">
                  <c:v>0.82637283919370463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3FA-9F5C-0E7BD113559D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'10x15x8'!$BI$3:$BI$11</c:f>
              <c:numCache>
                <c:formatCode>0.00%</c:formatCode>
                <c:ptCount val="9"/>
                <c:pt idx="0">
                  <c:v>0.69172913967468996</c:v>
                </c:pt>
                <c:pt idx="1">
                  <c:v>0.70242063526652132</c:v>
                </c:pt>
                <c:pt idx="2">
                  <c:v>0.71361418194189741</c:v>
                </c:pt>
                <c:pt idx="3">
                  <c:v>0.71842064941871064</c:v>
                </c:pt>
                <c:pt idx="4">
                  <c:v>0.72285434070236831</c:v>
                </c:pt>
                <c:pt idx="5">
                  <c:v>0.72635860639213679</c:v>
                </c:pt>
                <c:pt idx="6">
                  <c:v>0.72936461942017705</c:v>
                </c:pt>
                <c:pt idx="7">
                  <c:v>0.73448724993348702</c:v>
                </c:pt>
                <c:pt idx="8">
                  <c:v>0.73626200390930796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3FA-9F5C-0E7BD113559D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3FA-9F5C-0E7BD113559D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A-43FA-9F5C-0E7BD11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'10x15x8'!$AB$3:$AB$11</c:f>
              <c:numCache>
                <c:formatCode>0.00%</c:formatCode>
                <c:ptCount val="9"/>
                <c:pt idx="0">
                  <c:v>0.55733860528863499</c:v>
                </c:pt>
                <c:pt idx="1">
                  <c:v>0.57074242025422373</c:v>
                </c:pt>
                <c:pt idx="2">
                  <c:v>0.58765218465126401</c:v>
                </c:pt>
                <c:pt idx="3">
                  <c:v>0.59545633960073141</c:v>
                </c:pt>
                <c:pt idx="4">
                  <c:v>0.60350106006701898</c:v>
                </c:pt>
                <c:pt idx="5">
                  <c:v>0.61096292129475882</c:v>
                </c:pt>
                <c:pt idx="6">
                  <c:v>0.61940853983152322</c:v>
                </c:pt>
                <c:pt idx="7">
                  <c:v>0.62921805661485097</c:v>
                </c:pt>
                <c:pt idx="8">
                  <c:v>0.63184502381947916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'10x15x8'!$BH$3:$BH$11</c:f>
              <c:numCache>
                <c:formatCode>0.00%</c:formatCode>
                <c:ptCount val="9"/>
                <c:pt idx="0">
                  <c:v>0.57255583916084829</c:v>
                </c:pt>
                <c:pt idx="1">
                  <c:v>0.58055608986660401</c:v>
                </c:pt>
                <c:pt idx="2">
                  <c:v>0.59151504019018708</c:v>
                </c:pt>
                <c:pt idx="3">
                  <c:v>0.5985799082891492</c:v>
                </c:pt>
                <c:pt idx="4">
                  <c:v>0.60515293322332953</c:v>
                </c:pt>
                <c:pt idx="5">
                  <c:v>0.61046687372453545</c:v>
                </c:pt>
                <c:pt idx="6">
                  <c:v>0.61400169032476093</c:v>
                </c:pt>
                <c:pt idx="7">
                  <c:v>0.61833916766415475</c:v>
                </c:pt>
                <c:pt idx="8">
                  <c:v>0.61964562747407803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'10x15x10'!$T$3:$T$11</c:f>
              <c:numCache>
                <c:formatCode>0.00</c:formatCode>
                <c:ptCount val="9"/>
                <c:pt idx="0">
                  <c:v>127.07397028923255</c:v>
                </c:pt>
                <c:pt idx="1">
                  <c:v>135.76798978507458</c:v>
                </c:pt>
                <c:pt idx="2">
                  <c:v>145.92550270858879</c:v>
                </c:pt>
                <c:pt idx="3">
                  <c:v>144.77569693942849</c:v>
                </c:pt>
                <c:pt idx="4">
                  <c:v>144.54369084362654</c:v>
                </c:pt>
                <c:pt idx="5">
                  <c:v>145.54752866243177</c:v>
                </c:pt>
                <c:pt idx="6">
                  <c:v>145.64650309720216</c:v>
                </c:pt>
                <c:pt idx="7">
                  <c:v>144.63111615938934</c:v>
                </c:pt>
                <c:pt idx="8">
                  <c:v>142.75714538031076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B-47C2-B514-9393DCCE80C7}"/>
            </c:ext>
          </c:extLst>
        </c:ser>
        <c:ser>
          <c:idx val="1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'10x15x10'!$AY$3:$AY$11</c:f>
              <c:numCache>
                <c:formatCode>0.00</c:formatCode>
                <c:ptCount val="9"/>
                <c:pt idx="0">
                  <c:v>242.61161260205884</c:v>
                </c:pt>
                <c:pt idx="1">
                  <c:v>241.95821124656513</c:v>
                </c:pt>
                <c:pt idx="2">
                  <c:v>243.37031733153066</c:v>
                </c:pt>
                <c:pt idx="3">
                  <c:v>246.38513703932179</c:v>
                </c:pt>
                <c:pt idx="4">
                  <c:v>249.34559161107856</c:v>
                </c:pt>
                <c:pt idx="5">
                  <c:v>251.47498366064798</c:v>
                </c:pt>
                <c:pt idx="6">
                  <c:v>250.88359155611317</c:v>
                </c:pt>
                <c:pt idx="7">
                  <c:v>246.1713670609108</c:v>
                </c:pt>
                <c:pt idx="8">
                  <c:v>243.23526269394117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B-47C2-B514-9393DCCE80C7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B-47C2-B514-9393DCCE80C7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B-47C2-B514-9393DCCE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'10x15x4'!$Y$3:$Y$11</c:f>
              <c:numCache>
                <c:formatCode>0.00%</c:formatCode>
                <c:ptCount val="9"/>
                <c:pt idx="0">
                  <c:v>0.60122532677852147</c:v>
                </c:pt>
                <c:pt idx="1">
                  <c:v>0.61787374631366698</c:v>
                </c:pt>
                <c:pt idx="2">
                  <c:v>0.63646016379706916</c:v>
                </c:pt>
                <c:pt idx="3">
                  <c:v>0.64466229238159778</c:v>
                </c:pt>
                <c:pt idx="4">
                  <c:v>0.65252459981047362</c:v>
                </c:pt>
                <c:pt idx="5">
                  <c:v>0.65938188729506086</c:v>
                </c:pt>
                <c:pt idx="6">
                  <c:v>0.66704909517537692</c:v>
                </c:pt>
                <c:pt idx="7">
                  <c:v>0.67651937544909369</c:v>
                </c:pt>
                <c:pt idx="8">
                  <c:v>0.6793757391712697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D2B-A3F3-5DA05D19FD27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'10x15x4'!$BD$3:$BD$11</c:f>
              <c:numCache>
                <c:formatCode>0.00%</c:formatCode>
                <c:ptCount val="9"/>
                <c:pt idx="0">
                  <c:v>0.60656342628841686</c:v>
                </c:pt>
                <c:pt idx="1">
                  <c:v>0.61768773307337532</c:v>
                </c:pt>
                <c:pt idx="2">
                  <c:v>0.63133417126835467</c:v>
                </c:pt>
                <c:pt idx="3">
                  <c:v>0.63924505986031177</c:v>
                </c:pt>
                <c:pt idx="4">
                  <c:v>0.64605799523941854</c:v>
                </c:pt>
                <c:pt idx="5">
                  <c:v>0.65112366266613142</c:v>
                </c:pt>
                <c:pt idx="6">
                  <c:v>0.65589792650137468</c:v>
                </c:pt>
                <c:pt idx="7">
                  <c:v>0.65998797664315878</c:v>
                </c:pt>
                <c:pt idx="8" formatCode="0.0000%">
                  <c:v>0.66241561106022728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D2B-A3F3-5DA05D19FD27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D2B-A3F3-5DA05D19FD27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F-4D2B-A3F3-5DA05D1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электрический 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'10x15x10'!$Y$3:$Y$11</c:f>
              <c:numCache>
                <c:formatCode>0.00%</c:formatCode>
                <c:ptCount val="9"/>
                <c:pt idx="0">
                  <c:v>0.55687850401726646</c:v>
                </c:pt>
                <c:pt idx="1">
                  <c:v>0.57737497729658382</c:v>
                </c:pt>
                <c:pt idx="2">
                  <c:v>0.58073439618873623</c:v>
                </c:pt>
                <c:pt idx="3">
                  <c:v>0.58837554688665294</c:v>
                </c:pt>
                <c:pt idx="4">
                  <c:v>0.59618869231589622</c:v>
                </c:pt>
                <c:pt idx="5">
                  <c:v>0.60315577595635772</c:v>
                </c:pt>
                <c:pt idx="6">
                  <c:v>0.61131854896926818</c:v>
                </c:pt>
                <c:pt idx="7">
                  <c:v>0.62065147052383207</c:v>
                </c:pt>
                <c:pt idx="8">
                  <c:v>0.64001822998556257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8-4FB5-A941-007962281FF6}"/>
            </c:ext>
          </c:extLst>
        </c:ser>
        <c:ser>
          <c:idx val="0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'10x15x10'!$BD$3:$BD$11</c:f>
              <c:numCache>
                <c:formatCode>0.00%</c:formatCode>
                <c:ptCount val="9"/>
                <c:pt idx="0">
                  <c:v>0.56930007525324522</c:v>
                </c:pt>
                <c:pt idx="1">
                  <c:v>0.57715347461706268</c:v>
                </c:pt>
                <c:pt idx="2">
                  <c:v>0.58698635710394309</c:v>
                </c:pt>
                <c:pt idx="3">
                  <c:v>0.59327542646683218</c:v>
                </c:pt>
                <c:pt idx="4">
                  <c:v>0.59909657189562748</c:v>
                </c:pt>
                <c:pt idx="5">
                  <c:v>0.60219348431383246</c:v>
                </c:pt>
                <c:pt idx="6">
                  <c:v>0.60387271601123016</c:v>
                </c:pt>
                <c:pt idx="7">
                  <c:v>0.60670552713285208</c:v>
                </c:pt>
                <c:pt idx="8">
                  <c:v>0.60755653351157524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8-4FB5-A941-007962281FF6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8-4FB5-A941-007962281FF6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8-4FB5-A941-00796228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18059508943E-2"/>
          <c:y val="0.79278379907926744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'10x15x10'!$BM$3:$BM$11</c:f>
              <c:numCache>
                <c:formatCode>0.00</c:formatCode>
                <c:ptCount val="9"/>
                <c:pt idx="0">
                  <c:v>-47.990285215881713</c:v>
                </c:pt>
                <c:pt idx="1">
                  <c:v>-51.689230886674494</c:v>
                </c:pt>
                <c:pt idx="2">
                  <c:v>-51.926524290783846</c:v>
                </c:pt>
                <c:pt idx="3">
                  <c:v>-53.710788213936752</c:v>
                </c:pt>
                <c:pt idx="4">
                  <c:v>-54.289164479148553</c:v>
                </c:pt>
                <c:pt idx="5">
                  <c:v>-54.160681264309318</c:v>
                </c:pt>
                <c:pt idx="6">
                  <c:v>-53.09297575689672</c:v>
                </c:pt>
                <c:pt idx="7">
                  <c:v>-49.661328528181116</c:v>
                </c:pt>
                <c:pt idx="8">
                  <c:v>-48.415316155425558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C-4E76-9FAC-4C437D560FA0}"/>
            </c:ext>
          </c:extLst>
        </c:ser>
        <c:ser>
          <c:idx val="1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'10x15x10'!$BN$3:$BN$11</c:f>
              <c:numCache>
                <c:formatCode>0.00</c:formatCode>
                <c:ptCount val="9"/>
                <c:pt idx="0">
                  <c:v>37.473923013148664</c:v>
                </c:pt>
                <c:pt idx="1">
                  <c:v>36.830099241950592</c:v>
                </c:pt>
                <c:pt idx="2">
                  <c:v>36.420957820185635</c:v>
                </c:pt>
                <c:pt idx="3">
                  <c:v>36.690254208784836</c:v>
                </c:pt>
                <c:pt idx="4">
                  <c:v>37.045016639701657</c:v>
                </c:pt>
                <c:pt idx="5">
                  <c:v>37.061578082498073</c:v>
                </c:pt>
                <c:pt idx="6">
                  <c:v>36.709994535772921</c:v>
                </c:pt>
                <c:pt idx="7">
                  <c:v>37.077895409555168</c:v>
                </c:pt>
                <c:pt idx="8">
                  <c:v>37.282179767168202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5C-4E76-9FAC-4C437D56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'10x15x10'!$Z$3:$Z$11</c:f>
              <c:numCache>
                <c:formatCode>0.00%</c:formatCode>
                <c:ptCount val="9"/>
                <c:pt idx="0">
                  <c:v>0.73646118902406976</c:v>
                </c:pt>
                <c:pt idx="1">
                  <c:v>0.74954326157752738</c:v>
                </c:pt>
                <c:pt idx="2">
                  <c:v>0.74733549430338553</c:v>
                </c:pt>
                <c:pt idx="3">
                  <c:v>0.75372016208676185</c:v>
                </c:pt>
                <c:pt idx="4">
                  <c:v>0.75952813067720037</c:v>
                </c:pt>
                <c:pt idx="5">
                  <c:v>0.76380161012740067</c:v>
                </c:pt>
                <c:pt idx="6">
                  <c:v>0.76956622017053322</c:v>
                </c:pt>
                <c:pt idx="7">
                  <c:v>0.77686527223757551</c:v>
                </c:pt>
                <c:pt idx="8">
                  <c:v>0.7917350521463723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4-49AC-8474-C941D8308C37}"/>
            </c:ext>
          </c:extLst>
        </c:ser>
        <c:ser>
          <c:idx val="0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'10x15x10'!$BE$3:$BE$11</c:f>
              <c:numCache>
                <c:formatCode>0.00%</c:formatCode>
                <c:ptCount val="9"/>
                <c:pt idx="0">
                  <c:v>0.6686374032014496</c:v>
                </c:pt>
                <c:pt idx="1">
                  <c:v>0.68004995552281611</c:v>
                </c:pt>
                <c:pt idx="2">
                  <c:v>0.69062550040638615</c:v>
                </c:pt>
                <c:pt idx="3">
                  <c:v>0.69430435529690537</c:v>
                </c:pt>
                <c:pt idx="4">
                  <c:v>0.69762782266583367</c:v>
                </c:pt>
                <c:pt idx="5">
                  <c:v>0.69886991271602572</c:v>
                </c:pt>
                <c:pt idx="6">
                  <c:v>0.69977475680239898</c:v>
                </c:pt>
                <c:pt idx="7">
                  <c:v>0.70305494398839052</c:v>
                </c:pt>
                <c:pt idx="8">
                  <c:v>0.70424335584930475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4-49AC-8474-C941D8308C37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4-49AC-8474-C941D8308C37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24-49AC-8474-C941D830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'10x15x10'!$AC$3:$AC$11</c:f>
              <c:numCache>
                <c:formatCode>0.00%</c:formatCode>
                <c:ptCount val="9"/>
                <c:pt idx="0">
                  <c:v>0.79392330254244592</c:v>
                </c:pt>
                <c:pt idx="1">
                  <c:v>0.79688908642493017</c:v>
                </c:pt>
                <c:pt idx="2">
                  <c:v>0.80053284961894322</c:v>
                </c:pt>
                <c:pt idx="3">
                  <c:v>0.80634093089076486</c:v>
                </c:pt>
                <c:pt idx="4">
                  <c:v>0.81167586831363747</c:v>
                </c:pt>
                <c:pt idx="5">
                  <c:v>0.81568479930333171</c:v>
                </c:pt>
                <c:pt idx="6">
                  <c:v>0.8209092580163706</c:v>
                </c:pt>
                <c:pt idx="7">
                  <c:v>0.82742110266581148</c:v>
                </c:pt>
                <c:pt idx="8">
                  <c:v>0.83004176195731316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8-49DF-A81C-B66064D5F8C8}"/>
            </c:ext>
          </c:extLst>
        </c:ser>
        <c:ser>
          <c:idx val="1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'10x15x10'!$BI$3:$BI$11</c:f>
              <c:numCache>
                <c:formatCode>0.00%</c:formatCode>
                <c:ptCount val="9"/>
                <c:pt idx="0">
                  <c:v>0.67818825926936988</c:v>
                </c:pt>
                <c:pt idx="1">
                  <c:v>0.68836079801892058</c:v>
                </c:pt>
                <c:pt idx="2">
                  <c:v>0.69882745486972375</c:v>
                </c:pt>
                <c:pt idx="3">
                  <c:v>0.70360853918088773</c:v>
                </c:pt>
                <c:pt idx="4">
                  <c:v>0.70809608003195712</c:v>
                </c:pt>
                <c:pt idx="5">
                  <c:v>0.71086399911812259</c:v>
                </c:pt>
                <c:pt idx="6">
                  <c:v>0.71343847252989201</c:v>
                </c:pt>
                <c:pt idx="7">
                  <c:v>0.71818155456155897</c:v>
                </c:pt>
                <c:pt idx="8">
                  <c:v>0.7197178540449215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8-49DF-A81C-B66064D5F8C8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58-49DF-A81C-B66064D5F8C8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58-49DF-A81C-B66064D5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'10x15x10'!$AB$3:$AB$11</c:f>
              <c:numCache>
                <c:formatCode>0.00%</c:formatCode>
                <c:ptCount val="9"/>
                <c:pt idx="0">
                  <c:v>0.54225700809352806</c:v>
                </c:pt>
                <c:pt idx="1">
                  <c:v>0.55416801728685705</c:v>
                </c:pt>
                <c:pt idx="2">
                  <c:v>0.56913615606118451</c:v>
                </c:pt>
                <c:pt idx="3">
                  <c:v>0.57696453859733776</c:v>
                </c:pt>
                <c:pt idx="4">
                  <c:v>0.58523390155904342</c:v>
                </c:pt>
                <c:pt idx="5">
                  <c:v>0.59288423913132027</c:v>
                </c:pt>
                <c:pt idx="6">
                  <c:v>0.60156692977376813</c:v>
                </c:pt>
                <c:pt idx="7">
                  <c:v>0.61128895992089327</c:v>
                </c:pt>
                <c:pt idx="8">
                  <c:v>0.61394225215313791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A-49BB-9B06-560F6E28DAF6}"/>
            </c:ext>
          </c:extLst>
        </c:ser>
        <c:ser>
          <c:idx val="0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'10x15x10'!$BH$3:$BH$11</c:f>
              <c:numCache>
                <c:formatCode>0.00%</c:formatCode>
                <c:ptCount val="9"/>
                <c:pt idx="0">
                  <c:v>0.56113494408931153</c:v>
                </c:pt>
                <c:pt idx="1">
                  <c:v>0.56840626874900502</c:v>
                </c:pt>
                <c:pt idx="2">
                  <c:v>0.57823873744603393</c:v>
                </c:pt>
                <c:pt idx="3">
                  <c:v>0.58514947101457015</c:v>
                </c:pt>
                <c:pt idx="4">
                  <c:v>0.59168703783530119</c:v>
                </c:pt>
                <c:pt idx="5">
                  <c:v>0.59588021009958914</c:v>
                </c:pt>
                <c:pt idx="6">
                  <c:v>0.59880238939099328</c:v>
                </c:pt>
                <c:pt idx="7">
                  <c:v>0.60269036001368537</c:v>
                </c:pt>
                <c:pt idx="8">
                  <c:v>0.60372758920882408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8A-49BB-9B06-560F6E28DAF6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8A-49BB-9B06-560F6E28DAF6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8A-49BB-9B06-560F6E28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'10x15x12'!$T$3:$T$11</c:f>
              <c:numCache>
                <c:formatCode>0.00</c:formatCode>
                <c:ptCount val="9"/>
                <c:pt idx="0">
                  <c:v>118.54027163063971</c:v>
                </c:pt>
                <c:pt idx="1">
                  <c:v>127.96917264907499</c:v>
                </c:pt>
                <c:pt idx="2">
                  <c:v>135.67832405047716</c:v>
                </c:pt>
                <c:pt idx="3">
                  <c:v>135.19167771516254</c:v>
                </c:pt>
                <c:pt idx="4">
                  <c:v>134.75088328636298</c:v>
                </c:pt>
                <c:pt idx="5">
                  <c:v>135.54212602016185</c:v>
                </c:pt>
                <c:pt idx="6">
                  <c:v>135.65865793181851</c:v>
                </c:pt>
                <c:pt idx="7">
                  <c:v>135.05462987344839</c:v>
                </c:pt>
                <c:pt idx="8">
                  <c:v>133.40168410073011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A-4112-9A89-7878AC9C38A9}"/>
            </c:ext>
          </c:extLst>
        </c:ser>
        <c:ser>
          <c:idx val="1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'10x15x12'!$AY$3:$AY$11</c:f>
              <c:numCache>
                <c:formatCode>0.00</c:formatCode>
                <c:ptCount val="9"/>
                <c:pt idx="0">
                  <c:v>252.40831575897164</c:v>
                </c:pt>
                <c:pt idx="1">
                  <c:v>251.74383609871649</c:v>
                </c:pt>
                <c:pt idx="2">
                  <c:v>253.21649767220478</c:v>
                </c:pt>
                <c:pt idx="3">
                  <c:v>256.37588197431518</c:v>
                </c:pt>
                <c:pt idx="4">
                  <c:v>259.49042040527411</c:v>
                </c:pt>
                <c:pt idx="5">
                  <c:v>260.90776066728552</c:v>
                </c:pt>
                <c:pt idx="6">
                  <c:v>260.34711601172404</c:v>
                </c:pt>
                <c:pt idx="7">
                  <c:v>255.70665036535269</c:v>
                </c:pt>
                <c:pt idx="8">
                  <c:v>252.77719870872701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A-4112-9A89-7878AC9C38A9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FA-4112-9A89-7878AC9C38A9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FA-4112-9A89-7878AC9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'10x15x12'!$Y$3:$Y$11</c:f>
              <c:numCache>
                <c:formatCode>0.00%</c:formatCode>
                <c:ptCount val="9"/>
                <c:pt idx="0">
                  <c:v>0.54670016783726105</c:v>
                </c:pt>
                <c:pt idx="1">
                  <c:v>0.56745833654649747</c:v>
                </c:pt>
                <c:pt idx="2">
                  <c:v>0.5674866446558694</c:v>
                </c:pt>
                <c:pt idx="3">
                  <c:v>0.57526950153121403</c:v>
                </c:pt>
                <c:pt idx="4">
                  <c:v>0.58340546705455076</c:v>
                </c:pt>
                <c:pt idx="5">
                  <c:v>0.59039325065083881</c:v>
                </c:pt>
                <c:pt idx="6">
                  <c:v>0.59873101165131948</c:v>
                </c:pt>
                <c:pt idx="7">
                  <c:v>0.60787374680593687</c:v>
                </c:pt>
                <c:pt idx="8">
                  <c:v>0.63110142192928931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B-4324-A3FF-CD57EDE9F7FA}"/>
            </c:ext>
          </c:extLst>
        </c:ser>
        <c:ser>
          <c:idx val="0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'10x15x12'!$BD$3:$BD$11</c:f>
              <c:numCache>
                <c:formatCode>0.00%</c:formatCode>
                <c:ptCount val="9"/>
                <c:pt idx="0">
                  <c:v>0.55880486901258164</c:v>
                </c:pt>
                <c:pt idx="1">
                  <c:v>0.56605453167020614</c:v>
                </c:pt>
                <c:pt idx="2">
                  <c:v>0.5752243869207696</c:v>
                </c:pt>
                <c:pt idx="3">
                  <c:v>0.58130976527884526</c:v>
                </c:pt>
                <c:pt idx="4">
                  <c:v>0.5869764149097596</c:v>
                </c:pt>
                <c:pt idx="5">
                  <c:v>0.58773850818543472</c:v>
                </c:pt>
                <c:pt idx="6">
                  <c:v>0.58894819106074292</c:v>
                </c:pt>
                <c:pt idx="7">
                  <c:v>0.59106397068965189</c:v>
                </c:pt>
                <c:pt idx="8">
                  <c:v>0.5915767272271476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4B-4324-A3FF-CD57EDE9F7FA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4B-4324-A3FF-CD57EDE9F7FA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4B-4324-A3FF-CD57EDE9F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'10x15x12'!$BM$3:$BM$11</c:f>
              <c:numCache>
                <c:formatCode>0.00</c:formatCode>
                <c:ptCount val="9"/>
                <c:pt idx="0">
                  <c:v>-56.523983874474553</c:v>
                </c:pt>
                <c:pt idx="1">
                  <c:v>-59.488048022674079</c:v>
                </c:pt>
                <c:pt idx="2">
                  <c:v>-62.173702948895482</c:v>
                </c:pt>
                <c:pt idx="3">
                  <c:v>-63.294807438202696</c:v>
                </c:pt>
                <c:pt idx="4">
                  <c:v>-64.081972036412111</c:v>
                </c:pt>
                <c:pt idx="5">
                  <c:v>-64.166083906579246</c:v>
                </c:pt>
                <c:pt idx="6">
                  <c:v>-63.080820922280367</c:v>
                </c:pt>
                <c:pt idx="7">
                  <c:v>-59.237814814122061</c:v>
                </c:pt>
                <c:pt idx="8">
                  <c:v>-57.77077743500621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F-4AF0-9811-E674C94B12E6}"/>
            </c:ext>
          </c:extLst>
        </c:ser>
        <c:ser>
          <c:idx val="1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'10x15x12'!$BN$3:$BN$11</c:f>
              <c:numCache>
                <c:formatCode>0.00</c:formatCode>
                <c:ptCount val="9"/>
                <c:pt idx="0">
                  <c:v>47.270626170061462</c:v>
                </c:pt>
                <c:pt idx="1">
                  <c:v>46.61572409410195</c:v>
                </c:pt>
                <c:pt idx="2">
                  <c:v>46.267138160859759</c:v>
                </c:pt>
                <c:pt idx="3">
                  <c:v>46.680999143778223</c:v>
                </c:pt>
                <c:pt idx="4">
                  <c:v>47.189845433897204</c:v>
                </c:pt>
                <c:pt idx="5">
                  <c:v>46.49435508913561</c:v>
                </c:pt>
                <c:pt idx="6">
                  <c:v>46.173518991383787</c:v>
                </c:pt>
                <c:pt idx="7">
                  <c:v>46.613178713997058</c:v>
                </c:pt>
                <c:pt idx="8">
                  <c:v>46.824115781954049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F-4AF0-9811-E674C94B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'10x15x12'!$Z$3:$Z$11</c:f>
              <c:numCache>
                <c:formatCode>0.00%</c:formatCode>
                <c:ptCount val="9"/>
                <c:pt idx="0">
                  <c:v>0.73623664878746686</c:v>
                </c:pt>
                <c:pt idx="1">
                  <c:v>0.74817681791572987</c:v>
                </c:pt>
                <c:pt idx="2">
                  <c:v>0.7446209160008922</c:v>
                </c:pt>
                <c:pt idx="3">
                  <c:v>0.75063203615720997</c:v>
                </c:pt>
                <c:pt idx="4">
                  <c:v>0.75680943978878756</c:v>
                </c:pt>
                <c:pt idx="5">
                  <c:v>0.76111563103007929</c:v>
                </c:pt>
                <c:pt idx="6">
                  <c:v>0.76692691827563364</c:v>
                </c:pt>
                <c:pt idx="7">
                  <c:v>0.7738010725469221</c:v>
                </c:pt>
                <c:pt idx="8">
                  <c:v>0.79133592784043816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86-430D-BEC8-5BA51B866BC7}"/>
            </c:ext>
          </c:extLst>
        </c:ser>
        <c:ser>
          <c:idx val="0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'10x15x12'!$BE$3:$BE$11</c:f>
              <c:numCache>
                <c:formatCode>0.00%</c:formatCode>
                <c:ptCount val="9"/>
                <c:pt idx="0">
                  <c:v>0.65035362643767902</c:v>
                </c:pt>
                <c:pt idx="1">
                  <c:v>0.66151119397510671</c:v>
                </c:pt>
                <c:pt idx="2">
                  <c:v>0.67165616377237225</c:v>
                </c:pt>
                <c:pt idx="3">
                  <c:v>0.675065993519126</c:v>
                </c:pt>
                <c:pt idx="4">
                  <c:v>0.67815800217233713</c:v>
                </c:pt>
                <c:pt idx="5">
                  <c:v>0.67740383225366696</c:v>
                </c:pt>
                <c:pt idx="6">
                  <c:v>0.67767611532416905</c:v>
                </c:pt>
                <c:pt idx="7">
                  <c:v>0.68004273794571324</c:v>
                </c:pt>
                <c:pt idx="8">
                  <c:v>0.68081431270693993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86-430D-BEC8-5BA51B866BC7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86-430D-BEC8-5BA51B866BC7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86-430D-BEC8-5BA51B86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'10x15x12'!$AC$3:$AC$11</c:f>
              <c:numCache>
                <c:formatCode>0.00%</c:formatCode>
                <c:ptCount val="9"/>
                <c:pt idx="0">
                  <c:v>0.80212621497047698</c:v>
                </c:pt>
                <c:pt idx="1">
                  <c:v>0.80256104487822189</c:v>
                </c:pt>
                <c:pt idx="2">
                  <c:v>0.80644990511958947</c:v>
                </c:pt>
                <c:pt idx="3">
                  <c:v>0.81179749013374269</c:v>
                </c:pt>
                <c:pt idx="4">
                  <c:v>0.81733260766290805</c:v>
                </c:pt>
                <c:pt idx="5">
                  <c:v>0.82132754057121982</c:v>
                </c:pt>
                <c:pt idx="6">
                  <c:v>0.8264716925519765</c:v>
                </c:pt>
                <c:pt idx="7">
                  <c:v>0.8324560332711376</c:v>
                </c:pt>
                <c:pt idx="8">
                  <c:v>0.83492531436623885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C-4A91-870A-7F17AB19FDFF}"/>
            </c:ext>
          </c:extLst>
        </c:ser>
        <c:ser>
          <c:idx val="1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'10x15x12'!$BI$3:$BI$11</c:f>
              <c:numCache>
                <c:formatCode>0.00%</c:formatCode>
                <c:ptCount val="9"/>
                <c:pt idx="0">
                  <c:v>0.66579423897934531</c:v>
                </c:pt>
                <c:pt idx="1">
                  <c:v>0.67551753958260474</c:v>
                </c:pt>
                <c:pt idx="2">
                  <c:v>0.6856195387016365</c:v>
                </c:pt>
                <c:pt idx="3">
                  <c:v>0.69040215103030356</c:v>
                </c:pt>
                <c:pt idx="4">
                  <c:v>0.69493128239332569</c:v>
                </c:pt>
                <c:pt idx="5">
                  <c:v>0.6964158644574252</c:v>
                </c:pt>
                <c:pt idx="6">
                  <c:v>0.69883655405597989</c:v>
                </c:pt>
                <c:pt idx="7">
                  <c:v>0.7032169025689794</c:v>
                </c:pt>
                <c:pt idx="8">
                  <c:v>0.70453581189884029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C-4A91-870A-7F17AB19FDFF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3C-4A91-870A-7F17AB19FDFF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3C-4A91-870A-7F17AB19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'10x15x4'!$BM$3:$BM$11</c:f>
              <c:numCache>
                <c:formatCode>0.00</c:formatCode>
                <c:ptCount val="9"/>
                <c:pt idx="0">
                  <c:v>-19.985375752121826</c:v>
                </c:pt>
                <c:pt idx="1">
                  <c:v>-21.387315671520895</c:v>
                </c:pt>
                <c:pt idx="2">
                  <c:v>-22.74343667980645</c:v>
                </c:pt>
                <c:pt idx="3">
                  <c:v>-22.486176878295993</c:v>
                </c:pt>
                <c:pt idx="4">
                  <c:v>-22.528379990799067</c:v>
                </c:pt>
                <c:pt idx="5">
                  <c:v>-22.178430512488717</c:v>
                </c:pt>
                <c:pt idx="6">
                  <c:v>-21.160006231758587</c:v>
                </c:pt>
                <c:pt idx="7">
                  <c:v>-19.329578747815816</c:v>
                </c:pt>
                <c:pt idx="8">
                  <c:v>-19.748411631380606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6-449C-BA03-978FED464B7F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'10x15x4'!$BN$3:$BN$11</c:f>
              <c:numCache>
                <c:formatCode>0.00</c:formatCode>
                <c:ptCount val="9"/>
                <c:pt idx="0">
                  <c:v>8.824859631929769</c:v>
                </c:pt>
                <c:pt idx="1">
                  <c:v>8.564021948448584</c:v>
                </c:pt>
                <c:pt idx="2">
                  <c:v>8.4185264353142202</c:v>
                </c:pt>
                <c:pt idx="3">
                  <c:v>8.5403031866229924</c:v>
                </c:pt>
                <c:pt idx="4">
                  <c:v>8.5519766237979979</c:v>
                </c:pt>
                <c:pt idx="5">
                  <c:v>8.6523346132470067</c:v>
                </c:pt>
                <c:pt idx="6">
                  <c:v>8.620175071583418</c:v>
                </c:pt>
                <c:pt idx="7">
                  <c:v>8.2459533482702625</c:v>
                </c:pt>
                <c:pt idx="8">
                  <c:v>8.5043449778731599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6-449C-BA03-978FED46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'10x15x12'!$AB$3:$AB$11</c:f>
              <c:numCache>
                <c:formatCode>0.00%</c:formatCode>
                <c:ptCount val="9"/>
                <c:pt idx="0">
                  <c:v>0.52742459513867235</c:v>
                </c:pt>
                <c:pt idx="1">
                  <c:v>0.5380679854181617</c:v>
                </c:pt>
                <c:pt idx="2">
                  <c:v>0.551929438632353</c:v>
                </c:pt>
                <c:pt idx="3">
                  <c:v>0.55998397561014546</c:v>
                </c:pt>
                <c:pt idx="4">
                  <c:v>0.56855603636954366</c:v>
                </c:pt>
                <c:pt idx="5">
                  <c:v>0.57629621776206574</c:v>
                </c:pt>
                <c:pt idx="6">
                  <c:v>0.5851978252177874</c:v>
                </c:pt>
                <c:pt idx="7">
                  <c:v>0.59479017244168841</c:v>
                </c:pt>
                <c:pt idx="8">
                  <c:v>0.59733389627528322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6-4C7D-8196-B781E81DDB04}"/>
            </c:ext>
          </c:extLst>
        </c:ser>
        <c:ser>
          <c:idx val="0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'10x15x12'!$BH$3:$BH$11</c:f>
              <c:numCache>
                <c:formatCode>0.00%</c:formatCode>
                <c:ptCount val="9"/>
                <c:pt idx="0">
                  <c:v>0.55101288157701034</c:v>
                </c:pt>
                <c:pt idx="1">
                  <c:v>0.55769319002191287</c:v>
                </c:pt>
                <c:pt idx="2">
                  <c:v>0.56696092389710218</c:v>
                </c:pt>
                <c:pt idx="3">
                  <c:v>0.5737719932594072</c:v>
                </c:pt>
                <c:pt idx="4">
                  <c:v>0.58026601620685681</c:v>
                </c:pt>
                <c:pt idx="5">
                  <c:v>0.58262727162229233</c:v>
                </c:pt>
                <c:pt idx="6">
                  <c:v>0.5853425103954758</c:v>
                </c:pt>
                <c:pt idx="7">
                  <c:v>0.58882274161955139</c:v>
                </c:pt>
                <c:pt idx="8">
                  <c:v>0.58962757751040318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6-4C7D-8196-B781E81DDB04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6-4C7D-8196-B781E81DDB04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6-4C7D-8196-B781E81D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'10x15x14'!$T$3:$T$11</c:f>
              <c:numCache>
                <c:formatCode>0.00</c:formatCode>
                <c:ptCount val="9"/>
                <c:pt idx="0">
                  <c:v>136.50650961320528</c:v>
                </c:pt>
                <c:pt idx="1">
                  <c:v>118.3272121081968</c:v>
                </c:pt>
                <c:pt idx="2">
                  <c:v>126.0126379196777</c:v>
                </c:pt>
                <c:pt idx="3">
                  <c:v>125.94159708287592</c:v>
                </c:pt>
                <c:pt idx="4">
                  <c:v>125.32526855313247</c:v>
                </c:pt>
                <c:pt idx="5">
                  <c:v>125.89000819955581</c:v>
                </c:pt>
                <c:pt idx="6">
                  <c:v>125.93305933170068</c:v>
                </c:pt>
                <c:pt idx="7">
                  <c:v>125.644158454034</c:v>
                </c:pt>
                <c:pt idx="8">
                  <c:v>124.1876169513156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C5-41B2-A33A-A535EAC12877}"/>
            </c:ext>
          </c:extLst>
        </c:ser>
        <c:ser>
          <c:idx val="1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'10x15x14'!$AY$3:$AY$11</c:f>
              <c:numCache>
                <c:formatCode>0.00</c:formatCode>
                <c:ptCount val="9"/>
                <c:pt idx="0">
                  <c:v>232.82227177768343</c:v>
                </c:pt>
                <c:pt idx="1">
                  <c:v>261.61818435005506</c:v>
                </c:pt>
                <c:pt idx="2">
                  <c:v>263.18670291535983</c:v>
                </c:pt>
                <c:pt idx="3">
                  <c:v>266.49355378520517</c:v>
                </c:pt>
                <c:pt idx="4">
                  <c:v>268.88085009975526</c:v>
                </c:pt>
                <c:pt idx="5">
                  <c:v>270.26517468542312</c:v>
                </c:pt>
                <c:pt idx="6">
                  <c:v>269.69802666669847</c:v>
                </c:pt>
                <c:pt idx="7">
                  <c:v>265.08425470831168</c:v>
                </c:pt>
                <c:pt idx="8">
                  <c:v>262.15340624966848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C5-41B2-A33A-A535EAC12877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C5-41B2-A33A-A535EAC12877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C5-41B2-A33A-A535EAC1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'10x15x14'!$Y$3:$Y$11</c:f>
              <c:numCache>
                <c:formatCode>0.00%</c:formatCode>
                <c:ptCount val="9"/>
                <c:pt idx="0">
                  <c:v>0.5678667317214352</c:v>
                </c:pt>
                <c:pt idx="1">
                  <c:v>0.56089703216483056</c:v>
                </c:pt>
                <c:pt idx="2">
                  <c:v>0.55637849867789968</c:v>
                </c:pt>
                <c:pt idx="3">
                  <c:v>0.56403817512141063</c:v>
                </c:pt>
                <c:pt idx="4">
                  <c:v>0.57246572317476285</c:v>
                </c:pt>
                <c:pt idx="5">
                  <c:v>0.57948559479799022</c:v>
                </c:pt>
                <c:pt idx="6">
                  <c:v>0.58800802338063396</c:v>
                </c:pt>
                <c:pt idx="7">
                  <c:v>0.59687411919490263</c:v>
                </c:pt>
                <c:pt idx="8">
                  <c:v>0.62443132038880245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E-4F2D-BE07-772D682C5766}"/>
            </c:ext>
          </c:extLst>
        </c:ser>
        <c:ser>
          <c:idx val="0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'10x15x14'!$BD$3:$BD$11</c:f>
              <c:numCache>
                <c:formatCode>0.00%</c:formatCode>
                <c:ptCount val="9"/>
                <c:pt idx="0">
                  <c:v>0.58038884187015183</c:v>
                </c:pt>
                <c:pt idx="1">
                  <c:v>0.555754098941175</c:v>
                </c:pt>
                <c:pt idx="2">
                  <c:v>0.56441192191040102</c:v>
                </c:pt>
                <c:pt idx="3">
                  <c:v>0.57034085501980725</c:v>
                </c:pt>
                <c:pt idx="4">
                  <c:v>0.57362426651094534</c:v>
                </c:pt>
                <c:pt idx="5">
                  <c:v>0.57395041415414705</c:v>
                </c:pt>
                <c:pt idx="6">
                  <c:v>0.57464861804298384</c:v>
                </c:pt>
                <c:pt idx="7">
                  <c:v>0.57601432363638039</c:v>
                </c:pt>
                <c:pt idx="8">
                  <c:v>0.5762046623787801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E-4F2D-BE07-772D682C5766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E-4F2D-BE07-772D682C5766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CE-4F2D-BE07-772D682C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'10x15x14'!$BM$3:$BM$11</c:f>
              <c:numCache>
                <c:formatCode>0.00</c:formatCode>
                <c:ptCount val="9"/>
                <c:pt idx="0">
                  <c:v>-38.557745891908979</c:v>
                </c:pt>
                <c:pt idx="1">
                  <c:v>-69.130008563552266</c:v>
                </c:pt>
                <c:pt idx="2">
                  <c:v>-71.839389079694939</c:v>
                </c:pt>
                <c:pt idx="3">
                  <c:v>-72.544888070489321</c:v>
                </c:pt>
                <c:pt idx="4">
                  <c:v>-73.507586769642614</c:v>
                </c:pt>
                <c:pt idx="5">
                  <c:v>-73.818201727185283</c:v>
                </c:pt>
                <c:pt idx="6">
                  <c:v>-72.806419522398201</c:v>
                </c:pt>
                <c:pt idx="7">
                  <c:v>-68.648286233536453</c:v>
                </c:pt>
                <c:pt idx="8">
                  <c:v>-66.984844584420713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B-472F-8F65-4819C4285A91}"/>
            </c:ext>
          </c:extLst>
        </c:ser>
        <c:ser>
          <c:idx val="1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'10x15x14'!$BN$3:$BN$11</c:f>
              <c:numCache>
                <c:formatCode>0.00</c:formatCode>
                <c:ptCount val="9"/>
                <c:pt idx="0">
                  <c:v>27.684582188773248</c:v>
                </c:pt>
                <c:pt idx="1">
                  <c:v>56.490072345440524</c:v>
                </c:pt>
                <c:pt idx="2">
                  <c:v>56.237343404014808</c:v>
                </c:pt>
                <c:pt idx="3">
                  <c:v>56.798670954668211</c:v>
                </c:pt>
                <c:pt idx="4">
                  <c:v>56.580275128378361</c:v>
                </c:pt>
                <c:pt idx="5">
                  <c:v>55.851769107273213</c:v>
                </c:pt>
                <c:pt idx="6">
                  <c:v>55.524429646358215</c:v>
                </c:pt>
                <c:pt idx="7">
                  <c:v>55.990783056956047</c:v>
                </c:pt>
                <c:pt idx="8">
                  <c:v>56.200323322895514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B-472F-8F65-4819C428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'10x15x14'!$Z$3:$Z$11</c:f>
              <c:numCache>
                <c:formatCode>0.00%</c:formatCode>
                <c:ptCount val="9"/>
                <c:pt idx="0">
                  <c:v>0.737514809618244</c:v>
                </c:pt>
                <c:pt idx="1">
                  <c:v>0.75183247892163385</c:v>
                </c:pt>
                <c:pt idx="2">
                  <c:v>0.74412287868628935</c:v>
                </c:pt>
                <c:pt idx="3">
                  <c:v>0.74964138693802251</c:v>
                </c:pt>
                <c:pt idx="4">
                  <c:v>0.75615266937829329</c:v>
                </c:pt>
                <c:pt idx="5">
                  <c:v>0.76052476827240068</c:v>
                </c:pt>
                <c:pt idx="6">
                  <c:v>0.76643978624318709</c:v>
                </c:pt>
                <c:pt idx="7">
                  <c:v>0.77282171166046698</c:v>
                </c:pt>
                <c:pt idx="8">
                  <c:v>0.79324021628174102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9-492B-9E3B-AF1F33D550B0}"/>
            </c:ext>
          </c:extLst>
        </c:ser>
        <c:ser>
          <c:idx val="0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'10x15x14'!$BE$3:$BE$11</c:f>
              <c:numCache>
                <c:formatCode>0.00%</c:formatCode>
                <c:ptCount val="9"/>
                <c:pt idx="0">
                  <c:v>0.68685817558192408</c:v>
                </c:pt>
                <c:pt idx="1">
                  <c:v>0.64307401139066533</c:v>
                </c:pt>
                <c:pt idx="2">
                  <c:v>0.652859803733982</c:v>
                </c:pt>
                <c:pt idx="3">
                  <c:v>0.65602295475775818</c:v>
                </c:pt>
                <c:pt idx="4">
                  <c:v>0.65707556002363776</c:v>
                </c:pt>
                <c:pt idx="5">
                  <c:v>0.65572317380718237</c:v>
                </c:pt>
                <c:pt idx="6">
                  <c:v>0.65528533712233805</c:v>
                </c:pt>
                <c:pt idx="7">
                  <c:v>0.65663771044636809</c:v>
                </c:pt>
                <c:pt idx="8">
                  <c:v>0.65697120890484562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9-492B-9E3B-AF1F33D550B0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19-492B-9E3B-AF1F33D550B0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19-492B-9E3B-AF1F33D5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'10x15x14'!$AC$3:$AC$11</c:f>
              <c:numCache>
                <c:formatCode>0.00%</c:formatCode>
                <c:ptCount val="9"/>
                <c:pt idx="0">
                  <c:v>0</c:v>
                </c:pt>
                <c:pt idx="1">
                  <c:v>0.81126379238129043</c:v>
                </c:pt>
                <c:pt idx="2">
                  <c:v>0.81337989578487069</c:v>
                </c:pt>
                <c:pt idx="3">
                  <c:v>0.81821105425015139</c:v>
                </c:pt>
                <c:pt idx="4">
                  <c:v>0.82388519467314691</c:v>
                </c:pt>
                <c:pt idx="5">
                  <c:v>0.8278911977327319</c:v>
                </c:pt>
                <c:pt idx="6">
                  <c:v>0.83299097618517881</c:v>
                </c:pt>
                <c:pt idx="7">
                  <c:v>0.83842190441840525</c:v>
                </c:pt>
                <c:pt idx="8">
                  <c:v>0.84073043627031685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6-4453-9619-CC529F690D38}"/>
            </c:ext>
          </c:extLst>
        </c:ser>
        <c:ser>
          <c:idx val="1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'10x15x14'!$BI$3:$BI$11</c:f>
              <c:numCache>
                <c:formatCode>0.00%</c:formatCode>
                <c:ptCount val="9"/>
                <c:pt idx="0">
                  <c:v>0.69172913967468996</c:v>
                </c:pt>
                <c:pt idx="1">
                  <c:v>0.66383208077095557</c:v>
                </c:pt>
                <c:pt idx="2">
                  <c:v>0.67365230011398991</c:v>
                </c:pt>
                <c:pt idx="3">
                  <c:v>0.67845139845157598</c:v>
                </c:pt>
                <c:pt idx="4">
                  <c:v>0.68164654863939922</c:v>
                </c:pt>
                <c:pt idx="5">
                  <c:v>0.68300902331809255</c:v>
                </c:pt>
                <c:pt idx="6">
                  <c:v>0.68523488417186806</c:v>
                </c:pt>
                <c:pt idx="7">
                  <c:v>0.68922739533505628</c:v>
                </c:pt>
                <c:pt idx="8">
                  <c:v>0.69034376218030624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6-4453-9619-CC529F690D38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6-4453-9619-CC529F690D38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6-4453-9619-CC529F69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'10x15x14'!$AB$3:$AB$11</c:f>
              <c:numCache>
                <c:formatCode>0.00%</c:formatCode>
                <c:ptCount val="9"/>
                <c:pt idx="0">
                  <c:v>0</c:v>
                </c:pt>
                <c:pt idx="1">
                  <c:v>0.52360490254208947</c:v>
                </c:pt>
                <c:pt idx="2">
                  <c:v>0.53618310411951053</c:v>
                </c:pt>
                <c:pt idx="3">
                  <c:v>0.54419818776630802</c:v>
                </c:pt>
                <c:pt idx="4">
                  <c:v>0.55299790558454132</c:v>
                </c:pt>
                <c:pt idx="5">
                  <c:v>0.56081336030724194</c:v>
                </c:pt>
                <c:pt idx="6">
                  <c:v>0.56989694394213353</c:v>
                </c:pt>
                <c:pt idx="7">
                  <c:v>0.57927193955110268</c:v>
                </c:pt>
                <c:pt idx="8">
                  <c:v>0.58169733857055417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1-4708-8BF2-9D23DD3EA127}"/>
            </c:ext>
          </c:extLst>
        </c:ser>
        <c:ser>
          <c:idx val="0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'10x15x14'!$BH$3:$BH$11</c:f>
              <c:numCache>
                <c:formatCode>0.00%</c:formatCode>
                <c:ptCount val="9"/>
                <c:pt idx="0">
                  <c:v>0.57255583916084829</c:v>
                </c:pt>
                <c:pt idx="1">
                  <c:v>0.54830596689578459</c:v>
                </c:pt>
                <c:pt idx="2">
                  <c:v>0.55715711160595693</c:v>
                </c:pt>
                <c:pt idx="3">
                  <c:v>0.56389716274777035</c:v>
                </c:pt>
                <c:pt idx="4">
                  <c:v>0.5684914573726163</c:v>
                </c:pt>
                <c:pt idx="5">
                  <c:v>0.57065429059715456</c:v>
                </c:pt>
                <c:pt idx="6">
                  <c:v>0.57311438785197999</c:v>
                </c:pt>
                <c:pt idx="7">
                  <c:v>0.57616303723354145</c:v>
                </c:pt>
                <c:pt idx="8">
                  <c:v>0.57675903699279296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1-4708-8BF2-9D23DD3EA127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1-4708-8BF2-9D23DD3EA127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D1-4708-8BF2-9D23DD3E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Экономика!$AM$28:$AM$36</c:f>
              <c:numCache>
                <c:formatCode>General</c:formatCode>
                <c:ptCount val="9"/>
                <c:pt idx="0" formatCode="0.00E+00">
                  <c:v>-71.143786659081016</c:v>
                </c:pt>
                <c:pt idx="1">
                  <c:v>-73.479093034385428</c:v>
                </c:pt>
                <c:pt idx="2">
                  <c:v>-69.796298348012087</c:v>
                </c:pt>
                <c:pt idx="3">
                  <c:v>-68.113259305336982</c:v>
                </c:pt>
                <c:pt idx="4">
                  <c:v>-67.942400477778733</c:v>
                </c:pt>
                <c:pt idx="5">
                  <c:v>-66.8532156035578</c:v>
                </c:pt>
                <c:pt idx="6">
                  <c:v>-66.161796129328053</c:v>
                </c:pt>
                <c:pt idx="7">
                  <c:v>-66.406565120430542</c:v>
                </c:pt>
                <c:pt idx="8">
                  <c:v>-66.537039550029561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C-4325-9A4C-EB3683781D0E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Экономика!$AN$28:$AN$36</c:f>
              <c:numCache>
                <c:formatCode>General</c:formatCode>
                <c:ptCount val="9"/>
                <c:pt idx="0">
                  <c:v>-49.86681442348614</c:v>
                </c:pt>
                <c:pt idx="1">
                  <c:v>-49.432072346737961</c:v>
                </c:pt>
                <c:pt idx="2">
                  <c:v>-43.75877072265174</c:v>
                </c:pt>
                <c:pt idx="3">
                  <c:v>-42.186794566122842</c:v>
                </c:pt>
                <c:pt idx="4">
                  <c:v>-42.246558167306617</c:v>
                </c:pt>
                <c:pt idx="5">
                  <c:v>-41.335491116084711</c:v>
                </c:pt>
                <c:pt idx="6">
                  <c:v>-40.613616072337756</c:v>
                </c:pt>
                <c:pt idx="7">
                  <c:v>-40.598521384390985</c:v>
                </c:pt>
                <c:pt idx="8">
                  <c:v>-37.940829792261965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C-4325-9A4C-EB3683781D0E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Экономика!$AO$28:$AO$36</c:f>
              <c:numCache>
                <c:formatCode>General</c:formatCode>
                <c:ptCount val="9"/>
                <c:pt idx="0" formatCode="0.00E+00">
                  <c:v>-21.670339701459074</c:v>
                </c:pt>
                <c:pt idx="1">
                  <c:v>-20.458991274882138</c:v>
                </c:pt>
                <c:pt idx="2">
                  <c:v>-13.909197183684432</c:v>
                </c:pt>
                <c:pt idx="3">
                  <c:v>-12.54829951414172</c:v>
                </c:pt>
                <c:pt idx="4">
                  <c:v>-12.360651629029759</c:v>
                </c:pt>
                <c:pt idx="5">
                  <c:v>-11.229475358412689</c:v>
                </c:pt>
                <c:pt idx="6">
                  <c:v>-10.833434768995765</c:v>
                </c:pt>
                <c:pt idx="7">
                  <c:v>-12.146361399335728</c:v>
                </c:pt>
                <c:pt idx="8">
                  <c:v>-8.1397038249376923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C-4325-9A4C-EB3683781D0E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Экономика!$AP$28:$AP$36</c:f>
              <c:numCache>
                <c:formatCode>General</c:formatCode>
                <c:ptCount val="9"/>
                <c:pt idx="0">
                  <c:v>-58.997150997425805</c:v>
                </c:pt>
                <c:pt idx="1">
                  <c:v>-60.512420875530253</c:v>
                </c:pt>
                <c:pt idx="2">
                  <c:v>-55.97504100689445</c:v>
                </c:pt>
                <c:pt idx="3">
                  <c:v>-53.282510933073731</c:v>
                </c:pt>
                <c:pt idx="4">
                  <c:v>-52.411118513096923</c:v>
                </c:pt>
                <c:pt idx="5">
                  <c:v>-50.430753175113288</c:v>
                </c:pt>
                <c:pt idx="6">
                  <c:v>-48.92144598616121</c:v>
                </c:pt>
                <c:pt idx="7">
                  <c:v>-48.763294874088025</c:v>
                </c:pt>
                <c:pt idx="8">
                  <c:v>-47.412285586206828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C-4325-9A4C-EB3683781D0E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Экономика!$AQ$28:$AQ$36</c:f>
              <c:numCache>
                <c:formatCode>General</c:formatCode>
                <c:ptCount val="9"/>
                <c:pt idx="0">
                  <c:v>-29.378104476881024</c:v>
                </c:pt>
                <c:pt idx="1">
                  <c:v>-28.08846432820626</c:v>
                </c:pt>
                <c:pt idx="2">
                  <c:v>-21.592786261195723</c:v>
                </c:pt>
                <c:pt idx="3">
                  <c:v>-20.529426349620568</c:v>
                </c:pt>
                <c:pt idx="4">
                  <c:v>-20.539334473198977</c:v>
                </c:pt>
                <c:pt idx="5">
                  <c:v>-19.692972768725564</c:v>
                </c:pt>
                <c:pt idx="6">
                  <c:v>-19.453609840579187</c:v>
                </c:pt>
                <c:pt idx="7">
                  <c:v>-20.572282679432</c:v>
                </c:pt>
                <c:pt idx="8">
                  <c:v>-16.941020529438187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AC-4325-9A4C-EB368378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Экономика!$AR$28:$AR$36</c:f>
              <c:numCache>
                <c:formatCode>General</c:formatCode>
                <c:ptCount val="9"/>
                <c:pt idx="0">
                  <c:v>-100.83131010296583</c:v>
                </c:pt>
                <c:pt idx="1">
                  <c:v>-107.83231084022651</c:v>
                </c:pt>
                <c:pt idx="2">
                  <c:v>-106.63309813002229</c:v>
                </c:pt>
                <c:pt idx="3">
                  <c:v>-105.14086574723312</c:v>
                </c:pt>
                <c:pt idx="4">
                  <c:v>-104.46334459984247</c:v>
                </c:pt>
                <c:pt idx="5">
                  <c:v>-102.75423777705655</c:v>
                </c:pt>
                <c:pt idx="6">
                  <c:v>-103.16152951986655</c:v>
                </c:pt>
                <c:pt idx="7">
                  <c:v>-99.919296260284256</c:v>
                </c:pt>
                <c:pt idx="8">
                  <c:v>-99.740904978173845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8-4447-9BA4-1B2A6E15C4C8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Экономика!$AS$28:$AS$36</c:f>
              <c:numCache>
                <c:formatCode>General</c:formatCode>
                <c:ptCount val="9"/>
                <c:pt idx="0">
                  <c:v>-66.967160450069386</c:v>
                </c:pt>
                <c:pt idx="1">
                  <c:v>-69.434765853005786</c:v>
                </c:pt>
                <c:pt idx="2">
                  <c:v>-64.794024106826512</c:v>
                </c:pt>
                <c:pt idx="3">
                  <c:v>-62.695920699033685</c:v>
                </c:pt>
                <c:pt idx="4">
                  <c:v>-62.092685871766939</c:v>
                </c:pt>
                <c:pt idx="5">
                  <c:v>-60.173926228571482</c:v>
                </c:pt>
                <c:pt idx="6">
                  <c:v>-59.573790686792371</c:v>
                </c:pt>
                <c:pt idx="7">
                  <c:v>-53.925719378516604</c:v>
                </c:pt>
                <c:pt idx="8">
                  <c:v>-50.44601700984925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8-4447-9BA4-1B2A6E15C4C8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Экономика!$AT$28:$AT$36</c:f>
              <c:numCache>
                <c:formatCode>General</c:formatCode>
                <c:ptCount val="9"/>
                <c:pt idx="0">
                  <c:v>-21.034144812767305</c:v>
                </c:pt>
                <c:pt idx="1">
                  <c:v>-22.463707716679462</c:v>
                </c:pt>
                <c:pt idx="2">
                  <c:v>-16.443717288674438</c:v>
                </c:pt>
                <c:pt idx="3">
                  <c:v>-14.088863855160046</c:v>
                </c:pt>
                <c:pt idx="4">
                  <c:v>-13.026853127814073</c:v>
                </c:pt>
                <c:pt idx="5">
                  <c:v>-10.467792461899982</c:v>
                </c:pt>
                <c:pt idx="6">
                  <c:v>-9.5157744423838455</c:v>
                </c:pt>
                <c:pt idx="7">
                  <c:v>-4.3102144050190692</c:v>
                </c:pt>
                <c:pt idx="8">
                  <c:v>-0.34918448417977199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8-4447-9BA4-1B2A6E15C4C8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Экономика!$AU$28:$AU$36</c:f>
              <c:numCache>
                <c:formatCode>General</c:formatCode>
                <c:ptCount val="9"/>
                <c:pt idx="0">
                  <c:v>-75.938403720908596</c:v>
                </c:pt>
                <c:pt idx="1">
                  <c:v>-81.172183187565736</c:v>
                </c:pt>
                <c:pt idx="2">
                  <c:v>-78.129341534849203</c:v>
                </c:pt>
                <c:pt idx="3">
                  <c:v>-74.707324734949879</c:v>
                </c:pt>
                <c:pt idx="4">
                  <c:v>-72.491408769055994</c:v>
                </c:pt>
                <c:pt idx="5">
                  <c:v>-68.881280908472135</c:v>
                </c:pt>
                <c:pt idx="6">
                  <c:v>-67.74827114439276</c:v>
                </c:pt>
                <c:pt idx="7">
                  <c:v>-61.352472454603351</c:v>
                </c:pt>
                <c:pt idx="8">
                  <c:v>-58.811025335503743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8-4447-9BA4-1B2A6E15C4C8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Экономика!$AV$28:$AV$36</c:f>
              <c:numCache>
                <c:formatCode>General</c:formatCode>
                <c:ptCount val="9"/>
                <c:pt idx="0">
                  <c:v>-36.830178571744092</c:v>
                </c:pt>
                <c:pt idx="1">
                  <c:v>-38.150286588441055</c:v>
                </c:pt>
                <c:pt idx="2">
                  <c:v>-32.289681764798004</c:v>
                </c:pt>
                <c:pt idx="3">
                  <c:v>-30.46659104565336</c:v>
                </c:pt>
                <c:pt idx="4">
                  <c:v>-29.863088775892422</c:v>
                </c:pt>
                <c:pt idx="5">
                  <c:v>-27.924594935100032</c:v>
                </c:pt>
                <c:pt idx="6">
                  <c:v>-27.222403630120738</c:v>
                </c:pt>
                <c:pt idx="7">
                  <c:v>-22.728626460877887</c:v>
                </c:pt>
                <c:pt idx="8">
                  <c:v>-19.185339662629005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18-4447-9BA4-1B2A6E15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Экономика!$AW$28:$AW$36</c:f>
              <c:numCache>
                <c:formatCode>General</c:formatCode>
                <c:ptCount val="9"/>
                <c:pt idx="0">
                  <c:v>-125.81610401914554</c:v>
                </c:pt>
                <c:pt idx="1">
                  <c:v>-136.92225481894886</c:v>
                </c:pt>
                <c:pt idx="2">
                  <c:v>-138.15758617975357</c:v>
                </c:pt>
                <c:pt idx="3">
                  <c:v>-137.21284947948041</c:v>
                </c:pt>
                <c:pt idx="4">
                  <c:v>-136.18528041864099</c:v>
                </c:pt>
                <c:pt idx="5">
                  <c:v>-134.3064308599821</c:v>
                </c:pt>
                <c:pt idx="6">
                  <c:v>-135.33620199546183</c:v>
                </c:pt>
                <c:pt idx="7">
                  <c:v>-132.43805216006797</c:v>
                </c:pt>
                <c:pt idx="8">
                  <c:v>-132.40153267441431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7-4321-BE17-B4178790FF95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Экономика!$AX$28:$AX$36</c:f>
              <c:numCache>
                <c:formatCode>General</c:formatCode>
                <c:ptCount val="9"/>
                <c:pt idx="0">
                  <c:v>-79.405148684117393</c:v>
                </c:pt>
                <c:pt idx="1">
                  <c:v>-84.308917917891634</c:v>
                </c:pt>
                <c:pt idx="2">
                  <c:v>-80.969303835657541</c:v>
                </c:pt>
                <c:pt idx="3">
                  <c:v>-78.523818976748302</c:v>
                </c:pt>
                <c:pt idx="4">
                  <c:v>-76.986930519099985</c:v>
                </c:pt>
                <c:pt idx="5">
                  <c:v>-74.352901102455618</c:v>
                </c:pt>
                <c:pt idx="6">
                  <c:v>-73.827180614326437</c:v>
                </c:pt>
                <c:pt idx="7">
                  <c:v>-67.410599067724917</c:v>
                </c:pt>
                <c:pt idx="8">
                  <c:v>-62.710270854150465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7-4321-BE17-B4178790FF95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Экономика!$AY$28:$AY$36</c:f>
              <c:numCache>
                <c:formatCode>General</c:formatCode>
                <c:ptCount val="9"/>
                <c:pt idx="0">
                  <c:v>-15.696191774371954</c:v>
                </c:pt>
                <c:pt idx="1">
                  <c:v>-19.418768705037451</c:v>
                </c:pt>
                <c:pt idx="2">
                  <c:v>-14.573620144239801</c:v>
                </c:pt>
                <c:pt idx="3">
                  <c:v>-11.249528517490079</c:v>
                </c:pt>
                <c:pt idx="4">
                  <c:v>-8.5890104078266312</c:v>
                </c:pt>
                <c:pt idx="5">
                  <c:v>-4.7315308226322523</c:v>
                </c:pt>
                <c:pt idx="6">
                  <c:v>-3.7504916261486358</c:v>
                </c:pt>
                <c:pt idx="7">
                  <c:v>2.0739909754596009</c:v>
                </c:pt>
                <c:pt idx="8">
                  <c:v>7.4053782627261535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7-4321-BE17-B4178790FF95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Экономика!$AZ$28:$AZ$36</c:f>
              <c:numCache>
                <c:formatCode>General</c:formatCode>
                <c:ptCount val="9"/>
                <c:pt idx="0">
                  <c:v>-87.710734946137066</c:v>
                </c:pt>
                <c:pt idx="1">
                  <c:v>-95.939145265809287</c:v>
                </c:pt>
                <c:pt idx="2">
                  <c:v>-94.180023729339126</c:v>
                </c:pt>
                <c:pt idx="3">
                  <c:v>-90.439592518874178</c:v>
                </c:pt>
                <c:pt idx="4">
                  <c:v>-86.917813219428879</c:v>
                </c:pt>
                <c:pt idx="5">
                  <c:v>-82.156595813616534</c:v>
                </c:pt>
                <c:pt idx="6">
                  <c:v>-80.859500089529902</c:v>
                </c:pt>
                <c:pt idx="7">
                  <c:v>-73.574166052076208</c:v>
                </c:pt>
                <c:pt idx="8">
                  <c:v>-70.106934604783049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77-4321-BE17-B4178790FF95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Экономика!$BA$28:$BA$36</c:f>
              <c:numCache>
                <c:formatCode>General</c:formatCode>
                <c:ptCount val="9"/>
                <c:pt idx="0">
                  <c:v>-39.876321126779338</c:v>
                </c:pt>
                <c:pt idx="1">
                  <c:v>-43.532861060150665</c:v>
                </c:pt>
                <c:pt idx="2">
                  <c:v>-39.021867518544894</c:v>
                </c:pt>
                <c:pt idx="3">
                  <c:v>-36.420429333877863</c:v>
                </c:pt>
                <c:pt idx="4">
                  <c:v>-34.53297238560539</c:v>
                </c:pt>
                <c:pt idx="5">
                  <c:v>-31.607524345910758</c:v>
                </c:pt>
                <c:pt idx="6">
                  <c:v>-30.9888425791146</c:v>
                </c:pt>
                <c:pt idx="7">
                  <c:v>-26.037717549172228</c:v>
                </c:pt>
                <c:pt idx="8">
                  <c:v>-21.262937556004442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77-4321-BE17-B4178790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'10x15x4'!$Z$3:$Z$11</c:f>
              <c:numCache>
                <c:formatCode>0.00%</c:formatCode>
                <c:ptCount val="9"/>
                <c:pt idx="0">
                  <c:v>0.75136448275267009</c:v>
                </c:pt>
                <c:pt idx="1">
                  <c:v>0.76166157618621566</c:v>
                </c:pt>
                <c:pt idx="2">
                  <c:v>0.77357706298944273</c:v>
                </c:pt>
                <c:pt idx="3">
                  <c:v>0.77916223083853076</c:v>
                </c:pt>
                <c:pt idx="4">
                  <c:v>0.78473655417920185</c:v>
                </c:pt>
                <c:pt idx="5">
                  <c:v>0.78910141593200023</c:v>
                </c:pt>
                <c:pt idx="6">
                  <c:v>0.79458095300128739</c:v>
                </c:pt>
                <c:pt idx="7">
                  <c:v>0.80250462526931265</c:v>
                </c:pt>
                <c:pt idx="8">
                  <c:v>0.8058355711452565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E-453A-B38C-C7FD04ABF509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'10x15x4'!$BE$3:$BE$11</c:f>
              <c:numCache>
                <c:formatCode>0.00%</c:formatCode>
                <c:ptCount val="9"/>
                <c:pt idx="0">
                  <c:v>0.7244921689052618</c:v>
                </c:pt>
                <c:pt idx="1">
                  <c:v>0.7374026033208726</c:v>
                </c:pt>
                <c:pt idx="2">
                  <c:v>0.75017757998070844</c:v>
                </c:pt>
                <c:pt idx="3">
                  <c:v>0.75521358039765507</c:v>
                </c:pt>
                <c:pt idx="4">
                  <c:v>0.75947968217906714</c:v>
                </c:pt>
                <c:pt idx="5">
                  <c:v>0.76251237442963926</c:v>
                </c:pt>
                <c:pt idx="6">
                  <c:v>0.76618715583121877</c:v>
                </c:pt>
                <c:pt idx="7">
                  <c:v>0.77112332370582426</c:v>
                </c:pt>
                <c:pt idx="8">
                  <c:v>0.7737183146412695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E-453A-B38C-C7FD04ABF509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E-453A-B38C-C7FD04ABF509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E-453A-B38C-C7FD04AB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Экономика!$BB$28:$BB$36</c:f>
              <c:numCache>
                <c:formatCode>General</c:formatCode>
                <c:ptCount val="9"/>
                <c:pt idx="0">
                  <c:v>-147.45114127262292</c:v>
                </c:pt>
                <c:pt idx="1">
                  <c:v>-162.45092983351648</c:v>
                </c:pt>
                <c:pt idx="2">
                  <c:v>-165.61415543167735</c:v>
                </c:pt>
                <c:pt idx="3">
                  <c:v>-164.68992650041881</c:v>
                </c:pt>
                <c:pt idx="4">
                  <c:v>-162.88558228291862</c:v>
                </c:pt>
                <c:pt idx="5">
                  <c:v>-163.18542672974004</c:v>
                </c:pt>
                <c:pt idx="6">
                  <c:v>-165.19323941450514</c:v>
                </c:pt>
                <c:pt idx="7">
                  <c:v>-162.33138262015873</c:v>
                </c:pt>
                <c:pt idx="8">
                  <c:v>-162.41748169126021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E-4104-89C8-27CD56D78936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Экономика!$BC$28:$BC$36</c:f>
              <c:numCache>
                <c:formatCode>General</c:formatCode>
                <c:ptCount val="9"/>
                <c:pt idx="0">
                  <c:v>-88.169070989799749</c:v>
                </c:pt>
                <c:pt idx="1">
                  <c:v>-94.279761927218232</c:v>
                </c:pt>
                <c:pt idx="2">
                  <c:v>-93.626613791020233</c:v>
                </c:pt>
                <c:pt idx="3">
                  <c:v>-89.695853359114849</c:v>
                </c:pt>
                <c:pt idx="4">
                  <c:v>-86.83219716209517</c:v>
                </c:pt>
                <c:pt idx="5">
                  <c:v>-86.214595561231604</c:v>
                </c:pt>
                <c:pt idx="6">
                  <c:v>-86.008864273214883</c:v>
                </c:pt>
                <c:pt idx="7">
                  <c:v>-78.260991078571067</c:v>
                </c:pt>
                <c:pt idx="8">
                  <c:v>-72.362956137689878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9E-4104-89C8-27CD56D78936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Экономика!$BD$28:$BD$36</c:f>
              <c:numCache>
                <c:formatCode>General</c:formatCode>
                <c:ptCount val="9"/>
                <c:pt idx="0">
                  <c:v>-6.2398579542450605</c:v>
                </c:pt>
                <c:pt idx="1">
                  <c:v>-9.8851497828418502</c:v>
                </c:pt>
                <c:pt idx="2">
                  <c:v>-9.7770874412521369</c:v>
                </c:pt>
                <c:pt idx="3">
                  <c:v>-3.6768089835138524</c:v>
                </c:pt>
                <c:pt idx="4">
                  <c:v>0.90613653565017738</c:v>
                </c:pt>
                <c:pt idx="5">
                  <c:v>2.8900742856827564</c:v>
                </c:pt>
                <c:pt idx="6">
                  <c:v>3.7941060194547753</c:v>
                </c:pt>
                <c:pt idx="7">
                  <c:v>11.077308572242327</c:v>
                </c:pt>
                <c:pt idx="8">
                  <c:v>17.704366918658721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9E-4104-89C8-27CD56D78936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Экономика!$BE$28:$BE$36</c:f>
              <c:numCache>
                <c:formatCode>General</c:formatCode>
                <c:ptCount val="9"/>
                <c:pt idx="0">
                  <c:v>-95.871613819663708</c:v>
                </c:pt>
                <c:pt idx="1">
                  <c:v>-106.68696457009408</c:v>
                </c:pt>
                <c:pt idx="2">
                  <c:v>-105.81943547556089</c:v>
                </c:pt>
                <c:pt idx="3">
                  <c:v>-100.97510092640715</c:v>
                </c:pt>
                <c:pt idx="4">
                  <c:v>-95.607966343644023</c:v>
                </c:pt>
                <c:pt idx="5">
                  <c:v>-92.841132293087611</c:v>
                </c:pt>
                <c:pt idx="6">
                  <c:v>-91.773250342959301</c:v>
                </c:pt>
                <c:pt idx="7">
                  <c:v>-82.99849032170431</c:v>
                </c:pt>
                <c:pt idx="8">
                  <c:v>-78.576513675823747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9E-4104-89C8-27CD56D78936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Экономика!$BF$28:$BF$36</c:f>
              <c:numCache>
                <c:formatCode>General</c:formatCode>
                <c:ptCount val="9"/>
                <c:pt idx="0">
                  <c:v>-38.970144422774318</c:v>
                </c:pt>
                <c:pt idx="1">
                  <c:v>-42.696164445014553</c:v>
                </c:pt>
                <c:pt idx="2">
                  <c:v>-43.018495643735513</c:v>
                </c:pt>
                <c:pt idx="3">
                  <c:v>-37.964768797978465</c:v>
                </c:pt>
                <c:pt idx="4">
                  <c:v>-34.521865127728553</c:v>
                </c:pt>
                <c:pt idx="5">
                  <c:v>-33.362634855164856</c:v>
                </c:pt>
                <c:pt idx="6">
                  <c:v>-32.915888516318113</c:v>
                </c:pt>
                <c:pt idx="7">
                  <c:v>-26.809811904626375</c:v>
                </c:pt>
                <c:pt idx="8">
                  <c:v>-20.879706565978996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9E-4104-89C8-27CD56D7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Экономика!$BG$28:$BG$36</c:f>
              <c:numCache>
                <c:formatCode>General</c:formatCode>
                <c:ptCount val="9"/>
                <c:pt idx="0">
                  <c:v>-166.67461454496959</c:v>
                </c:pt>
                <c:pt idx="1">
                  <c:v>-183.53372197512346</c:v>
                </c:pt>
                <c:pt idx="2">
                  <c:v>-190.35560291917238</c:v>
                </c:pt>
                <c:pt idx="3">
                  <c:v>-187.97148817655224</c:v>
                </c:pt>
                <c:pt idx="4">
                  <c:v>-185.41705447086167</c:v>
                </c:pt>
                <c:pt idx="5">
                  <c:v>-190.05643311572553</c:v>
                </c:pt>
                <c:pt idx="6">
                  <c:v>-192.41081305225322</c:v>
                </c:pt>
                <c:pt idx="7">
                  <c:v>-189.95010275193036</c:v>
                </c:pt>
                <c:pt idx="8" formatCode="0.00E+00">
                  <c:v>-190.42400077841035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4-4820-97A2-239272F0B234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Экономика!$BH$28:$BH$36</c:f>
              <c:numCache>
                <c:formatCode>General</c:formatCode>
                <c:ptCount val="9"/>
                <c:pt idx="0">
                  <c:v>-95.275018341551018</c:v>
                </c:pt>
                <c:pt idx="1">
                  <c:v>-102.4415603102416</c:v>
                </c:pt>
                <c:pt idx="2">
                  <c:v>-102.22354844157881</c:v>
                </c:pt>
                <c:pt idx="3">
                  <c:v>-96.83358958979673</c:v>
                </c:pt>
                <c:pt idx="4">
                  <c:v>-92.668028181924313</c:v>
                </c:pt>
                <c:pt idx="5">
                  <c:v>-96.48741602304554</c:v>
                </c:pt>
                <c:pt idx="6">
                  <c:v>-95.772637323045174</c:v>
                </c:pt>
                <c:pt idx="7">
                  <c:v>-87.001589421666054</c:v>
                </c:pt>
                <c:pt idx="8">
                  <c:v>-80.130101334869224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4-4820-97A2-239272F0B234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Экономика!$BI$28:$BI$36</c:f>
              <c:numCache>
                <c:formatCode>General</c:formatCode>
                <c:ptCount val="9"/>
                <c:pt idx="0">
                  <c:v>3.9594031112339581</c:v>
                </c:pt>
                <c:pt idx="1">
                  <c:v>-1.5463003473747521</c:v>
                </c:pt>
                <c:pt idx="2">
                  <c:v>0.59959113665338371</c:v>
                </c:pt>
                <c:pt idx="3">
                  <c:v>7.7528215332257098</c:v>
                </c:pt>
                <c:pt idx="4">
                  <c:v>14.208173625944299</c:v>
                </c:pt>
                <c:pt idx="5">
                  <c:v>11.607795916968492</c:v>
                </c:pt>
                <c:pt idx="6">
                  <c:v>13.481702590618982</c:v>
                </c:pt>
                <c:pt idx="7">
                  <c:v>22.001734812706882</c:v>
                </c:pt>
                <c:pt idx="8">
                  <c:v>29.760650951354183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A4-4820-97A2-239272F0B234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Экономика!$BJ$28:$BJ$36</c:f>
              <c:numCache>
                <c:formatCode>General</c:formatCode>
                <c:ptCount val="9"/>
                <c:pt idx="0">
                  <c:v>-101.61079511507548</c:v>
                </c:pt>
                <c:pt idx="1">
                  <c:v>-112.953471782588</c:v>
                </c:pt>
                <c:pt idx="2">
                  <c:v>-114.3957508153856</c:v>
                </c:pt>
                <c:pt idx="3">
                  <c:v>-106.9071351976546</c:v>
                </c:pt>
                <c:pt idx="4">
                  <c:v>-99.715370808153651</c:v>
                </c:pt>
                <c:pt idx="5">
                  <c:v>-101.80836670171237</c:v>
                </c:pt>
                <c:pt idx="6">
                  <c:v>-100.06377506948566</c:v>
                </c:pt>
                <c:pt idx="7">
                  <c:v>-90.215254110732815</c:v>
                </c:pt>
                <c:pt idx="8">
                  <c:v>-85.124921750765523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A4-4820-97A2-239272F0B234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Экономика!$BK$28:$BK$36</c:f>
              <c:numCache>
                <c:formatCode>General</c:formatCode>
                <c:ptCount val="9"/>
                <c:pt idx="0">
                  <c:v>-37.327470845090282</c:v>
                </c:pt>
                <c:pt idx="1">
                  <c:v>-43.075083549707834</c:v>
                </c:pt>
                <c:pt idx="2">
                  <c:v>-41.628425862763308</c:v>
                </c:pt>
                <c:pt idx="3">
                  <c:v>-35.871739191613628</c:v>
                </c:pt>
                <c:pt idx="4">
                  <c:v>-30.921835054763303</c:v>
                </c:pt>
                <c:pt idx="5">
                  <c:v>-33.871819872346705</c:v>
                </c:pt>
                <c:pt idx="6">
                  <c:v>-32.6918164007648</c:v>
                </c:pt>
                <c:pt idx="7">
                  <c:v>-25.628776526723172</c:v>
                </c:pt>
                <c:pt idx="8" formatCode="0.00E+00">
                  <c:v>-18.698562953705725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A4-4820-97A2-239272F0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Экономика!$BL$28:$BL$36</c:f>
              <c:numCache>
                <c:formatCode>General</c:formatCode>
                <c:ptCount val="9"/>
                <c:pt idx="0">
                  <c:v>0</c:v>
                </c:pt>
                <c:pt idx="1">
                  <c:v>-202.72185960502665</c:v>
                </c:pt>
                <c:pt idx="2">
                  <c:v>-211.2388967211796</c:v>
                </c:pt>
                <c:pt idx="3">
                  <c:v>-208.02027765705716</c:v>
                </c:pt>
                <c:pt idx="4">
                  <c:v>-209.54072120541102</c:v>
                </c:pt>
                <c:pt idx="5">
                  <c:v>-214.91362401467836</c:v>
                </c:pt>
                <c:pt idx="6">
                  <c:v>-217.91493137441674</c:v>
                </c:pt>
                <c:pt idx="7">
                  <c:v>-216.30625156788673</c:v>
                </c:pt>
                <c:pt idx="8" formatCode="0.00E+00">
                  <c:v>-217.27217817110883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1-43C3-8109-4301DDFB0991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Экономика!$BM$28:$BM$36</c:f>
              <c:numCache>
                <c:formatCode>General</c:formatCode>
                <c:ptCount val="9"/>
                <c:pt idx="0">
                  <c:v>0</c:v>
                </c:pt>
                <c:pt idx="1">
                  <c:v>-107.0410118170235</c:v>
                </c:pt>
                <c:pt idx="2">
                  <c:v>-107.38069636638382</c:v>
                </c:pt>
                <c:pt idx="3">
                  <c:v>-100.9200609623575</c:v>
                </c:pt>
                <c:pt idx="4">
                  <c:v>-101.043630424337</c:v>
                </c:pt>
                <c:pt idx="5">
                  <c:v>-105.09544176770839</c:v>
                </c:pt>
                <c:pt idx="6">
                  <c:v>-104.14536611014005</c:v>
                </c:pt>
                <c:pt idx="7">
                  <c:v>-94.798361986420645</c:v>
                </c:pt>
                <c:pt idx="8">
                  <c:v>-87.070911773211094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1-43C3-8109-4301DDFB0991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Экономика!$BN$28:$BN$36</c:f>
              <c:numCache>
                <c:formatCode>General</c:formatCode>
                <c:ptCount val="9"/>
                <c:pt idx="0">
                  <c:v>0</c:v>
                </c:pt>
                <c:pt idx="1">
                  <c:v>12.273314133522566</c:v>
                </c:pt>
                <c:pt idx="2">
                  <c:v>13.962525443724182</c:v>
                </c:pt>
                <c:pt idx="3">
                  <c:v>22.030703158781456</c:v>
                </c:pt>
                <c:pt idx="4">
                  <c:v>23.895161217638933</c:v>
                </c:pt>
                <c:pt idx="5">
                  <c:v>21.571845908545654</c:v>
                </c:pt>
                <c:pt idx="6">
                  <c:v>24.185483058616402</c:v>
                </c:pt>
                <c:pt idx="7">
                  <c:v>33.536868295951457</c:v>
                </c:pt>
                <c:pt idx="8" formatCode="0.00E+00">
                  <c:v>42.321400178497363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1-43C3-8109-4301DDFB0991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Экономика!$BO$28:$BO$36</c:f>
              <c:numCache>
                <c:formatCode>General</c:formatCode>
                <c:ptCount val="9"/>
                <c:pt idx="0">
                  <c:v>0</c:v>
                </c:pt>
                <c:pt idx="1">
                  <c:v>-117.1909895602538</c:v>
                </c:pt>
                <c:pt idx="2">
                  <c:v>-118.91029250047164</c:v>
                </c:pt>
                <c:pt idx="3">
                  <c:v>-109.38598114553612</c:v>
                </c:pt>
                <c:pt idx="4">
                  <c:v>-106.78503730740567</c:v>
                </c:pt>
                <c:pt idx="5">
                  <c:v>-108.9048274614276</c:v>
                </c:pt>
                <c:pt idx="6">
                  <c:v>-106.86607208170031</c:v>
                </c:pt>
                <c:pt idx="7">
                  <c:v>-96.50682085858827</c:v>
                </c:pt>
                <c:pt idx="8" formatCode="0.00E+00">
                  <c:v>-90.887681889013678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91-43C3-8109-4301DDFB0991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Экономика!$BP$28:$BP$36</c:f>
              <c:numCache>
                <c:formatCode>General</c:formatCode>
                <c:ptCount val="9"/>
                <c:pt idx="0">
                  <c:v>0</c:v>
                </c:pt>
                <c:pt idx="1">
                  <c:v>-38.052279067221797</c:v>
                </c:pt>
                <c:pt idx="2">
                  <c:v>-37.365297881120121</c:v>
                </c:pt>
                <c:pt idx="3">
                  <c:v>-31.049074815129803</c:v>
                </c:pt>
                <c:pt idx="4">
                  <c:v>-30.215384901385754</c:v>
                </c:pt>
                <c:pt idx="5">
                  <c:v>-33.060958337961289</c:v>
                </c:pt>
                <c:pt idx="6">
                  <c:v>-31.338946587741784</c:v>
                </c:pt>
                <c:pt idx="7">
                  <c:v>-23.675913601222621</c:v>
                </c:pt>
                <c:pt idx="8" formatCode="0.00E+00">
                  <c:v>-15.841438434833661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91-43C3-8109-4301DDFB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'10x15x4'!$AC$3:$AC$11</c:f>
              <c:numCache>
                <c:formatCode>0.00%</c:formatCode>
                <c:ptCount val="9"/>
                <c:pt idx="0">
                  <c:v>0.77245914139341476</c:v>
                </c:pt>
                <c:pt idx="1">
                  <c:v>0.78119447664643138</c:v>
                </c:pt>
                <c:pt idx="2">
                  <c:v>0.7917809257062598</c:v>
                </c:pt>
                <c:pt idx="3">
                  <c:v>0.79708937930535761</c:v>
                </c:pt>
                <c:pt idx="4">
                  <c:v>0.80240541918059549</c:v>
                </c:pt>
                <c:pt idx="5">
                  <c:v>0.80661526583696685</c:v>
                </c:pt>
                <c:pt idx="6">
                  <c:v>0.81185226003277056</c:v>
                </c:pt>
                <c:pt idx="7">
                  <c:v>0.81935700846397519</c:v>
                </c:pt>
                <c:pt idx="8">
                  <c:v>0.82252610028492157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3-4A84-B36E-4CB216FA0B08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'10x15x4'!$BI$3:$BI$11</c:f>
              <c:numCache>
                <c:formatCode>0.00%</c:formatCode>
                <c:ptCount val="9"/>
                <c:pt idx="0">
                  <c:v>0.7243047321810181</c:v>
                </c:pt>
                <c:pt idx="1">
                  <c:v>0.73678078209110354</c:v>
                </c:pt>
                <c:pt idx="2">
                  <c:v>0.74941406639214392</c:v>
                </c:pt>
                <c:pt idx="3">
                  <c:v>0.75470374527145756</c:v>
                </c:pt>
                <c:pt idx="4">
                  <c:v>0.75926347932932658</c:v>
                </c:pt>
                <c:pt idx="5">
                  <c:v>0.76265305947803552</c:v>
                </c:pt>
                <c:pt idx="6">
                  <c:v>0.76665543062619901</c:v>
                </c:pt>
                <c:pt idx="7">
                  <c:v>0.77186995064072594</c:v>
                </c:pt>
                <c:pt idx="8">
                  <c:v>0.77445547368340439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3-4A84-B36E-4CB216FA0B08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3-4A84-B36E-4CB216FA0B08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3-4A84-B36E-4CB216FA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'10x15x4'!$AB$3:$AB$11</c:f>
              <c:numCache>
                <c:formatCode>0.00%</c:formatCode>
                <c:ptCount val="9"/>
                <c:pt idx="0">
                  <c:v>0.59138137125468226</c:v>
                </c:pt>
                <c:pt idx="1">
                  <c:v>0.60857877948544969</c:v>
                </c:pt>
                <c:pt idx="2">
                  <c:v>0.62761937718422833</c:v>
                </c:pt>
                <c:pt idx="3">
                  <c:v>0.63595956875419912</c:v>
                </c:pt>
                <c:pt idx="4">
                  <c:v>0.64394764178022867</c:v>
                </c:pt>
                <c:pt idx="5">
                  <c:v>0.65104898907547626</c:v>
                </c:pt>
                <c:pt idx="6">
                  <c:v>0.6588647708947073</c:v>
                </c:pt>
                <c:pt idx="7">
                  <c:v>0.66828158146950156</c:v>
                </c:pt>
                <c:pt idx="8">
                  <c:v>0.67089804327654989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FAD-AD34-B39C8F77A5A6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'10x15x4'!$BH$3:$BH$11</c:f>
              <c:numCache>
                <c:formatCode>0.00%</c:formatCode>
                <c:ptCount val="9"/>
                <c:pt idx="0">
                  <c:v>0.60238497457148898</c:v>
                </c:pt>
                <c:pt idx="1">
                  <c:v>0.61316580233862528</c:v>
                </c:pt>
                <c:pt idx="2">
                  <c:v>0.62665233061953751</c:v>
                </c:pt>
                <c:pt idx="3">
                  <c:v>0.63472553291029021</c:v>
                </c:pt>
                <c:pt idx="4">
                  <c:v>0.6417593372295638</c:v>
                </c:pt>
                <c:pt idx="5">
                  <c:v>0.64712825418346664</c:v>
                </c:pt>
                <c:pt idx="6">
                  <c:v>0.65218486658827557</c:v>
                </c:pt>
                <c:pt idx="7">
                  <c:v>0.65652020370965491</c:v>
                </c:pt>
                <c:pt idx="8">
                  <c:v>0.65891191293560836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FAD-AD34-B39C8F77A5A6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FAD-AD34-B39C8F77A5A6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D-4FAD-AD34-B39C8F77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электрический 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'10x15x6'!$T$3:$T$11</c:f>
              <c:numCache>
                <c:formatCode>0.00</c:formatCode>
                <c:ptCount val="9"/>
                <c:pt idx="0">
                  <c:v>145.66763129388545</c:v>
                </c:pt>
                <c:pt idx="1">
                  <c:v>156.10867673908996</c:v>
                </c:pt>
                <c:pt idx="2">
                  <c:v>164.50090500611481</c:v>
                </c:pt>
                <c:pt idx="3">
                  <c:v>165.02376706084058</c:v>
                </c:pt>
                <c:pt idx="4">
                  <c:v>165.3840541053579</c:v>
                </c:pt>
                <c:pt idx="5">
                  <c:v>166.66032050430897</c:v>
                </c:pt>
                <c:pt idx="6">
                  <c:v>166.38809179742725</c:v>
                </c:pt>
                <c:pt idx="7">
                  <c:v>164.18061624396458</c:v>
                </c:pt>
                <c:pt idx="8">
                  <c:v>161.7746362315998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4543-8070-1D7CBF78EFC8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'10x15x6'!$AY$3:$AY$11</c:f>
              <c:numCache>
                <c:formatCode>0.00</c:formatCode>
                <c:ptCount val="9"/>
                <c:pt idx="0">
                  <c:v>223.22305995577676</c:v>
                </c:pt>
                <c:pt idx="1">
                  <c:v>222.7361702302484</c:v>
                </c:pt>
                <c:pt idx="2">
                  <c:v>224.31099474321044</c:v>
                </c:pt>
                <c:pt idx="3">
                  <c:v>227.22007176662032</c:v>
                </c:pt>
                <c:pt idx="4">
                  <c:v>229.90525489826388</c:v>
                </c:pt>
                <c:pt idx="5">
                  <c:v>232.25970350357227</c:v>
                </c:pt>
                <c:pt idx="6">
                  <c:v>231.88022620807715</c:v>
                </c:pt>
                <c:pt idx="7">
                  <c:v>227.11848773127031</c:v>
                </c:pt>
                <c:pt idx="8">
                  <c:v>224.15367348299878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A-4543-8070-1D7CBF78EFC8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A-4543-8070-1D7CBF78EFC8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A-4543-8070-1D7CBF7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'10x15x6'!$Y$3:$Y$11</c:f>
              <c:numCache>
                <c:formatCode>0.00%</c:formatCode>
                <c:ptCount val="9"/>
                <c:pt idx="0">
                  <c:v>0.58088574683661232</c:v>
                </c:pt>
                <c:pt idx="1">
                  <c:v>0.60114418586221563</c:v>
                </c:pt>
                <c:pt idx="2">
                  <c:v>0.61302953267219085</c:v>
                </c:pt>
                <c:pt idx="3">
                  <c:v>0.62066661206956919</c:v>
                </c:pt>
                <c:pt idx="4">
                  <c:v>0.62829476423107777</c:v>
                </c:pt>
                <c:pt idx="5">
                  <c:v>0.6351293403789009</c:v>
                </c:pt>
                <c:pt idx="6">
                  <c:v>0.64286491226911502</c:v>
                </c:pt>
                <c:pt idx="7">
                  <c:v>0.65232854526821649</c:v>
                </c:pt>
                <c:pt idx="8">
                  <c:v>0.66466725427115447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E-45D9-A7D5-12E74E26D111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'10x15x6'!$BD$3:$BD$11</c:f>
              <c:numCache>
                <c:formatCode>0.00%</c:formatCode>
                <c:ptCount val="9"/>
                <c:pt idx="0">
                  <c:v>0.59262891838121889</c:v>
                </c:pt>
                <c:pt idx="1">
                  <c:v>0.6022960810669612</c:v>
                </c:pt>
                <c:pt idx="2">
                  <c:v>0.61450037029144344</c:v>
                </c:pt>
                <c:pt idx="3">
                  <c:v>0.62179028690401139</c:v>
                </c:pt>
                <c:pt idx="4">
                  <c:v>0.62809692862601929</c:v>
                </c:pt>
                <c:pt idx="5">
                  <c:v>0.63293967512196936</c:v>
                </c:pt>
                <c:pt idx="6">
                  <c:v>0.63656929043019084</c:v>
                </c:pt>
                <c:pt idx="7">
                  <c:v>0.64145463380216183</c:v>
                </c:pt>
                <c:pt idx="8">
                  <c:v>0.6430935217252407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E-45D9-A7D5-12E74E26D111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E-45D9-A7D5-12E74E26D111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E-45D9-A7D5-12E74E26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'10x15x6'!$BM$3:$BM$11</c:f>
              <c:numCache>
                <c:formatCode>0.00</c:formatCode>
                <c:ptCount val="9"/>
                <c:pt idx="0">
                  <c:v>-29.396624211228811</c:v>
                </c:pt>
                <c:pt idx="1">
                  <c:v>-31.348543932659112</c:v>
                </c:pt>
                <c:pt idx="2">
                  <c:v>-33.351121993257834</c:v>
                </c:pt>
                <c:pt idx="3">
                  <c:v>-33.462718092524653</c:v>
                </c:pt>
                <c:pt idx="4">
                  <c:v>-33.448801217417184</c:v>
                </c:pt>
                <c:pt idx="5">
                  <c:v>-33.047889422432121</c:v>
                </c:pt>
                <c:pt idx="6">
                  <c:v>-32.351387056671626</c:v>
                </c:pt>
                <c:pt idx="7">
                  <c:v>-30.111828443605873</c:v>
                </c:pt>
                <c:pt idx="8">
                  <c:v>-29.397825304136518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3-4001-8B4E-9E33628AC8D1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'10x15x6'!$BN$3:$BN$11</c:f>
              <c:numCache>
                <c:formatCode>0.00</c:formatCode>
                <c:ptCount val="9"/>
                <c:pt idx="0">
                  <c:v>18.085370366866584</c:v>
                </c:pt>
                <c:pt idx="1">
                  <c:v>17.608058225633869</c:v>
                </c:pt>
                <c:pt idx="2">
                  <c:v>17.361635231865421</c:v>
                </c:pt>
                <c:pt idx="3">
                  <c:v>17.525188936083367</c:v>
                </c:pt>
                <c:pt idx="4">
                  <c:v>17.604679926886973</c:v>
                </c:pt>
                <c:pt idx="5">
                  <c:v>17.846297925422363</c:v>
                </c:pt>
                <c:pt idx="6">
                  <c:v>17.706629187736894</c:v>
                </c:pt>
                <c:pt idx="7">
                  <c:v>18.025016079914678</c:v>
                </c:pt>
                <c:pt idx="8">
                  <c:v>18.200590556225819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3-4001-8B4E-9E33628A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E55F35-5883-4D99-BED1-15770F8E9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C0E36E-C93C-4B14-B285-E1B43B08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B165F1-4F04-48A0-8ABB-4773F798A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65E9F4-358C-44E9-B692-3DC973817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F2DCBD-9784-4291-95AD-12558AB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A97EF8-799D-4BEB-8659-EED0AD864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BEB3E-2D13-47D6-B391-4899F812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2C088-59B0-4397-9753-FD68D63B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BDCE7B-0030-48D7-8085-0E6DFB89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019FEB-2CCB-44A9-8D1F-C2691B5A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C1EEE5-941D-41B5-8CD0-977C4E45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0A5107-1F90-4276-BE57-ADCDF41AC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FC75F-0DA6-4DBE-8602-91C42EDD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9FFA-B014-4BB6-87CB-74B902D0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449BF-0000-4040-8D23-AF49B34A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8F033D-33C8-45FB-9D93-A85A4CEB0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AC0949-C646-46DE-89AC-B6F376F5F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F7DAE7-3F2A-486D-A6B4-3D85C0A7A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53290ED-2A44-446A-B78F-889855C51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38C22B-C139-4F3D-81E4-1F898978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43E9580-6837-4D6D-B8B8-7B0DAB65F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01D281-2E6A-49A2-851C-F34FCE00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9A1F42-4970-4AA9-A74A-1635DE84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159B16-CABF-4736-9F6C-6748193AC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F030BB-FE8D-4399-B0CE-27E66430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31F6A8F-C195-467C-BB96-E44A26E67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21EC2F-FF30-45BC-A82F-AABE3D1EE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722DEF-3E09-4274-8FFC-D9CE807F3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9D349F-1344-4F7C-BC10-984CE4DFC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EEBBF3-BA02-45F0-96CB-17073FEE8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A94FB1-9083-4080-8C37-851306C5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00CA42C-CA20-4A79-B81E-41CFA5665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F82449E-7393-43D7-A230-9B8710C02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19104</xdr:colOff>
      <xdr:row>36</xdr:row>
      <xdr:rowOff>27215</xdr:rowOff>
    </xdr:from>
    <xdr:to>
      <xdr:col>42</xdr:col>
      <xdr:colOff>434282</xdr:colOff>
      <xdr:row>50</xdr:row>
      <xdr:rowOff>103415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034C1F-660D-436A-B4E1-BFE284405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417285</xdr:colOff>
      <xdr:row>36</xdr:row>
      <xdr:rowOff>90714</xdr:rowOff>
    </xdr:from>
    <xdr:to>
      <xdr:col>47</xdr:col>
      <xdr:colOff>821257</xdr:colOff>
      <xdr:row>50</xdr:row>
      <xdr:rowOff>166914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52D29B7-A97B-4C6A-AA36-F9CD5AF9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838842</xdr:colOff>
      <xdr:row>36</xdr:row>
      <xdr:rowOff>96051</xdr:rowOff>
    </xdr:from>
    <xdr:to>
      <xdr:col>53</xdr:col>
      <xdr:colOff>479747</xdr:colOff>
      <xdr:row>50</xdr:row>
      <xdr:rowOff>163180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2821D66-27B4-425A-B654-D660B03AE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381000</xdr:colOff>
      <xdr:row>36</xdr:row>
      <xdr:rowOff>117928</xdr:rowOff>
    </xdr:from>
    <xdr:to>
      <xdr:col>59</xdr:col>
      <xdr:colOff>94476</xdr:colOff>
      <xdr:row>51</xdr:row>
      <xdr:rowOff>3628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F8F5B9-DCE4-45A5-9083-72400487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27213</xdr:colOff>
      <xdr:row>36</xdr:row>
      <xdr:rowOff>90715</xdr:rowOff>
    </xdr:from>
    <xdr:to>
      <xdr:col>64</xdr:col>
      <xdr:colOff>656904</xdr:colOff>
      <xdr:row>50</xdr:row>
      <xdr:rowOff>157844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31B9639-A4BB-49B9-906C-FAD228AC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535213</xdr:colOff>
      <xdr:row>37</xdr:row>
      <xdr:rowOff>18143</xdr:rowOff>
    </xdr:from>
    <xdr:to>
      <xdr:col>71</xdr:col>
      <xdr:colOff>130761</xdr:colOff>
      <xdr:row>51</xdr:row>
      <xdr:rowOff>85272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A1E10CC-1F0D-41FB-A590-67996F431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AppData/Roaming/Microsoft/AddIns/CoolProp.xla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8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8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8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8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8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Documents/GitHub/GZ/resdataASW_all_m3_&#1086;&#1073;&#1088;&#1072;&#1073;&#1086;&#1090;&#1082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1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10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1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10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10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10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10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6.8646396156210638</v>
          </cell>
        </row>
        <row r="13">
          <cell r="E13">
            <v>0.35758564561131367</v>
          </cell>
        </row>
      </sheetData>
      <sheetData sheetId="1"/>
      <sheetData sheetId="2">
        <row r="2">
          <cell r="E2">
            <v>5.9869605762720548</v>
          </cell>
        </row>
      </sheetData>
      <sheetData sheetId="3">
        <row r="2">
          <cell r="C2">
            <v>2.780258745618279</v>
          </cell>
        </row>
        <row r="5">
          <cell r="C5">
            <v>128.566613057654</v>
          </cell>
          <cell r="E5">
            <v>31.546916700473631</v>
          </cell>
        </row>
        <row r="6">
          <cell r="C6">
            <v>6.2226770310654276</v>
          </cell>
        </row>
        <row r="7">
          <cell r="B7">
            <v>36.836835543464566</v>
          </cell>
        </row>
        <row r="12">
          <cell r="C12">
            <v>4.5148202234181083E-2</v>
          </cell>
        </row>
      </sheetData>
      <sheetData sheetId="4">
        <row r="8">
          <cell r="B8">
            <v>22.984803101726609</v>
          </cell>
        </row>
        <row r="9">
          <cell r="B9">
            <v>106.62572767686279</v>
          </cell>
        </row>
        <row r="10">
          <cell r="B10">
            <v>8.9140276768314006</v>
          </cell>
        </row>
        <row r="11">
          <cell r="B11">
            <v>17231.94564363292</v>
          </cell>
        </row>
        <row r="17">
          <cell r="B17">
            <v>18591.05198403848</v>
          </cell>
        </row>
      </sheetData>
      <sheetData sheetId="5"/>
      <sheetData sheetId="6">
        <row r="3">
          <cell r="B3">
            <v>0.77608724530758166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1.1766711474925251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50.038013665129199</v>
          </cell>
        </row>
        <row r="12">
          <cell r="C12">
            <v>0.15120473629705</v>
          </cell>
        </row>
        <row r="13">
          <cell r="B13">
            <v>15692.399971800171</v>
          </cell>
        </row>
        <row r="14">
          <cell r="B14">
            <v>23549.25198206093</v>
          </cell>
        </row>
      </sheetData>
      <sheetData sheetId="11">
        <row r="8">
          <cell r="B8">
            <v>31.558139349737971</v>
          </cell>
        </row>
        <row r="9">
          <cell r="B9">
            <v>105.1881150535927</v>
          </cell>
        </row>
        <row r="10">
          <cell r="B10">
            <v>8.9727285050782175</v>
          </cell>
        </row>
        <row r="18">
          <cell r="B18">
            <v>11356.502984722991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6.8235490719938694</v>
          </cell>
        </row>
        <row r="13">
          <cell r="E13">
            <v>0.35544519987866169</v>
          </cell>
        </row>
      </sheetData>
      <sheetData sheetId="1"/>
      <sheetData sheetId="2">
        <row r="2">
          <cell r="E2">
            <v>5.9869670194925204</v>
          </cell>
        </row>
      </sheetData>
      <sheetData sheetId="3">
        <row r="2">
          <cell r="C2">
            <v>1.845360113863096</v>
          </cell>
        </row>
        <row r="5">
          <cell r="C5">
            <v>131.86248781436191</v>
          </cell>
          <cell r="E5">
            <v>32.118526049892672</v>
          </cell>
        </row>
        <row r="6">
          <cell r="C6">
            <v>6.2296701506708381</v>
          </cell>
        </row>
        <row r="7">
          <cell r="B7">
            <v>49.269013094559668</v>
          </cell>
        </row>
        <row r="12">
          <cell r="C12">
            <v>4.4635076125236338E-2</v>
          </cell>
        </row>
      </sheetData>
      <sheetData sheetId="4">
        <row r="8">
          <cell r="B8">
            <v>67.205999654048398</v>
          </cell>
        </row>
        <row r="9">
          <cell r="B9">
            <v>73.455552573784544</v>
          </cell>
        </row>
        <row r="10">
          <cell r="B10">
            <v>6.3787724144485569</v>
          </cell>
        </row>
        <row r="11">
          <cell r="B11">
            <v>17300.192018756828</v>
          </cell>
        </row>
        <row r="17">
          <cell r="B17">
            <v>19693.814512484289</v>
          </cell>
        </row>
      </sheetData>
      <sheetData sheetId="5"/>
      <sheetData sheetId="6">
        <row r="3">
          <cell r="B3">
            <v>0.83948315281133024</v>
          </cell>
        </row>
      </sheetData>
      <sheetData sheetId="7"/>
      <sheetData sheetId="8"/>
      <sheetData sheetId="9">
        <row r="9">
          <cell r="E9">
            <v>1.109903083735525</v>
          </cell>
        </row>
        <row r="10">
          <cell r="E10">
            <v>1.0811111111111109</v>
          </cell>
        </row>
      </sheetData>
      <sheetData sheetId="10">
        <row r="2">
          <cell r="C2">
            <v>0.71184930388835521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58.813420663265937</v>
          </cell>
        </row>
        <row r="12">
          <cell r="C12">
            <v>0.13951197493493339</v>
          </cell>
        </row>
        <row r="13">
          <cell r="B13">
            <v>15789.335487543751</v>
          </cell>
        </row>
        <row r="14">
          <cell r="B14">
            <v>23688.708701754269</v>
          </cell>
        </row>
      </sheetData>
      <sheetData sheetId="11">
        <row r="8">
          <cell r="B8">
            <v>80.973707667862016</v>
          </cell>
        </row>
        <row r="9">
          <cell r="B9">
            <v>66.869466110608414</v>
          </cell>
        </row>
        <row r="10">
          <cell r="B10">
            <v>5.8262226673069817</v>
          </cell>
        </row>
        <row r="18">
          <cell r="B18">
            <v>13065.762888955011</v>
          </cell>
        </row>
      </sheetData>
      <sheetData sheetId="12">
        <row r="3">
          <cell r="E3">
            <v>23.536662736376829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10.26859279113935</v>
          </cell>
        </row>
        <row r="13">
          <cell r="E13">
            <v>0.53490082339989498</v>
          </cell>
        </row>
      </sheetData>
      <sheetData sheetId="1"/>
      <sheetData sheetId="2">
        <row r="2">
          <cell r="E2">
            <v>8.98042862234756</v>
          </cell>
        </row>
      </sheetData>
      <sheetData sheetId="3">
        <row r="2">
          <cell r="C2">
            <v>2.6908272596112912</v>
          </cell>
        </row>
        <row r="5">
          <cell r="C5">
            <v>121.90753310811439</v>
          </cell>
          <cell r="E5">
            <v>30.986591305145652</v>
          </cell>
        </row>
        <row r="6">
          <cell r="C6">
            <v>6.208547931513225</v>
          </cell>
        </row>
        <row r="7">
          <cell r="B7">
            <v>33.887754999464377</v>
          </cell>
        </row>
        <row r="12">
          <cell r="C12">
            <v>4.5325923484594619E-2</v>
          </cell>
        </row>
      </sheetData>
      <sheetData sheetId="4">
        <row r="8">
          <cell r="B8">
            <v>19.996883255066841</v>
          </cell>
        </row>
        <row r="9">
          <cell r="B9">
            <v>101.1922804740301</v>
          </cell>
        </row>
        <row r="10">
          <cell r="B10">
            <v>8.3705798361545618</v>
          </cell>
        </row>
        <row r="11">
          <cell r="B11">
            <v>25894.95216981147</v>
          </cell>
        </row>
        <row r="17">
          <cell r="B17">
            <v>27605.86519342403</v>
          </cell>
        </row>
      </sheetData>
      <sheetData sheetId="5"/>
      <sheetData sheetId="6">
        <row r="3">
          <cell r="B3">
            <v>0.73588997409220303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1.175026833604967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52.020706778619328</v>
          </cell>
        </row>
        <row r="12">
          <cell r="C12">
            <v>0.19855924402535011</v>
          </cell>
        </row>
        <row r="13">
          <cell r="B13">
            <v>31213.3847120629</v>
          </cell>
        </row>
        <row r="14">
          <cell r="B14">
            <v>46839.366324814247</v>
          </cell>
        </row>
      </sheetData>
      <sheetData sheetId="11">
        <row r="8">
          <cell r="B8">
            <v>29.905318915199949</v>
          </cell>
        </row>
        <row r="9">
          <cell r="B9">
            <v>96.481437583324066</v>
          </cell>
        </row>
        <row r="10">
          <cell r="B10">
            <v>8.163754172766243</v>
          </cell>
        </row>
        <row r="18">
          <cell r="B18">
            <v>22587.26371824781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10.27657259397826</v>
          </cell>
        </row>
        <row r="13">
          <cell r="E13">
            <v>0.53531649896478695</v>
          </cell>
        </row>
      </sheetData>
      <sheetData sheetId="1"/>
      <sheetData sheetId="2">
        <row r="2">
          <cell r="E2">
            <v>8.9804810258521748</v>
          </cell>
        </row>
      </sheetData>
      <sheetData sheetId="3">
        <row r="2">
          <cell r="C2">
            <v>2.5732549513867569</v>
          </cell>
        </row>
        <row r="5">
          <cell r="C5">
            <v>130.36043636071409</v>
          </cell>
          <cell r="E5">
            <v>31.70925778133395</v>
          </cell>
        </row>
        <row r="6">
          <cell r="C6">
            <v>6.2264831286374731</v>
          </cell>
        </row>
        <row r="7">
          <cell r="B7">
            <v>35.826456044471698</v>
          </cell>
        </row>
        <row r="12">
          <cell r="C12">
            <v>4.5194999180042987E-2</v>
          </cell>
        </row>
      </sheetData>
      <sheetData sheetId="4">
        <row r="8">
          <cell r="B8">
            <v>21.48769704102903</v>
          </cell>
        </row>
        <row r="9">
          <cell r="B9">
            <v>105.3926834566134</v>
          </cell>
        </row>
        <row r="10">
          <cell r="B10">
            <v>8.9931756293916063</v>
          </cell>
        </row>
        <row r="11">
          <cell r="B11">
            <v>25881.95525531422</v>
          </cell>
        </row>
        <row r="17">
          <cell r="B17">
            <v>27882.042654951721</v>
          </cell>
        </row>
      </sheetData>
      <sheetData sheetId="5"/>
      <sheetData sheetId="6">
        <row r="3">
          <cell r="B3">
            <v>0.78691558831772346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1.0782754833688259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51.379684561827979</v>
          </cell>
        </row>
        <row r="12">
          <cell r="C12">
            <v>0.1756939096411545</v>
          </cell>
        </row>
        <row r="13">
          <cell r="B13">
            <v>31232.48568046244</v>
          </cell>
        </row>
        <row r="14">
          <cell r="B14">
            <v>46866.747109419157</v>
          </cell>
        </row>
      </sheetData>
      <sheetData sheetId="11">
        <row r="8">
          <cell r="B8">
            <v>30.398025766821181</v>
          </cell>
        </row>
        <row r="9">
          <cell r="B9">
            <v>101.67311258772661</v>
          </cell>
        </row>
        <row r="10">
          <cell r="B10">
            <v>8.850708784399119</v>
          </cell>
        </row>
        <row r="18">
          <cell r="B18">
            <v>22806.70693068636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10.27845329797508</v>
          </cell>
        </row>
        <row r="13">
          <cell r="E13">
            <v>0.53541446663542436</v>
          </cell>
        </row>
      </sheetData>
      <sheetData sheetId="1"/>
      <sheetData sheetId="2">
        <row r="2">
          <cell r="E2">
            <v>8.9804989210572828</v>
          </cell>
        </row>
      </sheetData>
      <sheetData sheetId="3">
        <row r="2">
          <cell r="C2">
            <v>2.163096221707324</v>
          </cell>
        </row>
        <row r="5">
          <cell r="C5">
            <v>135.7396939341667</v>
          </cell>
          <cell r="E5">
            <v>32.194116049520481</v>
          </cell>
        </row>
        <row r="6">
          <cell r="C6">
            <v>6.237896727264939</v>
          </cell>
        </row>
        <row r="7">
          <cell r="B7">
            <v>38.493123156767822</v>
          </cell>
        </row>
        <row r="12">
          <cell r="C12">
            <v>4.4182308670529739E-2</v>
          </cell>
        </row>
      </sheetData>
      <sheetData sheetId="4">
        <row r="8">
          <cell r="B8">
            <v>25.18479056152675</v>
          </cell>
        </row>
        <row r="9">
          <cell r="B9">
            <v>105.80885065285911</v>
          </cell>
        </row>
        <row r="10">
          <cell r="B10">
            <v>9.2302569005209794</v>
          </cell>
        </row>
        <row r="11">
          <cell r="B11">
            <v>25878.91861613077</v>
          </cell>
        </row>
        <row r="17">
          <cell r="B17">
            <v>28216.283901721668</v>
          </cell>
        </row>
      </sheetData>
      <sheetData sheetId="5"/>
      <sheetData sheetId="6">
        <row r="3">
          <cell r="B3">
            <v>0.8193872626715365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0.95438804676765387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52.842214951994102</v>
          </cell>
        </row>
        <row r="12">
          <cell r="C12">
            <v>0.16221822458913851</v>
          </cell>
        </row>
        <row r="13">
          <cell r="B13">
            <v>31256.402985641711</v>
          </cell>
        </row>
        <row r="14">
          <cell r="B14">
            <v>46901.031993915138</v>
          </cell>
        </row>
      </sheetData>
      <sheetData sheetId="11">
        <row r="8">
          <cell r="B8">
            <v>34.959519222982259</v>
          </cell>
        </row>
        <row r="9">
          <cell r="B9">
            <v>101.1587207873238</v>
          </cell>
        </row>
        <row r="10">
          <cell r="B10">
            <v>8.9854149053392511</v>
          </cell>
        </row>
        <row r="18">
          <cell r="B18">
            <v>23315.200239376711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10.26987411662914</v>
          </cell>
        </row>
        <row r="13">
          <cell r="E13">
            <v>0.53496756887062047</v>
          </cell>
        </row>
      </sheetData>
      <sheetData sheetId="1"/>
      <sheetData sheetId="2">
        <row r="2">
          <cell r="E2">
            <v>8.9804479808385267</v>
          </cell>
        </row>
      </sheetData>
      <sheetData sheetId="3">
        <row r="2">
          <cell r="C2">
            <v>2.118453390288177</v>
          </cell>
        </row>
        <row r="5">
          <cell r="C5">
            <v>134.3052661267387</v>
          </cell>
          <cell r="E5">
            <v>32.069733035908357</v>
          </cell>
        </row>
        <row r="6">
          <cell r="C6">
            <v>6.2348531877001374</v>
          </cell>
        </row>
        <row r="7">
          <cell r="B7">
            <v>40.45923511652564</v>
          </cell>
        </row>
        <row r="12">
          <cell r="C12">
            <v>4.4880748562026923E-2</v>
          </cell>
        </row>
      </sheetData>
      <sheetData sheetId="4">
        <row r="8">
          <cell r="B8">
            <v>29.863495739063261</v>
          </cell>
        </row>
        <row r="9">
          <cell r="B9">
            <v>101.1172097942169</v>
          </cell>
        </row>
        <row r="10">
          <cell r="B10">
            <v>8.8259144128236802</v>
          </cell>
        </row>
        <row r="11">
          <cell r="B11">
            <v>25892.917572779548</v>
          </cell>
        </row>
        <row r="17">
          <cell r="B17">
            <v>28417.698762719909</v>
          </cell>
        </row>
      </sheetData>
      <sheetData sheetId="5"/>
      <sheetData sheetId="6">
        <row r="3">
          <cell r="B3">
            <v>0.8107283962739269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0.82974775916926058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55.700112123773543</v>
          </cell>
        </row>
        <row r="12">
          <cell r="C12">
            <v>0.16788294485997229</v>
          </cell>
        </row>
        <row r="13">
          <cell r="B13">
            <v>31280.365311004189</v>
          </cell>
        </row>
        <row r="14">
          <cell r="B14">
            <v>46935.381408750429</v>
          </cell>
        </row>
      </sheetData>
      <sheetData sheetId="11">
        <row r="8">
          <cell r="B8">
            <v>42.336759989466387</v>
          </cell>
        </row>
        <row r="9">
          <cell r="B9">
            <v>93.724218355841074</v>
          </cell>
        </row>
        <row r="10">
          <cell r="B10">
            <v>8.3241635327272245</v>
          </cell>
        </row>
        <row r="18">
          <cell r="B18">
            <v>23824.187339316119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10.260071463143291</v>
          </cell>
        </row>
        <row r="13">
          <cell r="E13">
            <v>0.53445693927144033</v>
          </cell>
        </row>
      </sheetData>
      <sheetData sheetId="1"/>
      <sheetData sheetId="2">
        <row r="2">
          <cell r="E2">
            <v>8.9804695992370256</v>
          </cell>
        </row>
      </sheetData>
      <sheetData sheetId="3">
        <row r="2">
          <cell r="C2">
            <v>2.0695175562895858</v>
          </cell>
        </row>
        <row r="5">
          <cell r="C5">
            <v>132.70406043776799</v>
          </cell>
          <cell r="E5">
            <v>31.920055646096792</v>
          </cell>
        </row>
        <row r="6">
          <cell r="C6">
            <v>6.2314557822395553</v>
          </cell>
        </row>
        <row r="7">
          <cell r="B7">
            <v>42.424310715795983</v>
          </cell>
        </row>
        <row r="12">
          <cell r="C12">
            <v>4.5306550351381383E-2</v>
          </cell>
        </row>
      </sheetData>
      <sheetData sheetId="4">
        <row r="8">
          <cell r="B8">
            <v>35.831253806773077</v>
          </cell>
        </row>
        <row r="9">
          <cell r="B9">
            <v>95.24441370596297</v>
          </cell>
        </row>
        <row r="10">
          <cell r="B10">
            <v>8.3152684346880132</v>
          </cell>
        </row>
        <row r="11">
          <cell r="B11">
            <v>25909.294606782401</v>
          </cell>
        </row>
        <row r="17">
          <cell r="B17">
            <v>28620.279768173219</v>
          </cell>
        </row>
      </sheetData>
      <sheetData sheetId="5"/>
      <sheetData sheetId="6">
        <row r="3">
          <cell r="B3">
            <v>0.80106278182885404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0.71059472373496291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58.332542848605307</v>
          </cell>
        </row>
        <row r="12">
          <cell r="C12">
            <v>0.17291767715631051</v>
          </cell>
        </row>
        <row r="13">
          <cell r="B13">
            <v>31304.371981576129</v>
          </cell>
        </row>
        <row r="14">
          <cell r="B14">
            <v>46969.794386349182</v>
          </cell>
        </row>
      </sheetData>
      <sheetData sheetId="11">
        <row r="8">
          <cell r="B8">
            <v>51.093411823069147</v>
          </cell>
        </row>
        <row r="9">
          <cell r="B9">
            <v>85.033237399883092</v>
          </cell>
        </row>
        <row r="10">
          <cell r="B10">
            <v>7.5410856650993257</v>
          </cell>
        </row>
        <row r="18">
          <cell r="B18">
            <v>24333.679118510569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10.25019002101654</v>
          </cell>
        </row>
        <row r="13">
          <cell r="E13">
            <v>0.53394220549657145</v>
          </cell>
        </row>
      </sheetData>
      <sheetData sheetId="1"/>
      <sheetData sheetId="2">
        <row r="2">
          <cell r="E2">
            <v>8.9804487997174576</v>
          </cell>
        </row>
      </sheetData>
      <sheetData sheetId="3">
        <row r="2">
          <cell r="C2">
            <v>1.9283794221568571</v>
          </cell>
        </row>
        <row r="5">
          <cell r="C5">
            <v>131.92467513406891</v>
          </cell>
          <cell r="E5">
            <v>31.826955124044421</v>
          </cell>
        </row>
        <row r="6">
          <cell r="C6">
            <v>6.2298020984530664</v>
          </cell>
        </row>
        <row r="7">
          <cell r="B7">
            <v>44.386817809084178</v>
          </cell>
        </row>
        <row r="12">
          <cell r="C12">
            <v>4.5394478927505047E-2</v>
          </cell>
        </row>
      </sheetData>
      <sheetData sheetId="4">
        <row r="8">
          <cell r="B8">
            <v>42.853799154155382</v>
          </cell>
        </row>
        <row r="9">
          <cell r="B9">
            <v>88.388061586893286</v>
          </cell>
        </row>
        <row r="10">
          <cell r="B10">
            <v>7.712680030754318</v>
          </cell>
        </row>
        <row r="11">
          <cell r="B11">
            <v>25925.599608297282</v>
          </cell>
        </row>
        <row r="17">
          <cell r="B17">
            <v>28846.277892689479</v>
          </cell>
        </row>
      </sheetData>
      <sheetData sheetId="5"/>
      <sheetData sheetId="6">
        <row r="3">
          <cell r="B3">
            <v>0.79635805344723476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0.71664451309031973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60.766636887789858</v>
          </cell>
        </row>
        <row r="12">
          <cell r="C12">
            <v>0.18284538810335749</v>
          </cell>
        </row>
        <row r="13">
          <cell r="B13">
            <v>31328.42233743042</v>
          </cell>
        </row>
        <row r="14">
          <cell r="B14">
            <v>47004.269980704878</v>
          </cell>
        </row>
      </sheetData>
      <sheetData sheetId="11">
        <row r="8">
          <cell r="B8">
            <v>61.550260151949693</v>
          </cell>
        </row>
        <row r="9">
          <cell r="B9">
            <v>74.794168396931624</v>
          </cell>
        </row>
        <row r="10">
          <cell r="B10">
            <v>6.6070341630856664</v>
          </cell>
        </row>
        <row r="18">
          <cell r="B18">
            <v>24843.686457817741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10.236696615402829</v>
          </cell>
        </row>
        <row r="13">
          <cell r="E13">
            <v>0.53323932108776773</v>
          </cell>
        </row>
      </sheetData>
      <sheetData sheetId="1"/>
      <sheetData sheetId="2">
        <row r="2">
          <cell r="E2">
            <v>8.9804672941214978</v>
          </cell>
        </row>
      </sheetData>
      <sheetData sheetId="3">
        <row r="2">
          <cell r="C2">
            <v>1.903638603345444</v>
          </cell>
        </row>
        <row r="5">
          <cell r="C5">
            <v>130.27108213570281</v>
          </cell>
          <cell r="E5">
            <v>31.730243943436889</v>
          </cell>
        </row>
        <row r="6">
          <cell r="C6">
            <v>6.226293538671567</v>
          </cell>
        </row>
        <row r="7">
          <cell r="B7">
            <v>45.779740206464197</v>
          </cell>
        </row>
        <row r="12">
          <cell r="C12">
            <v>4.5266200069153932E-2</v>
          </cell>
        </row>
      </sheetData>
      <sheetData sheetId="4">
        <row r="8">
          <cell r="B8">
            <v>50.741100796892212</v>
          </cell>
        </row>
        <row r="9">
          <cell r="B9">
            <v>80.77802183946136</v>
          </cell>
        </row>
        <row r="10">
          <cell r="B10">
            <v>7.0306612930574666</v>
          </cell>
        </row>
        <row r="11">
          <cell r="B11">
            <v>25948.088825393181</v>
          </cell>
        </row>
        <row r="17">
          <cell r="B17">
            <v>29043.207016527718</v>
          </cell>
        </row>
      </sheetData>
      <sheetData sheetId="5"/>
      <sheetData sheetId="6">
        <row r="3">
          <cell r="B3">
            <v>0.7928632681964034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0.7219097578747814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61.775336376522837</v>
          </cell>
        </row>
        <row r="12">
          <cell r="C12">
            <v>0.19214843911084739</v>
          </cell>
        </row>
        <row r="13">
          <cell r="B13">
            <v>31352.515736200028</v>
          </cell>
        </row>
        <row r="14">
          <cell r="B14">
            <v>47038.807270983983</v>
          </cell>
        </row>
      </sheetData>
      <sheetData sheetId="11">
        <row r="8">
          <cell r="B8">
            <v>71.40413581385728</v>
          </cell>
        </row>
        <row r="9">
          <cell r="B9">
            <v>65.126349999839277</v>
          </cell>
        </row>
        <row r="10">
          <cell r="B10">
            <v>5.7058912184331376</v>
          </cell>
        </row>
        <row r="18">
          <cell r="B18">
            <v>25354.220226165678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10.219843596160249</v>
          </cell>
        </row>
        <row r="13">
          <cell r="E13">
            <v>0.53236143119058477</v>
          </cell>
        </row>
      </sheetData>
      <sheetData sheetId="1"/>
      <sheetData sheetId="2">
        <row r="2">
          <cell r="E2">
            <v>8.9804371040367741</v>
          </cell>
        </row>
      </sheetData>
      <sheetData sheetId="3">
        <row r="2">
          <cell r="C2">
            <v>1.9610341347946221</v>
          </cell>
        </row>
        <row r="5">
          <cell r="C5">
            <v>127.52172187930169</v>
          </cell>
          <cell r="E5">
            <v>31.63622292464288</v>
          </cell>
        </row>
        <row r="6">
          <cell r="C6">
            <v>6.2204600023479424</v>
          </cell>
        </row>
        <row r="7">
          <cell r="B7">
            <v>46.395160701916673</v>
          </cell>
        </row>
        <row r="12">
          <cell r="C12">
            <v>4.5269193707751149E-2</v>
          </cell>
        </row>
      </sheetData>
      <sheetData sheetId="4">
        <row r="8">
          <cell r="B8">
            <v>59.071257249844081</v>
          </cell>
        </row>
        <row r="9">
          <cell r="B9">
            <v>72.797290271148768</v>
          </cell>
        </row>
        <row r="10">
          <cell r="B10">
            <v>6.3008832627773197</v>
          </cell>
        </row>
        <row r="11">
          <cell r="B11">
            <v>25975.922634536339</v>
          </cell>
        </row>
        <row r="17">
          <cell r="B17">
            <v>29218.371473754542</v>
          </cell>
        </row>
      </sheetData>
      <sheetData sheetId="5"/>
      <sheetData sheetId="6">
        <row r="3">
          <cell r="B3">
            <v>0.79807519453634856</v>
          </cell>
        </row>
      </sheetData>
      <sheetData sheetId="7"/>
      <sheetData sheetId="8"/>
      <sheetData sheetId="9">
        <row r="9">
          <cell r="E9">
            <v>2.2058560438167678</v>
          </cell>
        </row>
        <row r="10">
          <cell r="E10">
            <v>1.0811111111111109</v>
          </cell>
        </row>
      </sheetData>
      <sheetData sheetId="10">
        <row r="2">
          <cell r="C2">
            <v>0.71604745318508978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61.492358298177081</v>
          </cell>
        </row>
        <row r="12">
          <cell r="C12">
            <v>0.1903455214161891</v>
          </cell>
        </row>
        <row r="13">
          <cell r="B13">
            <v>31381.683745781858</v>
          </cell>
        </row>
        <row r="14">
          <cell r="B14">
            <v>47081.741869573241</v>
          </cell>
        </row>
      </sheetData>
      <sheetData sheetId="11">
        <row r="8">
          <cell r="B8">
            <v>58.913287969695297</v>
          </cell>
        </row>
        <row r="9">
          <cell r="B9">
            <v>75.982885626581208</v>
          </cell>
        </row>
        <row r="10">
          <cell r="B10">
            <v>6.6216572091553871</v>
          </cell>
        </row>
        <row r="18">
          <cell r="B18">
            <v>25870.032152935539</v>
          </cell>
        </row>
      </sheetData>
      <sheetData sheetId="12">
        <row r="3">
          <cell r="E3">
            <v>23.533470091451669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10.2076379174678</v>
          </cell>
        </row>
        <row r="13">
          <cell r="E13">
            <v>0.53172562570919679</v>
          </cell>
        </row>
      </sheetData>
      <sheetData sheetId="1"/>
      <sheetData sheetId="2">
        <row r="2">
          <cell r="E2">
            <v>8.9804891844716845</v>
          </cell>
        </row>
      </sheetData>
      <sheetData sheetId="3">
        <row r="2">
          <cell r="C2">
            <v>2.0534303443732531</v>
          </cell>
        </row>
        <row r="5">
          <cell r="C5">
            <v>125.3438652815119</v>
          </cell>
          <cell r="E5">
            <v>31.514211171422851</v>
          </cell>
        </row>
        <row r="6">
          <cell r="C6">
            <v>6.215839070790766</v>
          </cell>
        </row>
        <row r="7">
          <cell r="B7">
            <v>46.25639417944317</v>
          </cell>
        </row>
        <row r="12">
          <cell r="C12">
            <v>4.5148322728830903E-2</v>
          </cell>
        </row>
      </sheetData>
      <sheetData sheetId="4">
        <row r="8">
          <cell r="B8">
            <v>60.68033124113667</v>
          </cell>
        </row>
        <row r="9">
          <cell r="B9">
            <v>70.726238954922835</v>
          </cell>
        </row>
        <row r="10">
          <cell r="B10">
            <v>6.0929460912947828</v>
          </cell>
        </row>
        <row r="11">
          <cell r="B11">
            <v>25996.434659890569</v>
          </cell>
        </row>
        <row r="17">
          <cell r="B17">
            <v>29233.15458620444</v>
          </cell>
        </row>
      </sheetData>
      <sheetData sheetId="5"/>
      <sheetData sheetId="6">
        <row r="3">
          <cell r="B3">
            <v>0.79798330030158648</v>
          </cell>
        </row>
      </sheetData>
      <sheetData sheetId="7"/>
      <sheetData sheetId="8"/>
      <sheetData sheetId="9">
        <row r="9">
          <cell r="E9">
            <v>2.2069829412494109</v>
          </cell>
        </row>
        <row r="10">
          <cell r="E10">
            <v>1.0811111111111109</v>
          </cell>
        </row>
      </sheetData>
      <sheetData sheetId="10">
        <row r="2">
          <cell r="C2">
            <v>0.71186783681697285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61.210433656900342</v>
          </cell>
        </row>
        <row r="12">
          <cell r="C12">
            <v>0.1897780727547268</v>
          </cell>
        </row>
        <row r="13">
          <cell r="B13">
            <v>31400.577646319471</v>
          </cell>
        </row>
        <row r="14">
          <cell r="B14">
            <v>47109.804080313108</v>
          </cell>
        </row>
      </sheetData>
      <sheetData sheetId="11">
        <row r="8">
          <cell r="B8">
            <v>55.883354869430043</v>
          </cell>
        </row>
        <row r="9">
          <cell r="B9">
            <v>78.089921315176554</v>
          </cell>
        </row>
        <row r="10">
          <cell r="B10">
            <v>6.7763577619672679</v>
          </cell>
        </row>
        <row r="18">
          <cell r="B18">
            <v>25983.53710333283</v>
          </cell>
        </row>
      </sheetData>
      <sheetData sheetId="12">
        <row r="3">
          <cell r="E3">
            <v>23.525404687419758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13.652983569159071</v>
          </cell>
        </row>
        <row r="13">
          <cell r="E13">
            <v>0.71119697718562724</v>
          </cell>
        </row>
      </sheetData>
      <sheetData sheetId="1"/>
      <sheetData sheetId="2">
        <row r="2">
          <cell r="E2">
            <v>11.97397267287421</v>
          </cell>
        </row>
      </sheetData>
      <sheetData sheetId="3">
        <row r="2">
          <cell r="C2">
            <v>2.5903467147276968</v>
          </cell>
        </row>
        <row r="5">
          <cell r="C5">
            <v>115.4251455833316</v>
          </cell>
          <cell r="E5">
            <v>30.47714394085261</v>
          </cell>
        </row>
        <row r="6">
          <cell r="C6">
            <v>6.1947937343316832</v>
          </cell>
        </row>
        <row r="7">
          <cell r="B7">
            <v>31.0026061532459</v>
          </cell>
        </row>
        <row r="12">
          <cell r="C12">
            <v>4.5471052768506118E-2</v>
          </cell>
        </row>
      </sheetData>
      <sheetData sheetId="4">
        <row r="8">
          <cell r="B8">
            <v>17.247831977501018</v>
          </cell>
        </row>
        <row r="9">
          <cell r="B9">
            <v>95.690187064317669</v>
          </cell>
        </row>
        <row r="10">
          <cell r="B10">
            <v>7.8354259874629522</v>
          </cell>
        </row>
        <row r="11">
          <cell r="B11">
            <v>34590.798215383656</v>
          </cell>
        </row>
        <row r="17">
          <cell r="B17">
            <v>36441.166432105842</v>
          </cell>
        </row>
      </sheetData>
      <sheetData sheetId="5"/>
      <sheetData sheetId="6">
        <row r="3">
          <cell r="B3">
            <v>0.69675929966999617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1.175930534514412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54.336217415950678</v>
          </cell>
        </row>
        <row r="12">
          <cell r="C12">
            <v>0.24566596349945991</v>
          </cell>
        </row>
        <row r="13">
          <cell r="B13">
            <v>46778.792791445863</v>
          </cell>
        </row>
        <row r="14">
          <cell r="B14">
            <v>70193.160472000105</v>
          </cell>
        </row>
      </sheetData>
      <sheetData sheetId="11">
        <row r="8">
          <cell r="B8">
            <v>28.210242700696661</v>
          </cell>
        </row>
        <row r="9">
          <cell r="B9">
            <v>87.768446094812475</v>
          </cell>
        </row>
        <row r="10">
          <cell r="B10">
            <v>7.374022736010188</v>
          </cell>
        </row>
        <row r="18">
          <cell r="B18">
            <v>33847.514915620501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13.66448997973005</v>
          </cell>
        </row>
        <row r="13">
          <cell r="E13">
            <v>0.71179635712151301</v>
          </cell>
        </row>
      </sheetData>
      <sheetData sheetId="1"/>
      <sheetData sheetId="2">
        <row r="2">
          <cell r="E2">
            <v>11.97394275849347</v>
          </cell>
        </row>
      </sheetData>
      <sheetData sheetId="3">
        <row r="2">
          <cell r="C2">
            <v>2.5704854406649602</v>
          </cell>
        </row>
        <row r="5">
          <cell r="C5">
            <v>123.6884922377637</v>
          </cell>
          <cell r="E5">
            <v>31.138984395053079</v>
          </cell>
        </row>
        <row r="6">
          <cell r="C6">
            <v>6.2123267341454058</v>
          </cell>
        </row>
        <row r="7">
          <cell r="B7">
            <v>32.8827487516646</v>
          </cell>
        </row>
        <row r="12">
          <cell r="C12">
            <v>4.5370607446721938E-2</v>
          </cell>
        </row>
      </sheetData>
      <sheetData sheetId="4">
        <row r="8">
          <cell r="B8">
            <v>18.64256111232886</v>
          </cell>
        </row>
        <row r="9">
          <cell r="B9">
            <v>99.914308030773768</v>
          </cell>
        </row>
        <row r="10">
          <cell r="B10">
            <v>8.4419812946116082</v>
          </cell>
        </row>
        <row r="11">
          <cell r="B11">
            <v>34571.553057120676</v>
          </cell>
        </row>
        <row r="17">
          <cell r="B17">
            <v>36804.291931202977</v>
          </cell>
        </row>
      </sheetData>
      <sheetData sheetId="5"/>
      <sheetData sheetId="6">
        <row r="3">
          <cell r="B3">
            <v>0.7466406630312914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1.0795783612802781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53.549315364904551</v>
          </cell>
        </row>
        <row r="12">
          <cell r="C12">
            <v>0.22338845464516821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28.730221920396581</v>
          </cell>
        </row>
        <row r="9">
          <cell r="B9">
            <v>92.856301362340346</v>
          </cell>
        </row>
        <row r="10">
          <cell r="B10">
            <v>8.0274256737265688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13.667812542351079</v>
          </cell>
        </row>
        <row r="13">
          <cell r="E13">
            <v>0.71196943258744461</v>
          </cell>
        </row>
      </sheetData>
      <sheetData sheetId="1"/>
      <sheetData sheetId="2">
        <row r="2">
          <cell r="E2">
            <v>11.97393563896599</v>
          </cell>
        </row>
      </sheetData>
      <sheetData sheetId="3">
        <row r="2">
          <cell r="C2">
            <v>2.2797799773862408</v>
          </cell>
        </row>
        <row r="5">
          <cell r="C5">
            <v>129.11021269083929</v>
          </cell>
          <cell r="E5">
            <v>31.60833630360203</v>
          </cell>
        </row>
        <row r="6">
          <cell r="C6">
            <v>6.2238304296418097</v>
          </cell>
        </row>
        <row r="7">
          <cell r="B7">
            <v>35.45395799005653</v>
          </cell>
        </row>
        <row r="12">
          <cell r="C12">
            <v>4.5141605718147293E-2</v>
          </cell>
        </row>
      </sheetData>
      <sheetData sheetId="4">
        <row r="8">
          <cell r="B8">
            <v>21.980273923143599</v>
          </cell>
        </row>
        <row r="9">
          <cell r="B9">
            <v>100.56379823483459</v>
          </cell>
        </row>
        <row r="10">
          <cell r="B10">
            <v>8.6886914567165707</v>
          </cell>
        </row>
        <row r="11">
          <cell r="B11">
            <v>34566.003133843296</v>
          </cell>
        </row>
        <row r="17">
          <cell r="B17">
            <v>37246.71394247032</v>
          </cell>
        </row>
      </sheetData>
      <sheetData sheetId="5"/>
      <sheetData sheetId="6">
        <row r="3">
          <cell r="B3">
            <v>0.77936866286876294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0.9546950663174909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54.972306112825763</v>
          </cell>
        </row>
        <row r="12">
          <cell r="C12">
            <v>0.21123383913301461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33.303346936602303</v>
          </cell>
        </row>
        <row r="9">
          <cell r="B9">
            <v>92.105843728354003</v>
          </cell>
        </row>
        <row r="10">
          <cell r="B10">
            <v>8.124579308691855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13.655666568367881</v>
          </cell>
        </row>
        <row r="13">
          <cell r="E13">
            <v>0.71133673718148671</v>
          </cell>
        </row>
      </sheetData>
      <sheetData sheetId="1"/>
      <sheetData sheetId="2">
        <row r="2">
          <cell r="E2">
            <v>11.973996550096169</v>
          </cell>
        </row>
      </sheetData>
      <sheetData sheetId="3">
        <row r="2">
          <cell r="C2">
            <v>2.270579670987273</v>
          </cell>
        </row>
        <row r="5">
          <cell r="C5">
            <v>127.32592856653621</v>
          </cell>
          <cell r="E5">
            <v>31.457545388526508</v>
          </cell>
        </row>
        <row r="6">
          <cell r="C6">
            <v>6.2200445721040234</v>
          </cell>
        </row>
        <row r="7">
          <cell r="B7">
            <v>37.238274091301378</v>
          </cell>
        </row>
        <row r="12">
          <cell r="C12">
            <v>4.5516453455480492E-2</v>
          </cell>
        </row>
      </sheetData>
      <sheetData sheetId="4">
        <row r="8">
          <cell r="B8">
            <v>26.079372311913389</v>
          </cell>
        </row>
        <row r="9">
          <cell r="B9">
            <v>96.345206919416043</v>
          </cell>
        </row>
        <row r="10">
          <cell r="B10">
            <v>8.3288049713219294</v>
          </cell>
        </row>
        <row r="11">
          <cell r="B11">
            <v>34586.458267877737</v>
          </cell>
        </row>
        <row r="17">
          <cell r="B17">
            <v>37500.573634693792</v>
          </cell>
        </row>
      </sheetData>
      <sheetData sheetId="5"/>
      <sheetData sheetId="6">
        <row r="3">
          <cell r="B3">
            <v>0.76859790273171669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0.83102874182279696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57.810217090493673</v>
          </cell>
        </row>
        <row r="12">
          <cell r="C12">
            <v>0.21634427101629969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40.576436119035399</v>
          </cell>
        </row>
        <row r="9">
          <cell r="B9">
            <v>84.521282039843072</v>
          </cell>
        </row>
        <row r="10">
          <cell r="B10">
            <v>7.4535732001236452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13.642036774477029</v>
          </cell>
        </row>
        <row r="13">
          <cell r="E13">
            <v>0.71062674817683169</v>
          </cell>
        </row>
      </sheetData>
      <sheetData sheetId="1"/>
      <sheetData sheetId="2">
        <row r="2">
          <cell r="E2">
            <v>11.97397295751257</v>
          </cell>
        </row>
      </sheetData>
      <sheetData sheetId="3">
        <row r="2">
          <cell r="C2">
            <v>2.2477866516648</v>
          </cell>
        </row>
        <row r="5">
          <cell r="C5">
            <v>125.5381344323977</v>
          </cell>
          <cell r="E5">
            <v>31.298009506417241</v>
          </cell>
        </row>
        <row r="6">
          <cell r="C6">
            <v>6.2162512670992029</v>
          </cell>
        </row>
        <row r="7">
          <cell r="B7">
            <v>39.052931109737493</v>
          </cell>
        </row>
        <row r="12">
          <cell r="C12">
            <v>4.5263573194534369E-2</v>
          </cell>
        </row>
      </sheetData>
      <sheetData sheetId="4">
        <row r="8">
          <cell r="B8">
            <v>31.171616358570549</v>
          </cell>
        </row>
        <row r="9">
          <cell r="B9">
            <v>91.212708112827315</v>
          </cell>
        </row>
        <row r="10">
          <cell r="B10">
            <v>7.8877691870793161</v>
          </cell>
        </row>
        <row r="11">
          <cell r="B11">
            <v>34608.972657684491</v>
          </cell>
        </row>
        <row r="17">
          <cell r="B17">
            <v>37760.020920988747</v>
          </cell>
        </row>
      </sheetData>
      <sheetData sheetId="5"/>
      <sheetData sheetId="6">
        <row r="3">
          <cell r="B3">
            <v>0.75780595455992827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0.71092456126305648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60.557028515570018</v>
          </cell>
        </row>
        <row r="12">
          <cell r="C12">
            <v>0.2230652512469096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49.481995717776613</v>
          </cell>
        </row>
        <row r="9">
          <cell r="B9">
            <v>75.447959019205442</v>
          </cell>
        </row>
        <row r="10">
          <cell r="B10">
            <v>6.6405966738944402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13.628963616941681</v>
          </cell>
        </row>
        <row r="13">
          <cell r="E13">
            <v>0.70994575489252043</v>
          </cell>
        </row>
      </sheetData>
      <sheetData sheetId="1"/>
      <sheetData sheetId="2">
        <row r="2">
          <cell r="E2">
            <v>11.97396787827862</v>
          </cell>
        </row>
      </sheetData>
      <sheetData sheetId="3">
        <row r="2">
          <cell r="C2">
            <v>2.1418986741317489</v>
          </cell>
        </row>
        <row r="5">
          <cell r="C5">
            <v>124.7050465647923</v>
          </cell>
          <cell r="E5">
            <v>31.204228437875301</v>
          </cell>
        </row>
        <row r="6">
          <cell r="C6">
            <v>6.2144836383116937</v>
          </cell>
        </row>
        <row r="7">
          <cell r="B7">
            <v>40.959891939828942</v>
          </cell>
        </row>
        <row r="12">
          <cell r="C12">
            <v>4.5213557957265602E-2</v>
          </cell>
        </row>
      </sheetData>
      <sheetData sheetId="4">
        <row r="8">
          <cell r="B8">
            <v>37.515596077873823</v>
          </cell>
        </row>
        <row r="9">
          <cell r="B9">
            <v>84.903064664680002</v>
          </cell>
        </row>
        <row r="10">
          <cell r="B10">
            <v>7.3413838469779167</v>
          </cell>
        </row>
        <row r="11">
          <cell r="B11">
            <v>34630.651485988768</v>
          </cell>
        </row>
        <row r="17">
          <cell r="B17">
            <v>38053.816147892423</v>
          </cell>
        </row>
      </sheetData>
      <sheetData sheetId="5"/>
      <sheetData sheetId="6">
        <row r="3">
          <cell r="B3">
            <v>0.75277705278759055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0.71661359486753717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63.098637642881229</v>
          </cell>
        </row>
        <row r="12">
          <cell r="C12">
            <v>0.23591423780067719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60.308698669491868</v>
          </cell>
        </row>
        <row r="9">
          <cell r="B9">
            <v>64.623860089961511</v>
          </cell>
        </row>
        <row r="10">
          <cell r="B10">
            <v>5.6585661482996894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13.61100171663441</v>
          </cell>
        </row>
        <row r="13">
          <cell r="E13">
            <v>0.70901010231970873</v>
          </cell>
        </row>
      </sheetData>
      <sheetData sheetId="1"/>
      <sheetData sheetId="2">
        <row r="2">
          <cell r="E2">
            <v>11.97394333696875</v>
          </cell>
        </row>
      </sheetData>
      <sheetData sheetId="3">
        <row r="2">
          <cell r="C2">
            <v>2.1125819239990138</v>
          </cell>
        </row>
        <row r="5">
          <cell r="C5">
            <v>123.23934417250651</v>
          </cell>
          <cell r="E5">
            <v>31.12189218361576</v>
          </cell>
        </row>
        <row r="6">
          <cell r="C6">
            <v>6.2113737409728076</v>
          </cell>
        </row>
        <row r="7">
          <cell r="B7">
            <v>42.431916692694173</v>
          </cell>
        </row>
        <row r="12">
          <cell r="C12">
            <v>4.5183890219539218E-2</v>
          </cell>
        </row>
      </sheetData>
      <sheetData sheetId="4">
        <row r="8">
          <cell r="B8">
            <v>44.811832923517017</v>
          </cell>
        </row>
        <row r="9">
          <cell r="B9">
            <v>77.759609713230716</v>
          </cell>
        </row>
        <row r="10">
          <cell r="B10">
            <v>6.7120442475676478</v>
          </cell>
        </row>
        <row r="11">
          <cell r="B11">
            <v>34660.353190732567</v>
          </cell>
        </row>
        <row r="17">
          <cell r="B17">
            <v>38315.52062491604</v>
          </cell>
        </row>
      </sheetData>
      <sheetData sheetId="5"/>
      <sheetData sheetId="6">
        <row r="3">
          <cell r="B3">
            <v>0.75006630473222635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0.72185334588858541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63.996402798726237</v>
          </cell>
        </row>
        <row r="12">
          <cell r="C12">
            <v>0.2435453413075149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51.139341612640493</v>
          </cell>
        </row>
        <row r="9">
          <cell r="B9">
            <v>72.179396874151081</v>
          </cell>
        </row>
        <row r="10">
          <cell r="B10">
            <v>6.2895037185772962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13.58891353919376</v>
          </cell>
        </row>
        <row r="13">
          <cell r="E13">
            <v>0.7078595080230291</v>
          </cell>
        </row>
      </sheetData>
      <sheetData sheetId="1"/>
      <sheetData sheetId="2">
        <row r="2">
          <cell r="E2">
            <v>11.9738857492232</v>
          </cell>
        </row>
      </sheetData>
      <sheetData sheetId="3">
        <row r="2">
          <cell r="C2">
            <v>2.1449850627287601</v>
          </cell>
        </row>
        <row r="5">
          <cell r="C5">
            <v>120.91868062028129</v>
          </cell>
          <cell r="E5">
            <v>31.04770101089424</v>
          </cell>
        </row>
        <row r="6">
          <cell r="C6">
            <v>6.2064498045423964</v>
          </cell>
        </row>
        <row r="7">
          <cell r="B7">
            <v>43.264342201912108</v>
          </cell>
        </row>
        <row r="12">
          <cell r="C12">
            <v>4.4949591815385007E-2</v>
          </cell>
        </row>
      </sheetData>
      <sheetData sheetId="4">
        <row r="8">
          <cell r="B8">
            <v>52.722632675997481</v>
          </cell>
        </row>
        <row r="9">
          <cell r="B9">
            <v>70.083956911055793</v>
          </cell>
        </row>
        <row r="10">
          <cell r="B10">
            <v>6.027457113997186</v>
          </cell>
        </row>
        <row r="11">
          <cell r="B11">
            <v>34696.747024337579</v>
          </cell>
        </row>
        <row r="17">
          <cell r="B17">
            <v>38553.586321712202</v>
          </cell>
        </row>
      </sheetData>
      <sheetData sheetId="5"/>
      <sheetData sheetId="6">
        <row r="3">
          <cell r="B3">
            <v>0.75675107061719404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0.71594061795303565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63.661823732701677</v>
          </cell>
        </row>
        <row r="12">
          <cell r="C12">
            <v>0.24277165503697359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39.301315513461283</v>
          </cell>
        </row>
        <row r="9">
          <cell r="B9">
            <v>82.201703003293972</v>
          </cell>
        </row>
        <row r="10">
          <cell r="B10">
            <v>7.1232699308293972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13.572933089833519</v>
          </cell>
        </row>
        <row r="13">
          <cell r="E13">
            <v>0.70702707112588548</v>
          </cell>
        </row>
      </sheetData>
      <sheetData sheetId="1"/>
      <sheetData sheetId="2">
        <row r="2">
          <cell r="E2">
            <v>11.97394383766933</v>
          </cell>
        </row>
      </sheetData>
      <sheetData sheetId="3">
        <row r="2">
          <cell r="C2">
            <v>2.219250449516152</v>
          </cell>
        </row>
        <row r="5">
          <cell r="C5">
            <v>118.905429434539</v>
          </cell>
          <cell r="E5">
            <v>30.932620707606389</v>
          </cell>
        </row>
        <row r="6">
          <cell r="C6">
            <v>6.2021781293796856</v>
          </cell>
        </row>
        <row r="7">
          <cell r="B7">
            <v>43.185992008423248</v>
          </cell>
        </row>
        <row r="12">
          <cell r="C12">
            <v>4.4804316628907083E-2</v>
          </cell>
        </row>
      </sheetData>
      <sheetData sheetId="4">
        <row r="8">
          <cell r="B8">
            <v>54.187527158037788</v>
          </cell>
        </row>
        <row r="9">
          <cell r="B9">
            <v>68.139947642790659</v>
          </cell>
        </row>
        <row r="10">
          <cell r="B10">
            <v>5.8284278630957456</v>
          </cell>
        </row>
        <row r="11">
          <cell r="B11">
            <v>34723.554381256639</v>
          </cell>
        </row>
        <row r="17">
          <cell r="B17">
            <v>38575.330275679757</v>
          </cell>
        </row>
      </sheetData>
      <sheetData sheetId="5"/>
      <sheetData sheetId="6">
        <row r="3">
          <cell r="B3">
            <v>0.75699394454485658</v>
          </cell>
        </row>
      </sheetData>
      <sheetData sheetId="7"/>
      <sheetData sheetId="8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0.71187500653164693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63.391699798070327</v>
          </cell>
        </row>
        <row r="12">
          <cell r="C12">
            <v>0.24230801598742599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36.474216870837807</v>
          </cell>
        </row>
        <row r="9">
          <cell r="B9">
            <v>84.073081234747136</v>
          </cell>
        </row>
        <row r="10">
          <cell r="B10">
            <v>7.2551235114165342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"/>
      <sheetName val="250m3 обр"/>
      <sheetName val="400m3 обр"/>
      <sheetName val="565m3 обр"/>
      <sheetName val="250m3"/>
      <sheetName val="400m3"/>
      <sheetName val="565m3"/>
      <sheetName val="Деньги"/>
    </sheetNames>
    <sheetDataSet>
      <sheetData sheetId="0"/>
      <sheetData sheetId="1"/>
      <sheetData sheetId="2">
        <row r="3">
          <cell r="AJ3">
            <v>0.7639810595067742</v>
          </cell>
        </row>
        <row r="4">
          <cell r="AJ4">
            <v>0.77440816895601972</v>
          </cell>
        </row>
        <row r="5">
          <cell r="AJ5">
            <v>0.78318443733754983</v>
          </cell>
        </row>
        <row r="6">
          <cell r="AJ6">
            <v>0.79045599530444199</v>
          </cell>
        </row>
        <row r="7">
          <cell r="AJ7">
            <v>0.79729374357630034</v>
          </cell>
        </row>
        <row r="8">
          <cell r="AJ8">
            <v>0.80228865312812969</v>
          </cell>
        </row>
        <row r="9">
          <cell r="AJ9">
            <v>0.80809278865932643</v>
          </cell>
        </row>
        <row r="10">
          <cell r="AJ10">
            <v>0.81593961541559257</v>
          </cell>
        </row>
        <row r="11">
          <cell r="AJ11">
            <v>0.81892324418297935</v>
          </cell>
        </row>
        <row r="15">
          <cell r="AJ15">
            <v>0.74493284017830408</v>
          </cell>
        </row>
        <row r="16">
          <cell r="AJ16">
            <v>0.75862474836327864</v>
          </cell>
        </row>
        <row r="17">
          <cell r="AJ17">
            <v>0.77226211226929653</v>
          </cell>
        </row>
        <row r="18">
          <cell r="AJ18">
            <v>0.77761187775024698</v>
          </cell>
        </row>
        <row r="19">
          <cell r="AJ19">
            <v>0.78241097181044472</v>
          </cell>
        </row>
        <row r="20">
          <cell r="AJ20">
            <v>0.78578091179149601</v>
          </cell>
        </row>
        <row r="21">
          <cell r="AJ21">
            <v>0.79024207756967935</v>
          </cell>
        </row>
        <row r="22">
          <cell r="AJ22">
            <v>0.79709147270920655</v>
          </cell>
        </row>
        <row r="23">
          <cell r="AJ23">
            <v>0.79962093224874631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6.8696172311791068</v>
          </cell>
        </row>
        <row r="13">
          <cell r="E13">
            <v>0.35784493436827591</v>
          </cell>
        </row>
      </sheetData>
      <sheetData sheetId="1"/>
      <sheetData sheetId="2">
        <row r="2">
          <cell r="E2">
            <v>5.9869739959618711</v>
          </cell>
        </row>
      </sheetData>
      <sheetData sheetId="3">
        <row r="2">
          <cell r="C2">
            <v>2.5163109877205461</v>
          </cell>
        </row>
        <row r="5">
          <cell r="C5">
            <v>137.3091458825464</v>
          </cell>
          <cell r="E5">
            <v>32.325583142046078</v>
          </cell>
        </row>
        <row r="6">
          <cell r="C6">
            <v>6.2412267582886081</v>
          </cell>
        </row>
        <row r="7">
          <cell r="B7">
            <v>38.884955172790903</v>
          </cell>
        </row>
        <row r="12">
          <cell r="C12">
            <v>4.5796885806851761E-2</v>
          </cell>
        </row>
      </sheetData>
      <sheetData sheetId="4">
        <row r="8">
          <cell r="B8">
            <v>24.600630388131918</v>
          </cell>
        </row>
        <row r="9">
          <cell r="B9">
            <v>110.7748888593585</v>
          </cell>
        </row>
        <row r="10">
          <cell r="B10">
            <v>9.5515962051355725</v>
          </cell>
        </row>
        <row r="11">
          <cell r="B11">
            <v>17223.74633382817</v>
          </cell>
        </row>
        <row r="17">
          <cell r="B17">
            <v>18779.981587453691</v>
          </cell>
        </row>
      </sheetData>
      <sheetData sheetId="5"/>
      <sheetData sheetId="6">
        <row r="3">
          <cell r="B3">
            <v>0.8288611969247035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1.0780796158813839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49.621412676984541</v>
          </cell>
        </row>
        <row r="12">
          <cell r="C12">
            <v>0.12785279968699281</v>
          </cell>
        </row>
        <row r="13">
          <cell r="B13">
            <v>15702.412870627981</v>
          </cell>
        </row>
        <row r="14">
          <cell r="B14">
            <v>23563.605233976708</v>
          </cell>
        </row>
      </sheetData>
      <sheetData sheetId="11">
        <row r="8">
          <cell r="B8">
            <v>32.034349023554199</v>
          </cell>
        </row>
        <row r="9">
          <cell r="B9">
            <v>110.473867646755</v>
          </cell>
        </row>
        <row r="10">
          <cell r="B10">
            <v>9.6928057209943201</v>
          </cell>
        </row>
        <row r="18">
          <cell r="B18">
            <v>11467.106863367129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17.016359252858919</v>
          </cell>
        </row>
        <row r="13">
          <cell r="E13">
            <v>0.88639843460115841</v>
          </cell>
        </row>
      </sheetData>
      <sheetData sheetId="1"/>
      <sheetData sheetId="2">
        <row r="2">
          <cell r="E2">
            <v>14.96744569813012</v>
          </cell>
        </row>
      </sheetData>
      <sheetData sheetId="3">
        <row r="2">
          <cell r="C2">
            <v>2.485936517872787</v>
          </cell>
        </row>
        <row r="5">
          <cell r="C5">
            <v>108.6820079748079</v>
          </cell>
          <cell r="E5">
            <v>29.983793785899671</v>
          </cell>
        </row>
        <row r="6">
          <cell r="C6">
            <v>6.1804862829589728</v>
          </cell>
        </row>
        <row r="7">
          <cell r="B7">
            <v>28.100321139981158</v>
          </cell>
        </row>
        <row r="12">
          <cell r="C12">
            <v>4.446271788206551E-2</v>
          </cell>
        </row>
      </sheetData>
      <sheetData sheetId="4">
        <row r="8">
          <cell r="B8">
            <v>14.691145768841499</v>
          </cell>
        </row>
        <row r="9">
          <cell r="B9">
            <v>90.173624633815081</v>
          </cell>
        </row>
        <row r="10">
          <cell r="B10">
            <v>7.3088921457624263</v>
          </cell>
        </row>
        <row r="11">
          <cell r="B11">
            <v>43321.192384303999</v>
          </cell>
        </row>
        <row r="17">
          <cell r="B17">
            <v>45088.911383464067</v>
          </cell>
        </row>
      </sheetData>
      <sheetData sheetId="5"/>
      <sheetData sheetId="6">
        <row r="3">
          <cell r="B3">
            <v>0.65605461773999685</v>
          </cell>
        </row>
      </sheetData>
      <sheetData sheetId="7"/>
      <sheetData sheetId="8"/>
      <sheetData sheetId="9">
        <row r="9">
          <cell r="E9">
            <v>4.395011572053857</v>
          </cell>
        </row>
        <row r="10">
          <cell r="E10">
            <v>1.0811111111111109</v>
          </cell>
        </row>
      </sheetData>
      <sheetData sheetId="10">
        <row r="2">
          <cell r="C2">
            <v>1.1763582400753381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56.828172354594628</v>
          </cell>
        </row>
        <row r="12">
          <cell r="C12">
            <v>0.29196806642806761</v>
          </cell>
        </row>
        <row r="13">
          <cell r="B13">
            <v>62387.002479519739</v>
          </cell>
        </row>
        <row r="14">
          <cell r="B14">
            <v>93608.309689320187</v>
          </cell>
        </row>
      </sheetData>
      <sheetData sheetId="11">
        <row r="8">
          <cell r="B8">
            <v>26.43416458540176</v>
          </cell>
        </row>
        <row r="9">
          <cell r="B9">
            <v>79.091958695653574</v>
          </cell>
        </row>
        <row r="10">
          <cell r="B10">
            <v>6.6005328021897816</v>
          </cell>
        </row>
        <row r="18">
          <cell r="B18">
            <v>45136.180011803583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17.039532908181179</v>
          </cell>
        </row>
        <row r="13">
          <cell r="E13">
            <v>0.88760557247926786</v>
          </cell>
        </row>
      </sheetData>
      <sheetData sheetId="1"/>
      <sheetData sheetId="2">
        <row r="2">
          <cell r="E2">
            <v>14.967425081065411</v>
          </cell>
        </row>
      </sheetData>
      <sheetData sheetId="3">
        <row r="2">
          <cell r="C2">
            <v>2.326537522109696</v>
          </cell>
        </row>
        <row r="5">
          <cell r="C5">
            <v>123.0441020579799</v>
          </cell>
          <cell r="E5">
            <v>31.093748234829221</v>
          </cell>
        </row>
        <row r="6">
          <cell r="C6">
            <v>6.2109594802500299</v>
          </cell>
        </row>
        <row r="7">
          <cell r="B7">
            <v>32.587231209551511</v>
          </cell>
        </row>
        <row r="12">
          <cell r="C12">
            <v>4.706965701368946E-2</v>
          </cell>
        </row>
      </sheetData>
      <sheetData sheetId="4">
        <row r="8">
          <cell r="B8">
            <v>19.061142093492009</v>
          </cell>
        </row>
        <row r="9">
          <cell r="B9">
            <v>95.19380713463741</v>
          </cell>
        </row>
        <row r="10">
          <cell r="B10">
            <v>8.1489845941481622</v>
          </cell>
        </row>
        <row r="11">
          <cell r="B11">
            <v>43282.622562825381</v>
          </cell>
        </row>
        <row r="17">
          <cell r="B17">
            <v>46114.129926539841</v>
          </cell>
        </row>
      </sheetData>
      <sheetData sheetId="5"/>
      <sheetData sheetId="6">
        <row r="3">
          <cell r="B3">
            <v>0.74275082734504339</v>
          </cell>
        </row>
      </sheetData>
      <sheetData sheetId="7"/>
      <sheetData sheetId="8"/>
      <sheetData sheetId="9">
        <row r="9">
          <cell r="E9">
            <v>4.395011572053857</v>
          </cell>
        </row>
        <row r="10">
          <cell r="E10">
            <v>1.0811111111111109</v>
          </cell>
        </row>
      </sheetData>
      <sheetData sheetId="10">
        <row r="2">
          <cell r="C2">
            <v>0.95518715760098194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57.299063894945427</v>
          </cell>
        </row>
        <row r="12">
          <cell r="C12">
            <v>0.2582060391164398</v>
          </cell>
        </row>
        <row r="13">
          <cell r="B13">
            <v>62461.948064318727</v>
          </cell>
        </row>
        <row r="14">
          <cell r="B14">
            <v>93715.742358565985</v>
          </cell>
        </row>
      </sheetData>
      <sheetData sheetId="11">
        <row r="8">
          <cell r="B8">
            <v>31.456772918824889</v>
          </cell>
        </row>
        <row r="9">
          <cell r="B9">
            <v>83.189252579122567</v>
          </cell>
        </row>
        <row r="10">
          <cell r="B10">
            <v>7.2907044429823813</v>
          </cell>
        </row>
        <row r="18">
          <cell r="B18">
            <v>46583.375711393543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17.022090942125839</v>
          </cell>
        </row>
        <row r="13">
          <cell r="E13">
            <v>0.88669700377910776</v>
          </cell>
        </row>
      </sheetData>
      <sheetData sheetId="1"/>
      <sheetData sheetId="2">
        <row r="2">
          <cell r="E2">
            <v>14.967443619580139</v>
          </cell>
        </row>
      </sheetData>
      <sheetData sheetId="3">
        <row r="2">
          <cell r="C2">
            <v>2.3596389582554611</v>
          </cell>
        </row>
        <row r="5">
          <cell r="C5">
            <v>120.4843423959958</v>
          </cell>
          <cell r="E5">
            <v>30.888793934951892</v>
          </cell>
        </row>
        <row r="6">
          <cell r="C6">
            <v>6.2055282345872733</v>
          </cell>
        </row>
        <row r="7">
          <cell r="B7">
            <v>34.069432037343603</v>
          </cell>
        </row>
        <row r="12">
          <cell r="C12">
            <v>4.5483055370996228E-2</v>
          </cell>
        </row>
      </sheetData>
      <sheetData sheetId="4">
        <row r="8">
          <cell r="B8">
            <v>22.53449947946196</v>
          </cell>
        </row>
        <row r="9">
          <cell r="B9">
            <v>91.514464072638248</v>
          </cell>
        </row>
        <row r="10">
          <cell r="B10">
            <v>7.8364034759142429</v>
          </cell>
        </row>
        <row r="11">
          <cell r="B11">
            <v>43311.667106910252</v>
          </cell>
        </row>
        <row r="17">
          <cell r="B17">
            <v>46397.623556098551</v>
          </cell>
        </row>
      </sheetData>
      <sheetData sheetId="5"/>
      <sheetData sheetId="6">
        <row r="3">
          <cell r="B3">
            <v>0.72729893997341399</v>
          </cell>
        </row>
      </sheetData>
      <sheetData sheetId="7"/>
      <sheetData sheetId="8"/>
      <sheetData sheetId="9">
        <row r="9">
          <cell r="E9">
            <v>4.395011572053857</v>
          </cell>
        </row>
        <row r="10">
          <cell r="E10">
            <v>1.0811111111111109</v>
          </cell>
        </row>
      </sheetData>
      <sheetData sheetId="10">
        <row r="2">
          <cell r="C2">
            <v>0.83142324010913549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60.260407680038767</v>
          </cell>
        </row>
        <row r="12">
          <cell r="C12">
            <v>0.26479078040790199</v>
          </cell>
        </row>
        <row r="13">
          <cell r="B13">
            <v>62503.655225327428</v>
          </cell>
        </row>
        <row r="14">
          <cell r="B14">
            <v>93775.528546736852</v>
          </cell>
        </row>
      </sheetData>
      <sheetData sheetId="11">
        <row r="8">
          <cell r="B8">
            <v>38.757396572930901</v>
          </cell>
        </row>
        <row r="9">
          <cell r="B9">
            <v>75.334904810118147</v>
          </cell>
        </row>
        <row r="10">
          <cell r="B10">
            <v>6.5985269688521813</v>
          </cell>
        </row>
        <row r="18">
          <cell r="B18">
            <v>47596.072998080293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17.004650811635798</v>
          </cell>
        </row>
        <row r="13">
          <cell r="E13">
            <v>0.88578853069530117</v>
          </cell>
        </row>
      </sheetData>
      <sheetData sheetId="1"/>
      <sheetData sheetId="2">
        <row r="2">
          <cell r="E2">
            <v>14.967400352509051</v>
          </cell>
        </row>
      </sheetData>
      <sheetData sheetId="3">
        <row r="2">
          <cell r="C2">
            <v>2.351675825713448</v>
          </cell>
        </row>
        <row r="5">
          <cell r="C5">
            <v>118.6066946513814</v>
          </cell>
          <cell r="E5">
            <v>30.732543131814449</v>
          </cell>
        </row>
        <row r="6">
          <cell r="C6">
            <v>6.2015442800306886</v>
          </cell>
        </row>
        <row r="7">
          <cell r="B7">
            <v>35.752468018114747</v>
          </cell>
        </row>
        <row r="12">
          <cell r="C12">
            <v>4.519218525115401E-2</v>
          </cell>
        </row>
      </sheetData>
      <sheetData sheetId="4">
        <row r="8">
          <cell r="B8">
            <v>26.99311884902216</v>
          </cell>
        </row>
        <row r="9">
          <cell r="B9">
            <v>86.902222994703251</v>
          </cell>
        </row>
        <row r="10">
          <cell r="B10">
            <v>7.4447477175979122</v>
          </cell>
        </row>
        <row r="11">
          <cell r="B11">
            <v>43340.413065089873</v>
          </cell>
        </row>
        <row r="17">
          <cell r="B17">
            <v>46712.495680073793</v>
          </cell>
        </row>
      </sheetData>
      <sheetData sheetId="5"/>
      <sheetData sheetId="6">
        <row r="3">
          <cell r="B3">
            <v>0.71596459405638924</v>
          </cell>
        </row>
      </sheetData>
      <sheetData sheetId="7"/>
      <sheetData sheetId="8"/>
      <sheetData sheetId="9">
        <row r="9">
          <cell r="E9">
            <v>4.396733697646714</v>
          </cell>
        </row>
        <row r="10">
          <cell r="E10">
            <v>1.0811111111111109</v>
          </cell>
        </row>
      </sheetData>
      <sheetData sheetId="10">
        <row r="2">
          <cell r="C2">
            <v>0.71060255749749046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63.168825652924937</v>
          </cell>
        </row>
        <row r="12">
          <cell r="C12">
            <v>0.27386574263493058</v>
          </cell>
        </row>
        <row r="13">
          <cell r="B13">
            <v>62548.61786579719</v>
          </cell>
        </row>
        <row r="14">
          <cell r="B14">
            <v>93841.448579483054</v>
          </cell>
        </row>
      </sheetData>
      <sheetData sheetId="11">
        <row r="8">
          <cell r="B8">
            <v>47.885549039802399</v>
          </cell>
        </row>
        <row r="9">
          <cell r="B9">
            <v>65.808416590711033</v>
          </cell>
        </row>
        <row r="10">
          <cell r="B10">
            <v>5.7500061044219866</v>
          </cell>
        </row>
        <row r="18">
          <cell r="B18">
            <v>48612.959091907403</v>
          </cell>
        </row>
      </sheetData>
      <sheetData sheetId="12">
        <row r="3">
          <cell r="E3">
            <v>23.53533367368868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16.98804382123474</v>
          </cell>
        </row>
        <row r="13">
          <cell r="E13">
            <v>0.88492345667587091</v>
          </cell>
        </row>
      </sheetData>
      <sheetData sheetId="1"/>
      <sheetData sheetId="2">
        <row r="2">
          <cell r="E2">
            <v>14.96743250233453</v>
          </cell>
        </row>
      </sheetData>
      <sheetData sheetId="3">
        <row r="2">
          <cell r="C2">
            <v>2.2814705396022652</v>
          </cell>
        </row>
        <row r="5">
          <cell r="C5">
            <v>117.7424917001585</v>
          </cell>
          <cell r="E5">
            <v>30.641734364736699</v>
          </cell>
        </row>
        <row r="6">
          <cell r="C6">
            <v>6.1997106318955613</v>
          </cell>
        </row>
        <row r="7">
          <cell r="B7">
            <v>37.5991267603506</v>
          </cell>
        </row>
        <row r="12">
          <cell r="C12">
            <v>4.5256100392003597E-2</v>
          </cell>
        </row>
      </sheetData>
      <sheetData sheetId="4">
        <row r="8">
          <cell r="B8">
            <v>32.480218736785602</v>
          </cell>
        </row>
        <row r="9">
          <cell r="B9">
            <v>81.306767768421253</v>
          </cell>
        </row>
        <row r="10">
          <cell r="B10">
            <v>6.9672847991938136</v>
          </cell>
        </row>
        <row r="11">
          <cell r="B11">
            <v>43368.136528480223</v>
          </cell>
        </row>
        <row r="17">
          <cell r="B17">
            <v>47072.363809091752</v>
          </cell>
        </row>
      </sheetData>
      <sheetData sheetId="5"/>
      <sheetData sheetId="6">
        <row r="3">
          <cell r="B3">
            <v>0.71074786731956119</v>
          </cell>
        </row>
      </sheetData>
      <sheetData sheetId="7"/>
      <sheetData sheetId="8"/>
      <sheetData sheetId="9">
        <row r="9">
          <cell r="E9">
            <v>4.3994479898786789</v>
          </cell>
        </row>
        <row r="10">
          <cell r="E10">
            <v>1.0811111111111109</v>
          </cell>
        </row>
      </sheetData>
      <sheetData sheetId="10">
        <row r="2">
          <cell r="C2">
            <v>0.71666408509868151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65.363338346604493</v>
          </cell>
        </row>
        <row r="12">
          <cell r="C12">
            <v>0.2877666819202484</v>
          </cell>
        </row>
        <row r="13">
          <cell r="B13">
            <v>62595.501176334103</v>
          </cell>
        </row>
        <row r="14">
          <cell r="B14">
            <v>93910.967086279779</v>
          </cell>
        </row>
      </sheetData>
      <sheetData sheetId="11">
        <row r="8">
          <cell r="B8">
            <v>47.709603276039402</v>
          </cell>
        </row>
        <row r="9">
          <cell r="B9">
            <v>64.848684015727883</v>
          </cell>
        </row>
        <row r="10">
          <cell r="B10">
            <v>5.6391729001712729</v>
          </cell>
        </row>
        <row r="18">
          <cell r="B18">
            <v>49632.801669158143</v>
          </cell>
        </row>
      </sheetData>
      <sheetData sheetId="12">
        <row r="3">
          <cell r="E3">
            <v>23.52367760499385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16.965818079965441</v>
          </cell>
        </row>
        <row r="13">
          <cell r="E13">
            <v>0.88376569654773729</v>
          </cell>
        </row>
      </sheetData>
      <sheetData sheetId="1"/>
      <sheetData sheetId="2">
        <row r="2">
          <cell r="E2">
            <v>14.9674407176344</v>
          </cell>
        </row>
      </sheetData>
      <sheetData sheetId="3">
        <row r="2">
          <cell r="C2">
            <v>2.2613269785137939</v>
          </cell>
        </row>
        <row r="5">
          <cell r="C5">
            <v>116.36672808947149</v>
          </cell>
          <cell r="E5">
            <v>30.565482250702971</v>
          </cell>
        </row>
        <row r="6">
          <cell r="C6">
            <v>6.1967915648227834</v>
          </cell>
        </row>
        <row r="7">
          <cell r="B7">
            <v>39.093798371199632</v>
          </cell>
        </row>
        <row r="12">
          <cell r="C12">
            <v>4.5001550543161802E-2</v>
          </cell>
        </row>
      </sheetData>
      <sheetData sheetId="4">
        <row r="8">
          <cell r="B8">
            <v>39.116163192416501</v>
          </cell>
        </row>
        <row r="9">
          <cell r="B9">
            <v>74.700224378469329</v>
          </cell>
        </row>
        <row r="10">
          <cell r="B10">
            <v>6.3937483271474242</v>
          </cell>
        </row>
        <row r="11">
          <cell r="B11">
            <v>43405.073389129357</v>
          </cell>
        </row>
        <row r="17">
          <cell r="B17">
            <v>47394.762895518092</v>
          </cell>
        </row>
      </sheetData>
      <sheetData sheetId="5"/>
      <sheetData sheetId="6">
        <row r="3">
          <cell r="B3">
            <v>0.70823779790384145</v>
          </cell>
        </row>
      </sheetData>
      <sheetData sheetId="7"/>
      <sheetData sheetId="8"/>
      <sheetData sheetId="9">
        <row r="9">
          <cell r="E9">
            <v>4.4025683150483728</v>
          </cell>
        </row>
        <row r="10">
          <cell r="E10">
            <v>1.0811111111111109</v>
          </cell>
        </row>
      </sheetData>
      <sheetData sheetId="10">
        <row r="2">
          <cell r="C2">
            <v>0.72182815541458012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66.139466084330451</v>
          </cell>
        </row>
        <row r="12">
          <cell r="C12">
            <v>0.29581442952644121</v>
          </cell>
        </row>
        <row r="13">
          <cell r="B13">
            <v>62643.221513271201</v>
          </cell>
        </row>
        <row r="14">
          <cell r="B14">
            <v>93982.031287304751</v>
          </cell>
        </row>
      </sheetData>
      <sheetData sheetId="11">
        <row r="8">
          <cell r="B8">
            <v>35.110454806153172</v>
          </cell>
        </row>
        <row r="9">
          <cell r="B9">
            <v>75.32090936174167</v>
          </cell>
        </row>
        <row r="10">
          <cell r="B10">
            <v>6.5211081960344917</v>
          </cell>
        </row>
        <row r="18">
          <cell r="B18">
            <v>50654.541615304443</v>
          </cell>
        </row>
      </sheetData>
      <sheetData sheetId="12">
        <row r="3">
          <cell r="E3">
            <v>23.51029215380127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16.938790412377859</v>
          </cell>
        </row>
        <row r="13">
          <cell r="E13">
            <v>0.882357799483239</v>
          </cell>
        </row>
      </sheetData>
      <sheetData sheetId="1"/>
      <sheetData sheetId="2">
        <row r="2">
          <cell r="E2">
            <v>14.96739374086439</v>
          </cell>
        </row>
      </sheetData>
      <sheetData sheetId="3">
        <row r="2">
          <cell r="C2">
            <v>2.2770602851975048</v>
          </cell>
        </row>
        <row r="5">
          <cell r="C5">
            <v>114.3935438157328</v>
          </cell>
          <cell r="E5">
            <v>30.500484601134008</v>
          </cell>
        </row>
        <row r="6">
          <cell r="C6">
            <v>6.1926049028139554</v>
          </cell>
        </row>
        <row r="7">
          <cell r="B7">
            <v>40.093913790488678</v>
          </cell>
        </row>
        <row r="12">
          <cell r="C12">
            <v>4.4975822036945327E-2</v>
          </cell>
        </row>
      </sheetData>
      <sheetData sheetId="4">
        <row r="8">
          <cell r="B8">
            <v>46.458686807210142</v>
          </cell>
        </row>
        <row r="9">
          <cell r="B9">
            <v>67.480063253945687</v>
          </cell>
        </row>
        <row r="10">
          <cell r="B10">
            <v>5.7536825722811598</v>
          </cell>
        </row>
        <row r="11">
          <cell r="B11">
            <v>43449.718148018939</v>
          </cell>
        </row>
        <row r="17">
          <cell r="B17">
            <v>47695.034667287007</v>
          </cell>
        </row>
      </sheetData>
      <sheetData sheetId="5"/>
      <sheetData sheetId="6">
        <row r="3">
          <cell r="B3">
            <v>0.71591449981245514</v>
          </cell>
        </row>
      </sheetData>
      <sheetData sheetId="7"/>
      <sheetData sheetId="8"/>
      <sheetData sheetId="9">
        <row r="9">
          <cell r="E9">
            <v>4.4062452633665972</v>
          </cell>
        </row>
        <row r="10">
          <cell r="E10">
            <v>1.0811111111111109</v>
          </cell>
        </row>
      </sheetData>
      <sheetData sheetId="10">
        <row r="2">
          <cell r="C2">
            <v>0.71598310939687693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65.899010805455376</v>
          </cell>
        </row>
        <row r="12">
          <cell r="C12">
            <v>0.29566150562177229</v>
          </cell>
        </row>
        <row r="13">
          <cell r="B13">
            <v>62692.064336307783</v>
          </cell>
        </row>
        <row r="14">
          <cell r="B14">
            <v>94055.178634434691</v>
          </cell>
        </row>
      </sheetData>
      <sheetData sheetId="11">
        <row r="8">
          <cell r="B8">
            <v>24.227009649183191</v>
          </cell>
        </row>
        <row r="9">
          <cell r="B9">
            <v>84.227019329046243</v>
          </cell>
        </row>
        <row r="10">
          <cell r="B10">
            <v>7.2548016450828197</v>
          </cell>
        </row>
        <row r="18">
          <cell r="B18">
            <v>51678.564461428723</v>
          </cell>
        </row>
      </sheetData>
      <sheetData sheetId="12">
        <row r="3">
          <cell r="E3">
            <v>23.49453846052959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16.918753936587521</v>
          </cell>
        </row>
        <row r="13">
          <cell r="E13">
            <v>0.88131408028857661</v>
          </cell>
        </row>
      </sheetData>
      <sheetData sheetId="1"/>
      <sheetData sheetId="2">
        <row r="2">
          <cell r="E2">
            <v>14.967469756651781</v>
          </cell>
        </row>
      </sheetData>
      <sheetData sheetId="3">
        <row r="2">
          <cell r="C2">
            <v>2.327906899887445</v>
          </cell>
        </row>
        <row r="5">
          <cell r="C5">
            <v>112.5707844775945</v>
          </cell>
          <cell r="E5">
            <v>30.39380273002433</v>
          </cell>
        </row>
        <row r="6">
          <cell r="C6">
            <v>6.1887374093548848</v>
          </cell>
        </row>
        <row r="7">
          <cell r="B7">
            <v>40.093175485906528</v>
          </cell>
        </row>
        <row r="12">
          <cell r="C12">
            <v>4.5257262078777893E-2</v>
          </cell>
        </row>
      </sheetData>
      <sheetData sheetId="4">
        <row r="8">
          <cell r="B8">
            <v>47.992736190353007</v>
          </cell>
        </row>
        <row r="9">
          <cell r="B9">
            <v>65.450942184665948</v>
          </cell>
        </row>
        <row r="10">
          <cell r="B10">
            <v>5.561640244380385</v>
          </cell>
        </row>
        <row r="11">
          <cell r="B11">
            <v>43483.344752303732</v>
          </cell>
        </row>
        <row r="17">
          <cell r="B17">
            <v>47724.506092506672</v>
          </cell>
        </row>
      </sheetData>
      <sheetData sheetId="5"/>
      <sheetData sheetId="6">
        <row r="3">
          <cell r="B3">
            <v>0.71666535823847155</v>
          </cell>
        </row>
      </sheetData>
      <sheetData sheetId="7"/>
      <sheetData sheetId="8"/>
      <sheetData sheetId="9">
        <row r="9">
          <cell r="E9">
            <v>4.4087868165820359</v>
          </cell>
        </row>
        <row r="10">
          <cell r="E10">
            <v>1.0811111111111109</v>
          </cell>
        </row>
      </sheetData>
      <sheetData sheetId="10">
        <row r="2">
          <cell r="C2">
            <v>0.71184488358380005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65.641024312032116</v>
          </cell>
        </row>
        <row r="12">
          <cell r="C12">
            <v>0.29525731335187361</v>
          </cell>
        </row>
        <row r="13">
          <cell r="B13">
            <v>62722.038390198919</v>
          </cell>
        </row>
        <row r="14">
          <cell r="B14">
            <v>94100.310763044239</v>
          </cell>
        </row>
      </sheetData>
      <sheetData sheetId="11">
        <row r="8">
          <cell r="B8">
            <v>21.649701873320829</v>
          </cell>
        </row>
        <row r="9">
          <cell r="B9">
            <v>85.818083676171725</v>
          </cell>
        </row>
        <row r="10">
          <cell r="B10">
            <v>7.3619093713592427</v>
          </cell>
        </row>
        <row r="18">
          <cell r="B18">
            <v>51899.487184099322</v>
          </cell>
        </row>
      </sheetData>
      <sheetData sheetId="12">
        <row r="3">
          <cell r="E3">
            <v>23.483661642680509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20.36867333921623</v>
          </cell>
        </row>
        <row r="13">
          <cell r="E13">
            <v>1.0610236828274671</v>
          </cell>
        </row>
      </sheetData>
      <sheetData sheetId="1"/>
      <sheetData sheetId="2">
        <row r="2">
          <cell r="E2">
            <v>17.96091377949147</v>
          </cell>
        </row>
      </sheetData>
      <sheetData sheetId="3">
        <row r="2">
          <cell r="C2">
            <v>2.3839244180404342</v>
          </cell>
        </row>
        <row r="5">
          <cell r="C5">
            <v>113.8908344679527</v>
          </cell>
          <cell r="E5">
            <v>30.37881556241474</v>
          </cell>
        </row>
        <row r="6">
          <cell r="C6">
            <v>6.1915382644082841</v>
          </cell>
        </row>
        <row r="7">
          <cell r="B7">
            <v>30.999030387226529</v>
          </cell>
        </row>
        <row r="12">
          <cell r="C12">
            <v>4.5272124709489298E-2</v>
          </cell>
        </row>
      </sheetData>
      <sheetData sheetId="4">
        <row r="8">
          <cell r="B8">
            <v>19.264839143595911</v>
          </cell>
        </row>
        <row r="9">
          <cell r="B9">
            <v>86.584209155751537</v>
          </cell>
        </row>
        <row r="10">
          <cell r="B10">
            <v>7.3436941187912037</v>
          </cell>
        </row>
        <row r="11">
          <cell r="B11">
            <v>52069.926581127533</v>
          </cell>
        </row>
        <row r="17">
          <cell r="B17">
            <v>55118.706700061077</v>
          </cell>
        </row>
      </sheetData>
      <sheetData sheetId="5"/>
      <sheetData sheetId="6">
        <row r="3">
          <cell r="B3">
            <v>0.68749749165732654</v>
          </cell>
        </row>
      </sheetData>
      <sheetData sheetId="7"/>
      <sheetData sheetId="8"/>
      <sheetData sheetId="9">
        <row r="9">
          <cell r="E9">
            <v>5.4944005723030758</v>
          </cell>
        </row>
        <row r="10">
          <cell r="E10">
            <v>1.0811111111111109</v>
          </cell>
        </row>
      </sheetData>
      <sheetData sheetId="10">
        <row r="2">
          <cell r="C2">
            <v>0.83125000029469542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62.932685075587308</v>
          </cell>
        </row>
        <row r="12">
          <cell r="C12">
            <v>0.31310391975481761</v>
          </cell>
        </row>
        <row r="13">
          <cell r="B13">
            <v>78171.580615489089</v>
          </cell>
        </row>
        <row r="14">
          <cell r="B14">
            <v>117279.8098505646</v>
          </cell>
        </row>
      </sheetData>
      <sheetData sheetId="11">
        <row r="8">
          <cell r="B8">
            <v>36.910174522338501</v>
          </cell>
        </row>
        <row r="9">
          <cell r="B9">
            <v>66.138587533974004</v>
          </cell>
        </row>
        <row r="10">
          <cell r="B10">
            <v>5.7530749303129642</v>
          </cell>
        </row>
        <row r="18">
          <cell r="B18">
            <v>59523.987390774178</v>
          </cell>
        </row>
      </sheetData>
      <sheetData sheetId="12">
        <row r="3">
          <cell r="E3">
            <v>23.527824740147079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20.347359398261641</v>
          </cell>
        </row>
        <row r="13">
          <cell r="E13">
            <v>1.0599134192501301</v>
          </cell>
        </row>
      </sheetData>
      <sheetData sheetId="1"/>
      <sheetData sheetId="2">
        <row r="2">
          <cell r="E2">
            <v>17.960886879916981</v>
          </cell>
        </row>
      </sheetData>
      <sheetData sheetId="3">
        <row r="2">
          <cell r="C2">
            <v>2.384687525455119</v>
          </cell>
        </row>
        <row r="5">
          <cell r="C5">
            <v>111.933075585651</v>
          </cell>
          <cell r="E5">
            <v>30.227336523688809</v>
          </cell>
        </row>
        <row r="6">
          <cell r="C6">
            <v>6.1873843316793096</v>
          </cell>
        </row>
        <row r="7">
          <cell r="B7">
            <v>32.559113482586248</v>
          </cell>
        </row>
        <row r="12">
          <cell r="C12">
            <v>4.5244580788152383E-2</v>
          </cell>
        </row>
      </sheetData>
      <sheetData sheetId="4">
        <row r="8">
          <cell r="B8">
            <v>23.138043998488651</v>
          </cell>
        </row>
        <row r="9">
          <cell r="B9">
            <v>82.451859924370652</v>
          </cell>
        </row>
        <row r="10">
          <cell r="B10">
            <v>6.9972754165689741</v>
          </cell>
        </row>
        <row r="11">
          <cell r="B11">
            <v>52105.181826050502</v>
          </cell>
        </row>
        <row r="17">
          <cell r="B17">
            <v>55485.466110642818</v>
          </cell>
        </row>
      </sheetData>
      <sheetData sheetId="5"/>
      <sheetData sheetId="6">
        <row r="3">
          <cell r="B3">
            <v>0.67567955804449453</v>
          </cell>
        </row>
      </sheetData>
      <sheetData sheetId="7"/>
      <sheetData sheetId="8"/>
      <sheetData sheetId="9">
        <row r="9">
          <cell r="E9">
            <v>5.4976767511784024</v>
          </cell>
        </row>
        <row r="10">
          <cell r="E10">
            <v>1.0811111111111109</v>
          </cell>
        </row>
      </sheetData>
      <sheetData sheetId="10">
        <row r="2">
          <cell r="C2">
            <v>0.71148831256245626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65.999317984843145</v>
          </cell>
        </row>
        <row r="12">
          <cell r="C12">
            <v>0.32482453893897678</v>
          </cell>
        </row>
        <row r="13">
          <cell r="B13">
            <v>78224.458261785621</v>
          </cell>
        </row>
        <row r="14">
          <cell r="B14">
            <v>117358.3865081265</v>
          </cell>
        </row>
      </sheetData>
      <sheetData sheetId="11">
        <row r="8">
          <cell r="B8">
            <v>46.309107392288688</v>
          </cell>
        </row>
        <row r="9">
          <cell r="B9">
            <v>56.117271680680602</v>
          </cell>
        </row>
        <row r="10">
          <cell r="B10">
            <v>4.8643770700920594</v>
          </cell>
        </row>
        <row r="18">
          <cell r="B18">
            <v>60794.027824582961</v>
          </cell>
        </row>
      </sheetData>
      <sheetData sheetId="12">
        <row r="3">
          <cell r="E3">
            <v>23.516108088993469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6.8708420520316213</v>
          </cell>
        </row>
        <row r="13">
          <cell r="E13">
            <v>0.35790873645838239</v>
          </cell>
        </row>
      </sheetData>
      <sheetData sheetId="1"/>
      <sheetData sheetId="2">
        <row r="2">
          <cell r="E2">
            <v>5.986977244656833</v>
          </cell>
        </row>
      </sheetData>
      <sheetData sheetId="3">
        <row r="2">
          <cell r="C2">
            <v>1.9601602276417991</v>
          </cell>
        </row>
        <row r="5">
          <cell r="C5">
            <v>143.02834095867539</v>
          </cell>
          <cell r="E5">
            <v>32.836147081594802</v>
          </cell>
        </row>
        <row r="6">
          <cell r="C6">
            <v>6.2533616293520922</v>
          </cell>
        </row>
        <row r="7">
          <cell r="B7">
            <v>41.707709117720647</v>
          </cell>
        </row>
        <row r="12">
          <cell r="C12">
            <v>4.4241268579591979E-2</v>
          </cell>
        </row>
      </sheetData>
      <sheetData sheetId="4">
        <row r="8">
          <cell r="B8">
            <v>28.683820125208861</v>
          </cell>
        </row>
        <row r="9">
          <cell r="B9">
            <v>110.9297436207077</v>
          </cell>
        </row>
        <row r="10">
          <cell r="B10">
            <v>9.7769041162700763</v>
          </cell>
        </row>
        <row r="11">
          <cell r="B11">
            <v>17221.728508773671</v>
          </cell>
        </row>
        <row r="17">
          <cell r="B17">
            <v>19009.651878310251</v>
          </cell>
        </row>
      </sheetData>
      <sheetData sheetId="5"/>
      <sheetData sheetId="6">
        <row r="3">
          <cell r="B3">
            <v>0.86338489049061606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0.95383820217499826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51.191009782887349</v>
          </cell>
        </row>
        <row r="12">
          <cell r="C12">
            <v>0.1131097662033807</v>
          </cell>
        </row>
        <row r="13">
          <cell r="B13">
            <v>15714.95477239345</v>
          </cell>
        </row>
        <row r="14">
          <cell r="B14">
            <v>23581.583748906301</v>
          </cell>
        </row>
      </sheetData>
      <sheetData sheetId="11">
        <row r="8">
          <cell r="B8">
            <v>36.563420873606979</v>
          </cell>
        </row>
        <row r="9">
          <cell r="B9">
            <v>110.2151258666802</v>
          </cell>
        </row>
        <row r="10">
          <cell r="B10">
            <v>9.8667436672333508</v>
          </cell>
        </row>
        <row r="18">
          <cell r="B18">
            <v>11723.12230274476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20.327388167701429</v>
          </cell>
        </row>
        <row r="13">
          <cell r="E13">
            <v>1.058873098741931</v>
          </cell>
        </row>
      </sheetData>
      <sheetData sheetId="1"/>
      <sheetData sheetId="2">
        <row r="2">
          <cell r="E2">
            <v>17.960979450721972</v>
          </cell>
        </row>
      </sheetData>
      <sheetData sheetId="3">
        <row r="2">
          <cell r="C2">
            <v>2.34787278725782</v>
          </cell>
        </row>
        <row r="5">
          <cell r="C5">
            <v>110.99572260257349</v>
          </cell>
          <cell r="E5">
            <v>30.13633617001506</v>
          </cell>
        </row>
        <row r="6">
          <cell r="C6">
            <v>6.1853954753036824</v>
          </cell>
        </row>
        <row r="7">
          <cell r="B7">
            <v>34.29846282256274</v>
          </cell>
        </row>
        <row r="12">
          <cell r="C12">
            <v>4.5295050915794242E-2</v>
          </cell>
        </row>
      </sheetData>
      <sheetData sheetId="4">
        <row r="8">
          <cell r="B8">
            <v>27.959404577067229</v>
          </cell>
        </row>
        <row r="9">
          <cell r="B9">
            <v>77.402724034046813</v>
          </cell>
        </row>
        <row r="10">
          <cell r="B10">
            <v>6.571530918752698</v>
          </cell>
        </row>
        <row r="11">
          <cell r="B11">
            <v>52138.779276790927</v>
          </cell>
        </row>
        <row r="17">
          <cell r="B17">
            <v>55905.48731453353</v>
          </cell>
        </row>
      </sheetData>
      <sheetData sheetId="5"/>
      <sheetData sheetId="6">
        <row r="3">
          <cell r="B3">
            <v>0.67002126405030482</v>
          </cell>
        </row>
      </sheetData>
      <sheetData sheetId="7"/>
      <sheetData sheetId="8"/>
      <sheetData sheetId="9">
        <row r="9">
          <cell r="E9">
            <v>5.5014588773408182</v>
          </cell>
        </row>
        <row r="10">
          <cell r="E10">
            <v>1.0811111111111109</v>
          </cell>
        </row>
      </sheetData>
      <sheetData sheetId="10">
        <row r="2">
          <cell r="C2">
            <v>0.71656767855174452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67.455488301115608</v>
          </cell>
        </row>
        <row r="12">
          <cell r="C12">
            <v>0.33910423290989111</v>
          </cell>
        </row>
        <row r="13">
          <cell r="B13">
            <v>78278.106461409916</v>
          </cell>
        </row>
        <row r="14">
          <cell r="B14">
            <v>117438.49664274471</v>
          </cell>
        </row>
      </sheetData>
      <sheetData sheetId="11">
        <row r="8">
          <cell r="B8">
            <v>33.844060047769347</v>
          </cell>
        </row>
        <row r="9">
          <cell r="B9">
            <v>66.221153184919004</v>
          </cell>
        </row>
        <row r="10">
          <cell r="B10">
            <v>5.7166448455855177</v>
          </cell>
        </row>
        <row r="18">
          <cell r="B18">
            <v>62066.014882446667</v>
          </cell>
        </row>
      </sheetData>
      <sheetData sheetId="12">
        <row r="3">
          <cell r="E3">
            <v>23.50259651406185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20.300640779825681</v>
          </cell>
        </row>
        <row r="13">
          <cell r="E13">
            <v>1.057479801715792</v>
          </cell>
        </row>
      </sheetData>
      <sheetData sheetId="1"/>
      <sheetData sheetId="2">
        <row r="2">
          <cell r="E2">
            <v>17.960939798398819</v>
          </cell>
        </row>
      </sheetData>
      <sheetData sheetId="3">
        <row r="2">
          <cell r="C2">
            <v>2.337905527225534</v>
          </cell>
        </row>
        <row r="5">
          <cell r="C5">
            <v>109.6580178881653</v>
          </cell>
          <cell r="E5">
            <v>30.061806400706509</v>
          </cell>
        </row>
        <row r="6">
          <cell r="C6">
            <v>6.1825571608181153</v>
          </cell>
        </row>
        <row r="7">
          <cell r="B7">
            <v>35.78330205931789</v>
          </cell>
        </row>
        <row r="12">
          <cell r="C12">
            <v>4.5098060271369082E-2</v>
          </cell>
        </row>
      </sheetData>
      <sheetData sheetId="4">
        <row r="8">
          <cell r="B8">
            <v>33.752769207123173</v>
          </cell>
        </row>
        <row r="9">
          <cell r="B9">
            <v>71.504430096244306</v>
          </cell>
        </row>
        <row r="10">
          <cell r="B10">
            <v>6.067829647025599</v>
          </cell>
        </row>
        <row r="11">
          <cell r="B11">
            <v>52182.993759107507</v>
          </cell>
        </row>
        <row r="17">
          <cell r="B17">
            <v>56285.638901505139</v>
          </cell>
        </row>
      </sheetData>
      <sheetData sheetId="5"/>
      <sheetData sheetId="6">
        <row r="3">
          <cell r="B3">
            <v>0.66740686437364061</v>
          </cell>
        </row>
      </sheetData>
      <sheetData sheetId="7"/>
      <sheetData sheetId="8"/>
      <sheetData sheetId="9">
        <row r="9">
          <cell r="E9">
            <v>5.5058975696175256</v>
          </cell>
        </row>
        <row r="10">
          <cell r="E10">
            <v>1.0811111111111109</v>
          </cell>
        </row>
      </sheetData>
      <sheetData sheetId="10">
        <row r="2">
          <cell r="C2">
            <v>0.72188486613463243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68.260347646185352</v>
          </cell>
        </row>
        <row r="12">
          <cell r="C12">
            <v>0.34797512195170022</v>
          </cell>
        </row>
        <row r="13">
          <cell r="B13">
            <v>78332.735815140491</v>
          </cell>
        </row>
        <row r="14">
          <cell r="B14">
            <v>117520.5698119568</v>
          </cell>
        </row>
      </sheetData>
      <sheetData sheetId="11">
        <row r="8">
          <cell r="B8">
            <v>22.515130127862012</v>
          </cell>
        </row>
        <row r="9">
          <cell r="B9">
            <v>75.288938689459812</v>
          </cell>
        </row>
        <row r="10">
          <cell r="B10">
            <v>6.4709008574935636</v>
          </cell>
        </row>
        <row r="18">
          <cell r="B18">
            <v>63340.275747566731</v>
          </cell>
        </row>
      </sheetData>
      <sheetData sheetId="12">
        <row r="3">
          <cell r="E3">
            <v>23.486759159249392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20.268661831315711</v>
          </cell>
        </row>
        <row r="13">
          <cell r="E13">
            <v>1.0558139876906989</v>
          </cell>
        </row>
      </sheetData>
      <sheetData sheetId="1"/>
      <sheetData sheetId="2">
        <row r="2">
          <cell r="E2">
            <v>17.960932214909011</v>
          </cell>
        </row>
      </sheetData>
      <sheetData sheetId="3">
        <row r="2">
          <cell r="C2">
            <v>2.344722615181781</v>
          </cell>
        </row>
        <row r="5">
          <cell r="C5">
            <v>107.96304986980491</v>
          </cell>
          <cell r="E5">
            <v>29.999617175308138</v>
          </cell>
        </row>
        <row r="6">
          <cell r="C6">
            <v>6.1789608123659736</v>
          </cell>
        </row>
        <row r="7">
          <cell r="B7">
            <v>36.911703255720127</v>
          </cell>
        </row>
        <row r="12">
          <cell r="C12">
            <v>4.527004338835329E-2</v>
          </cell>
        </row>
      </sheetData>
      <sheetData sheetId="4">
        <row r="8">
          <cell r="B8">
            <v>40.560972948450207</v>
          </cell>
        </row>
        <row r="9">
          <cell r="B9">
            <v>64.701842422412994</v>
          </cell>
        </row>
        <row r="10">
          <cell r="B10">
            <v>5.4770658063588673</v>
          </cell>
        </row>
        <row r="11">
          <cell r="B11">
            <v>52236.04664715808</v>
          </cell>
        </row>
        <row r="17">
          <cell r="B17">
            <v>56647.423828849438</v>
          </cell>
        </row>
      </sheetData>
      <sheetData sheetId="5"/>
      <sheetData sheetId="6">
        <row r="3">
          <cell r="B3">
            <v>0.67567023686469918</v>
          </cell>
        </row>
      </sheetData>
      <sheetData sheetId="7"/>
      <sheetData sheetId="8"/>
      <sheetData sheetId="9">
        <row r="9">
          <cell r="E9">
            <v>5.5111582905257022</v>
          </cell>
        </row>
        <row r="10">
          <cell r="E10">
            <v>1.0811111111111109</v>
          </cell>
        </row>
      </sheetData>
      <sheetData sheetId="10">
        <row r="2">
          <cell r="C2">
            <v>0.71603289719417307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68.09031890663762</v>
          </cell>
        </row>
        <row r="12">
          <cell r="C12">
            <v>0.34851789139445721</v>
          </cell>
        </row>
        <row r="13">
          <cell r="B13">
            <v>78388.578280250731</v>
          </cell>
        </row>
        <row r="14">
          <cell r="B14">
            <v>117605.0787490238</v>
          </cell>
        </row>
      </sheetData>
      <sheetData sheetId="11">
        <row r="8">
          <cell r="B8">
            <v>12.66823779613423</v>
          </cell>
        </row>
        <row r="9">
          <cell r="B9">
            <v>83.002807390968968</v>
          </cell>
        </row>
        <row r="10">
          <cell r="B10">
            <v>7.0989333943770117</v>
          </cell>
        </row>
        <row r="18">
          <cell r="B18">
            <v>64617.181943704622</v>
          </cell>
        </row>
      </sheetData>
      <sheetData sheetId="12">
        <row r="3">
          <cell r="E3">
            <v>23.46801640505555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20.244767350469381</v>
          </cell>
        </row>
        <row r="13">
          <cell r="E13">
            <v>1.0545693013213611</v>
          </cell>
        </row>
      </sheetData>
      <sheetData sheetId="1"/>
      <sheetData sheetId="2">
        <row r="2">
          <cell r="E2">
            <v>17.9609344564272</v>
          </cell>
        </row>
      </sheetData>
      <sheetData sheetId="3">
        <row r="2">
          <cell r="C2">
            <v>2.3757753896140601</v>
          </cell>
        </row>
        <row r="5">
          <cell r="C5">
            <v>106.30369517351831</v>
          </cell>
          <cell r="E5">
            <v>29.898306700619841</v>
          </cell>
        </row>
        <row r="6">
          <cell r="C6">
            <v>6.1754400275317458</v>
          </cell>
        </row>
        <row r="7">
          <cell r="B7">
            <v>36.948715190770493</v>
          </cell>
        </row>
        <row r="12">
          <cell r="C12">
            <v>4.5273369589101053E-2</v>
          </cell>
        </row>
      </sheetData>
      <sheetData sheetId="4">
        <row r="8">
          <cell r="B8">
            <v>41.914073110493412</v>
          </cell>
        </row>
        <row r="9">
          <cell r="B9">
            <v>62.831649444115307</v>
          </cell>
        </row>
        <row r="10">
          <cell r="B10">
            <v>5.2979865222384337</v>
          </cell>
        </row>
        <row r="11">
          <cell r="B11">
            <v>52275.725264127926</v>
          </cell>
        </row>
        <row r="17">
          <cell r="B17">
            <v>56684.736489562303</v>
          </cell>
        </row>
      </sheetData>
      <sheetData sheetId="5"/>
      <sheetData sheetId="6">
        <row r="3">
          <cell r="B3">
            <v>0.67676685506945256</v>
          </cell>
        </row>
      </sheetData>
      <sheetData sheetId="7"/>
      <sheetData sheetId="8"/>
      <sheetData sheetId="9">
        <row r="9">
          <cell r="E9">
            <v>5.514784658020079</v>
          </cell>
        </row>
        <row r="10">
          <cell r="E10">
            <v>1.0811111111111109</v>
          </cell>
        </row>
      </sheetData>
      <sheetData sheetId="10">
        <row r="2">
          <cell r="C2">
            <v>0.71181711066167452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67.836570483932789</v>
          </cell>
        </row>
        <row r="12">
          <cell r="C12">
            <v>0.34826125639386529</v>
          </cell>
        </row>
        <row r="13">
          <cell r="B13">
            <v>78422.771636338381</v>
          </cell>
        </row>
        <row r="14">
          <cell r="B14">
            <v>117657.16848958201</v>
          </cell>
        </row>
      </sheetData>
      <sheetData sheetId="11">
        <row r="8">
          <cell r="B8">
            <v>10.34871879737203</v>
          </cell>
        </row>
        <row r="9">
          <cell r="B9">
            <v>84.305958624582033</v>
          </cell>
        </row>
        <row r="10">
          <cell r="B10">
            <v>7.1813283347583319</v>
          </cell>
        </row>
        <row r="18">
          <cell r="B18">
            <v>64891.176686480467</v>
          </cell>
        </row>
      </sheetData>
      <sheetData sheetId="12">
        <row r="3">
          <cell r="E3">
            <v>23.45511388888071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20.38784814297739</v>
          </cell>
        </row>
        <row r="13">
          <cell r="E13">
            <v>1.062022516701689</v>
          </cell>
        </row>
      </sheetData>
      <sheetData sheetId="1"/>
      <sheetData sheetId="2">
        <row r="2">
          <cell r="E2">
            <v>17.960942931488908</v>
          </cell>
        </row>
      </sheetData>
      <sheetData sheetId="3">
        <row r="2">
          <cell r="C2">
            <v>2.3776370482510352</v>
          </cell>
        </row>
        <row r="5">
          <cell r="C5">
            <v>115.82998090345021</v>
          </cell>
          <cell r="E5">
            <v>30.521661515260998</v>
          </cell>
        </row>
        <row r="6">
          <cell r="C6">
            <v>6.195652705628552</v>
          </cell>
        </row>
        <row r="7">
          <cell r="B7">
            <v>29.49921350448265</v>
          </cell>
        </row>
        <row r="12">
          <cell r="C12">
            <v>4.5223646323631177E-2</v>
          </cell>
        </row>
      </sheetData>
      <sheetData sheetId="4">
        <row r="8">
          <cell r="B8">
            <v>16.219010033194529</v>
          </cell>
        </row>
        <row r="9">
          <cell r="B9">
            <v>89.950927453710747</v>
          </cell>
        </row>
        <row r="10">
          <cell r="B10">
            <v>7.6252637135259516</v>
          </cell>
        </row>
        <row r="11">
          <cell r="B11">
            <v>52038.233348440408</v>
          </cell>
        </row>
        <row r="17">
          <cell r="B17">
            <v>54760.486810563729</v>
          </cell>
        </row>
      </sheetData>
      <sheetData sheetId="5"/>
      <sheetData sheetId="6">
        <row r="3">
          <cell r="B3">
            <v>0.69920307197543285</v>
          </cell>
        </row>
      </sheetData>
      <sheetData sheetId="7"/>
      <sheetData sheetId="8"/>
      <sheetData sheetId="9">
        <row r="9">
          <cell r="E9">
            <v>5.4914916440552961</v>
          </cell>
        </row>
        <row r="10">
          <cell r="E10">
            <v>1.0811111111111109</v>
          </cell>
        </row>
      </sheetData>
      <sheetData sheetId="10">
        <row r="2">
          <cell r="C2">
            <v>0.95604177646529165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59.828669595532688</v>
          </cell>
        </row>
        <row r="12">
          <cell r="C12">
            <v>0.30492745180265213</v>
          </cell>
        </row>
        <row r="13">
          <cell r="B13">
            <v>78119.280745469339</v>
          </cell>
        </row>
        <row r="14">
          <cell r="B14">
            <v>117202.3727539735</v>
          </cell>
        </row>
      </sheetData>
      <sheetData sheetId="11">
        <row r="8">
          <cell r="B8">
            <v>29.575092302015879</v>
          </cell>
        </row>
        <row r="9">
          <cell r="B9">
            <v>74.27333900585127</v>
          </cell>
        </row>
        <row r="10">
          <cell r="B10">
            <v>6.4668612826437588</v>
          </cell>
        </row>
        <row r="18">
          <cell r="B18">
            <v>58255.6042787033</v>
          </cell>
        </row>
      </sheetData>
      <sheetData sheetId="12">
        <row r="3">
          <cell r="E3">
            <v>23.53823777689141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20.380471897135919</v>
          </cell>
        </row>
        <row r="13">
          <cell r="E13">
            <v>1.0616382809982721</v>
          </cell>
        </row>
      </sheetData>
      <sheetData sheetId="1"/>
      <sheetData sheetId="2">
        <row r="2">
          <cell r="E2">
            <v>17.961109405950442</v>
          </cell>
        </row>
      </sheetData>
      <sheetData sheetId="3">
        <row r="2">
          <cell r="C2">
            <v>2.4503645326918662</v>
          </cell>
        </row>
        <row r="5">
          <cell r="C5">
            <v>110.4963232346595</v>
          </cell>
          <cell r="E5">
            <v>30.119153876967601</v>
          </cell>
        </row>
        <row r="6">
          <cell r="C6">
            <v>6.1843358599455494</v>
          </cell>
        </row>
        <row r="7">
          <cell r="B7">
            <v>27.117851057565542</v>
          </cell>
        </row>
        <row r="12">
          <cell r="C12">
            <v>4.4362336606682172E-2</v>
          </cell>
        </row>
      </sheetData>
      <sheetData sheetId="4">
        <row r="8">
          <cell r="B8">
            <v>13.591844525958949</v>
          </cell>
        </row>
        <row r="9">
          <cell r="B9">
            <v>88.834449596727751</v>
          </cell>
        </row>
        <row r="10">
          <cell r="B10">
            <v>7.3595886930137677</v>
          </cell>
        </row>
        <row r="11">
          <cell r="B11">
            <v>52051.274899924909</v>
          </cell>
        </row>
        <row r="17">
          <cell r="B17">
            <v>54109.472889763878</v>
          </cell>
        </row>
      </sheetData>
      <sheetData sheetId="5"/>
      <sheetData sheetId="6">
        <row r="3">
          <cell r="B3">
            <v>0.66700665963213501</v>
          </cell>
        </row>
      </sheetData>
      <sheetData sheetId="7"/>
      <sheetData sheetId="8"/>
      <sheetData sheetId="9">
        <row r="9">
          <cell r="E9">
            <v>5.4902361086868501</v>
          </cell>
        </row>
        <row r="10">
          <cell r="E10">
            <v>1.0811111111111109</v>
          </cell>
        </row>
      </sheetData>
      <sheetData sheetId="10">
        <row r="2">
          <cell r="C2">
            <v>1.080602450116849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58.48178072056217</v>
          </cell>
        </row>
        <row r="12">
          <cell r="C12">
            <v>0.31612067338228739</v>
          </cell>
        </row>
        <row r="13">
          <cell r="B13">
            <v>78069.288144122605</v>
          </cell>
        </row>
        <row r="14">
          <cell r="B14">
            <v>117129.64498997699</v>
          </cell>
        </row>
      </sheetData>
      <sheetData sheetId="11">
        <row r="8">
          <cell r="B8">
            <v>25.14801851226483</v>
          </cell>
        </row>
        <row r="9">
          <cell r="B9">
            <v>75.343538126811779</v>
          </cell>
        </row>
        <row r="10">
          <cell r="B10">
            <v>6.4284042500091862</v>
          </cell>
        </row>
        <row r="18">
          <cell r="B18">
            <v>56990.748137719747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23.695148229501719</v>
          </cell>
        </row>
        <row r="13">
          <cell r="E13">
            <v>1.2343029426076539</v>
          </cell>
        </row>
      </sheetData>
      <sheetData sheetId="1"/>
      <sheetData sheetId="2">
        <row r="2">
          <cell r="E2">
            <v>20.954372088290871</v>
          </cell>
        </row>
      </sheetData>
      <sheetData sheetId="3">
        <row r="2">
          <cell r="C2">
            <v>2.3583295545065099</v>
          </cell>
        </row>
        <row r="5">
          <cell r="C5">
            <v>107.49316284951161</v>
          </cell>
          <cell r="E5">
            <v>29.91661462835377</v>
          </cell>
        </row>
        <row r="6">
          <cell r="C6">
            <v>6.1779638157030234</v>
          </cell>
        </row>
        <row r="7">
          <cell r="B7">
            <v>28.016923549419211</v>
          </cell>
        </row>
        <row r="12">
          <cell r="C12">
            <v>4.5232163947190318E-2</v>
          </cell>
        </row>
      </sheetData>
      <sheetData sheetId="4">
        <row r="8">
          <cell r="B8">
            <v>16.273313976424379</v>
          </cell>
        </row>
        <row r="9">
          <cell r="B9">
            <v>81.54902794665766</v>
          </cell>
        </row>
        <row r="10">
          <cell r="B10">
            <v>6.8487900932102717</v>
          </cell>
        </row>
        <row r="11">
          <cell r="B11">
            <v>60861.510422990017</v>
          </cell>
        </row>
        <row r="17">
          <cell r="B17">
            <v>63668.215757489481</v>
          </cell>
        </row>
      </sheetData>
      <sheetData sheetId="5"/>
      <sheetData sheetId="6">
        <row r="3">
          <cell r="B3">
            <v>0.64887820143372965</v>
          </cell>
        </row>
      </sheetData>
      <sheetData sheetId="7"/>
      <sheetData sheetId="8"/>
      <sheetData sheetId="9">
        <row r="9">
          <cell r="E9">
            <v>6.5968115638008449</v>
          </cell>
        </row>
        <row r="10">
          <cell r="E10">
            <v>1.0811111111111109</v>
          </cell>
        </row>
      </sheetData>
      <sheetData sheetId="10">
        <row r="2">
          <cell r="C2">
            <v>0.83295077774145942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65.724446631379521</v>
          </cell>
        </row>
        <row r="12">
          <cell r="C12">
            <v>0.36118689198631682</v>
          </cell>
        </row>
        <row r="13">
          <cell r="B13">
            <v>93864.574577340318</v>
          </cell>
        </row>
        <row r="14">
          <cell r="B14">
            <v>140822.5557915073</v>
          </cell>
        </row>
      </sheetData>
      <sheetData sheetId="11">
        <row r="8">
          <cell r="B8">
            <v>35.109835830307183</v>
          </cell>
        </row>
        <row r="9">
          <cell r="B9">
            <v>56.87479104375047</v>
          </cell>
        </row>
        <row r="10">
          <cell r="B10">
            <v>4.908946589467523</v>
          </cell>
        </row>
        <row r="18">
          <cell r="B18">
            <v>71471.237035856699</v>
          </cell>
        </row>
      </sheetData>
      <sheetData sheetId="12">
        <row r="3">
          <cell r="E3">
            <v>23.507929837752361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23.670132675574031</v>
          </cell>
        </row>
        <row r="13">
          <cell r="E13">
            <v>1.2329998584688731</v>
          </cell>
        </row>
      </sheetData>
      <sheetData sheetId="1"/>
      <sheetData sheetId="2">
        <row r="2">
          <cell r="E2">
            <v>20.954424600584371</v>
          </cell>
        </row>
      </sheetData>
      <sheetData sheetId="3">
        <row r="2">
          <cell r="C2">
            <v>2.3617012074226542</v>
          </cell>
        </row>
        <row r="5">
          <cell r="C5">
            <v>105.4813911173334</v>
          </cell>
          <cell r="E5">
            <v>29.769245585451099</v>
          </cell>
        </row>
        <row r="6">
          <cell r="C6">
            <v>6.1736952796146083</v>
          </cell>
        </row>
        <row r="7">
          <cell r="B7">
            <v>29.454535886990829</v>
          </cell>
        </row>
        <row r="12">
          <cell r="C12">
            <v>4.5243323594566752E-2</v>
          </cell>
        </row>
      </sheetData>
      <sheetData sheetId="4">
        <row r="8">
          <cell r="B8">
            <v>19.590624466764218</v>
          </cell>
        </row>
        <row r="9">
          <cell r="B9">
            <v>77.872937748119568</v>
          </cell>
        </row>
        <row r="10">
          <cell r="B10">
            <v>6.5440784858133929</v>
          </cell>
        </row>
        <row r="11">
          <cell r="B11">
            <v>60903.290546955657</v>
          </cell>
        </row>
        <row r="17">
          <cell r="B17">
            <v>64084.667619328808</v>
          </cell>
        </row>
      </sheetData>
      <sheetData sheetId="5"/>
      <sheetData sheetId="6">
        <row r="3">
          <cell r="B3">
            <v>0.63673422140126423</v>
          </cell>
        </row>
      </sheetData>
      <sheetData sheetId="7"/>
      <sheetData sheetId="8"/>
      <sheetData sheetId="9">
        <row r="9">
          <cell r="E9">
            <v>6.6012978893482526</v>
          </cell>
        </row>
        <row r="10">
          <cell r="E10">
            <v>1.0811111111111109</v>
          </cell>
        </row>
      </sheetData>
      <sheetData sheetId="10">
        <row r="2">
          <cell r="C2">
            <v>0.71077151371814773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68.037753112208364</v>
          </cell>
        </row>
        <row r="12">
          <cell r="C12">
            <v>0.37499435523589519</v>
          </cell>
        </row>
        <row r="13">
          <cell r="B13">
            <v>93923.053373803603</v>
          </cell>
        </row>
        <row r="14">
          <cell r="B14">
            <v>140910.17455984239</v>
          </cell>
        </row>
      </sheetData>
      <sheetData sheetId="11">
        <row r="8">
          <cell r="B8">
            <v>33.789145955463717</v>
          </cell>
        </row>
        <row r="9">
          <cell r="B9">
            <v>56.476099942421378</v>
          </cell>
        </row>
        <row r="10">
          <cell r="B10">
            <v>4.8544828915198099</v>
          </cell>
        </row>
        <row r="18">
          <cell r="B18">
            <v>72992.949140624711</v>
          </cell>
        </row>
      </sheetData>
      <sheetData sheetId="12">
        <row r="3">
          <cell r="E3">
            <v>23.494201822725891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23.646404136869741</v>
          </cell>
        </row>
        <row r="13">
          <cell r="E13">
            <v>1.2317638161844859</v>
          </cell>
        </row>
      </sheetData>
      <sheetData sheetId="1"/>
      <sheetData sheetId="2">
        <row r="2">
          <cell r="E2">
            <v>20.954401512403521</v>
          </cell>
        </row>
      </sheetData>
      <sheetData sheetId="3">
        <row r="2">
          <cell r="C2">
            <v>2.3488677860071538</v>
          </cell>
        </row>
        <row r="5">
          <cell r="C5">
            <v>104.4596073788683</v>
          </cell>
          <cell r="E5">
            <v>29.676014785581479</v>
          </cell>
        </row>
        <row r="6">
          <cell r="C6">
            <v>6.1715272797901592</v>
          </cell>
        </row>
        <row r="7">
          <cell r="B7">
            <v>31.073478912791181</v>
          </cell>
        </row>
        <row r="12">
          <cell r="C12">
            <v>4.5232466832812977E-2</v>
          </cell>
        </row>
      </sheetData>
      <sheetData sheetId="4">
        <row r="8">
          <cell r="B8">
            <v>23.762444396954219</v>
          </cell>
        </row>
        <row r="9">
          <cell r="B9">
            <v>73.359775174865618</v>
          </cell>
        </row>
        <row r="10">
          <cell r="B10">
            <v>6.1682635654688944</v>
          </cell>
        </row>
        <row r="11">
          <cell r="B11">
            <v>60942.572558521097</v>
          </cell>
        </row>
        <row r="17">
          <cell r="B17">
            <v>64560.923752103539</v>
          </cell>
        </row>
      </sheetData>
      <sheetData sheetId="5"/>
      <sheetData sheetId="6">
        <row r="3">
          <cell r="B3">
            <v>0.6305662645108554</v>
          </cell>
        </row>
      </sheetData>
      <sheetData sheetId="7"/>
      <sheetData sheetId="8"/>
      <sheetData sheetId="9">
        <row r="9">
          <cell r="E9">
            <v>6.6065314664575068</v>
          </cell>
        </row>
        <row r="10">
          <cell r="E10">
            <v>1.0811111111111109</v>
          </cell>
        </row>
      </sheetData>
      <sheetData sheetId="10">
        <row r="2">
          <cell r="C2">
            <v>0.71658035433281053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69.457936045736218</v>
          </cell>
        </row>
        <row r="12">
          <cell r="C12">
            <v>0.39005712391587177</v>
          </cell>
        </row>
        <row r="13">
          <cell r="B13">
            <v>93982.369994346838</v>
          </cell>
        </row>
        <row r="14">
          <cell r="B14">
            <v>140999.62562878951</v>
          </cell>
        </row>
      </sheetData>
      <sheetData sheetId="11">
        <row r="8">
          <cell r="B8">
            <v>22.72089529762787</v>
          </cell>
        </row>
        <row r="9">
          <cell r="B9">
            <v>65.059827374907485</v>
          </cell>
        </row>
        <row r="10">
          <cell r="B10">
            <v>5.5679068339395883</v>
          </cell>
        </row>
        <row r="18">
          <cell r="B18">
            <v>74516.879556387066</v>
          </cell>
        </row>
      </sheetData>
      <sheetData sheetId="12">
        <row r="3">
          <cell r="E3">
            <v>23.47820748953221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23.614988186123991</v>
          </cell>
        </row>
        <row r="13">
          <cell r="E13">
            <v>1.230127329251604</v>
          </cell>
        </row>
      </sheetData>
      <sheetData sheetId="1"/>
      <sheetData sheetId="2">
        <row r="2">
          <cell r="E2">
            <v>20.954434074438851</v>
          </cell>
        </row>
      </sheetData>
      <sheetData sheetId="3">
        <row r="2">
          <cell r="C2">
            <v>2.3471000791046981</v>
          </cell>
        </row>
        <row r="5">
          <cell r="C5">
            <v>103.10541647906111</v>
          </cell>
          <cell r="E5">
            <v>29.598689616988459</v>
          </cell>
        </row>
        <row r="6">
          <cell r="C6">
            <v>6.1686539852538189</v>
          </cell>
        </row>
        <row r="7">
          <cell r="B7">
            <v>32.508753795977277</v>
          </cell>
        </row>
        <row r="12">
          <cell r="C12">
            <v>4.5246098208699702E-2</v>
          </cell>
        </row>
      </sheetData>
      <sheetData sheetId="4">
        <row r="8">
          <cell r="B8">
            <v>28.91427061677739</v>
          </cell>
        </row>
        <row r="9">
          <cell r="B9">
            <v>67.99171255179526</v>
          </cell>
        </row>
        <row r="10">
          <cell r="B10">
            <v>5.7166534662120112</v>
          </cell>
        </row>
        <row r="11">
          <cell r="B11">
            <v>60994.882763891153</v>
          </cell>
        </row>
        <row r="17">
          <cell r="B17">
            <v>64993.681639705217</v>
          </cell>
        </row>
      </sheetData>
      <sheetData sheetId="5"/>
      <sheetData sheetId="6">
        <row r="3">
          <cell r="B3">
            <v>0.62752604905195075</v>
          </cell>
        </row>
      </sheetData>
      <sheetData sheetId="7"/>
      <sheetData sheetId="8"/>
      <sheetData sheetId="9">
        <row r="9">
          <cell r="E9">
            <v>6.6126740283890078</v>
          </cell>
        </row>
        <row r="10">
          <cell r="E10">
            <v>1.0811111111111109</v>
          </cell>
        </row>
      </sheetData>
      <sheetData sheetId="10">
        <row r="2">
          <cell r="C2">
            <v>0.72181604171357694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70.253019129840311</v>
          </cell>
        </row>
        <row r="12">
          <cell r="C12">
            <v>0.3997070947504941</v>
          </cell>
        </row>
        <row r="13">
          <cell r="B13">
            <v>94042.693884891167</v>
          </cell>
        </row>
        <row r="14">
          <cell r="B14">
            <v>141091.28849584729</v>
          </cell>
        </row>
      </sheetData>
      <sheetData sheetId="11">
        <row r="8">
          <cell r="B8">
            <v>12.678014510861781</v>
          </cell>
        </row>
        <row r="9">
          <cell r="B9">
            <v>72.708060035640372</v>
          </cell>
        </row>
        <row r="10">
          <cell r="B10">
            <v>6.1940680207836234</v>
          </cell>
        </row>
        <row r="18">
          <cell r="B18">
            <v>76043.345546908415</v>
          </cell>
        </row>
      </sheetData>
      <sheetData sheetId="12">
        <row r="3">
          <cell r="E3">
            <v>23.459462965097199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6.8652996174237426</v>
          </cell>
        </row>
        <row r="13">
          <cell r="E13">
            <v>0.35762002573669988</v>
          </cell>
        </row>
      </sheetData>
      <sheetData sheetId="1"/>
      <sheetData sheetId="2">
        <row r="2">
          <cell r="E2">
            <v>5.9869801661910778</v>
          </cell>
        </row>
      </sheetData>
      <sheetData sheetId="3">
        <row r="2">
          <cell r="C2">
            <v>1.888443494564104</v>
          </cell>
        </row>
        <row r="5">
          <cell r="C5">
            <v>141.76787803531931</v>
          </cell>
          <cell r="E5">
            <v>32.730749765233</v>
          </cell>
        </row>
        <row r="6">
          <cell r="C6">
            <v>6.2506872049179494</v>
          </cell>
        </row>
        <row r="7">
          <cell r="B7">
            <v>43.845775981426577</v>
          </cell>
        </row>
        <row r="12">
          <cell r="C12">
            <v>4.5275680403623862E-2</v>
          </cell>
        </row>
      </sheetData>
      <sheetData sheetId="4">
        <row r="8">
          <cell r="B8">
            <v>34.168214771342583</v>
          </cell>
        </row>
        <row r="9">
          <cell r="B9">
            <v>105.5679015361393</v>
          </cell>
        </row>
        <row r="10">
          <cell r="B10">
            <v>9.3090649408564481</v>
          </cell>
        </row>
        <row r="11">
          <cell r="B11">
            <v>17230.9436301307</v>
          </cell>
        </row>
        <row r="17">
          <cell r="B17">
            <v>19148.89159993903</v>
          </cell>
        </row>
      </sheetData>
      <sheetData sheetId="5"/>
      <sheetData sheetId="6">
        <row r="3">
          <cell r="B3">
            <v>0.85577615619533587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0.83039266136517664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54.012176038240732</v>
          </cell>
        </row>
        <row r="12">
          <cell r="C12">
            <v>0.1189540388386858</v>
          </cell>
        </row>
        <row r="13">
          <cell r="B13">
            <v>15727.525060507151</v>
          </cell>
        </row>
        <row r="14">
          <cell r="B14">
            <v>23599.602952261721</v>
          </cell>
        </row>
      </sheetData>
      <sheetData sheetId="11">
        <row r="8">
          <cell r="B8">
            <v>43.981508839552461</v>
          </cell>
        </row>
        <row r="9">
          <cell r="B9">
            <v>102.988860313331</v>
          </cell>
        </row>
        <row r="10">
          <cell r="B10">
            <v>9.2209028837880744</v>
          </cell>
        </row>
        <row r="18">
          <cell r="B18">
            <v>11979.405430186071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23.575306266636421</v>
          </cell>
        </row>
        <row r="13">
          <cell r="E13">
            <v>1.2280602600981461</v>
          </cell>
        </row>
      </sheetData>
      <sheetData sheetId="1"/>
      <sheetData sheetId="2">
        <row r="2">
          <cell r="E2">
            <v>20.954410240004361</v>
          </cell>
        </row>
      </sheetData>
      <sheetData sheetId="3">
        <row r="2">
          <cell r="C2">
            <v>2.351048804072629</v>
          </cell>
        </row>
        <row r="5">
          <cell r="C5">
            <v>101.656938540002</v>
          </cell>
          <cell r="E5">
            <v>29.539045429410901</v>
          </cell>
        </row>
        <row r="6">
          <cell r="C6">
            <v>6.1655806344072728</v>
          </cell>
        </row>
        <row r="7">
          <cell r="B7">
            <v>33.705130559555649</v>
          </cell>
        </row>
        <row r="12">
          <cell r="C12">
            <v>4.5267247702726679E-2</v>
          </cell>
        </row>
      </sheetData>
      <sheetData sheetId="4">
        <row r="8">
          <cell r="B8">
            <v>34.977821105862311</v>
          </cell>
        </row>
        <row r="9">
          <cell r="B9">
            <v>61.806284916632819</v>
          </cell>
        </row>
        <row r="10">
          <cell r="B10">
            <v>5.1884505451821141</v>
          </cell>
        </row>
        <row r="11">
          <cell r="B11">
            <v>61060.645862462618</v>
          </cell>
        </row>
        <row r="17">
          <cell r="B17">
            <v>65414.58950159196</v>
          </cell>
        </row>
      </sheetData>
      <sheetData sheetId="5"/>
      <sheetData sheetId="6">
        <row r="3">
          <cell r="B3">
            <v>0.63620440349817831</v>
          </cell>
        </row>
      </sheetData>
      <sheetData sheetId="7"/>
      <sheetData sheetId="8"/>
      <sheetData sheetId="9">
        <row r="9">
          <cell r="E9">
            <v>6.6199036090013097</v>
          </cell>
        </row>
        <row r="10">
          <cell r="E10">
            <v>1.0811111111111109</v>
          </cell>
        </row>
      </sheetData>
      <sheetData sheetId="10">
        <row r="2">
          <cell r="C2">
            <v>0.71593844601656897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70.107323297229016</v>
          </cell>
        </row>
        <row r="12">
          <cell r="C12">
            <v>0.40106947166417589</v>
          </cell>
        </row>
        <row r="13">
          <cell r="B13">
            <v>94104.211383100395</v>
          </cell>
        </row>
        <row r="14">
          <cell r="B14">
            <v>141185.58061720381</v>
          </cell>
        </row>
      </sheetData>
      <sheetData sheetId="11">
        <row r="8">
          <cell r="B8">
            <v>3.9220191011038228</v>
          </cell>
        </row>
        <row r="9">
          <cell r="B9">
            <v>79.180426464182972</v>
          </cell>
        </row>
        <row r="10">
          <cell r="B10">
            <v>6.7117760118372241</v>
          </cell>
        </row>
        <row r="18">
          <cell r="B18">
            <v>77572.704082046243</v>
          </cell>
        </row>
      </sheetData>
      <sheetData sheetId="12">
        <row r="3">
          <cell r="E3">
            <v>23.437439623395939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23.546943808269091</v>
          </cell>
        </row>
        <row r="13">
          <cell r="E13">
            <v>1.226582832504812</v>
          </cell>
        </row>
      </sheetData>
      <sheetData sheetId="1"/>
      <sheetData sheetId="2">
        <row r="2">
          <cell r="E2">
            <v>20.95445896546439</v>
          </cell>
        </row>
      </sheetData>
      <sheetData sheetId="3">
        <row r="2">
          <cell r="C2">
            <v>2.3651386854685379</v>
          </cell>
        </row>
        <row r="5">
          <cell r="C5">
            <v>100.1463773150826</v>
          </cell>
          <cell r="E5">
            <v>29.441852298900098</v>
          </cell>
        </row>
        <row r="6">
          <cell r="C6">
            <v>6.1623755565153839</v>
          </cell>
        </row>
        <row r="7">
          <cell r="B7">
            <v>33.772890546698463</v>
          </cell>
        </row>
        <row r="12">
          <cell r="C12">
            <v>4.5215358858241822E-2</v>
          </cell>
        </row>
      </sheetData>
      <sheetData sheetId="4">
        <row r="8">
          <cell r="B8">
            <v>36.21063362500886</v>
          </cell>
        </row>
        <row r="9">
          <cell r="B9">
            <v>60.03598755449449</v>
          </cell>
        </row>
        <row r="10">
          <cell r="B10">
            <v>5.0218021780980413</v>
          </cell>
        </row>
        <row r="11">
          <cell r="B11">
            <v>61107.964168790983</v>
          </cell>
        </row>
        <row r="17">
          <cell r="B17">
            <v>65458.671737587079</v>
          </cell>
        </row>
      </sheetData>
      <sheetData sheetId="5"/>
      <sheetData sheetId="6">
        <row r="3">
          <cell r="B3">
            <v>0.6375671956793002</v>
          </cell>
        </row>
      </sheetData>
      <sheetData sheetId="7"/>
      <sheetData sheetId="8"/>
      <sheetData sheetId="9">
        <row r="9">
          <cell r="E9">
            <v>6.6248440569847622</v>
          </cell>
        </row>
        <row r="10">
          <cell r="E10">
            <v>1.0811111111111109</v>
          </cell>
        </row>
      </sheetData>
      <sheetData sheetId="10">
        <row r="2">
          <cell r="C2">
            <v>0.71181881817561077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69.849913560413597</v>
          </cell>
        </row>
        <row r="12">
          <cell r="C12">
            <v>0.40099653686907832</v>
          </cell>
        </row>
        <row r="13">
          <cell r="B13">
            <v>94141.77916595884</v>
          </cell>
        </row>
        <row r="14">
          <cell r="B14">
            <v>141243.60718225199</v>
          </cell>
        </row>
      </sheetData>
      <sheetData sheetId="11">
        <row r="8">
          <cell r="B8">
            <v>1.878197552062367</v>
          </cell>
        </row>
        <row r="9">
          <cell r="B9">
            <v>80.17916592523423</v>
          </cell>
        </row>
        <row r="10">
          <cell r="B10">
            <v>6.7684852705165888</v>
          </cell>
        </row>
        <row r="18">
          <cell r="B18">
            <v>77899.33149930503</v>
          </cell>
        </row>
      </sheetData>
      <sheetData sheetId="12">
        <row r="3">
          <cell r="E3">
            <v>23.42241339383726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23.716420199599838</v>
          </cell>
        </row>
        <row r="13">
          <cell r="E13">
            <v>1.23541101988292</v>
          </cell>
        </row>
      </sheetData>
      <sheetData sheetId="1"/>
      <sheetData sheetId="2">
        <row r="2">
          <cell r="E2">
            <v>20.954400435099402</v>
          </cell>
        </row>
      </sheetData>
      <sheetData sheetId="3">
        <row r="2">
          <cell r="C2">
            <v>2.3587016649553161</v>
          </cell>
        </row>
        <row r="5">
          <cell r="C5">
            <v>109.0025070766994</v>
          </cell>
          <cell r="E5">
            <v>30.020086039722081</v>
          </cell>
        </row>
        <row r="6">
          <cell r="C6">
            <v>6.1811663113940316</v>
          </cell>
        </row>
        <row r="7">
          <cell r="B7">
            <v>26.536631305761752</v>
          </cell>
        </row>
        <row r="12">
          <cell r="C12">
            <v>4.3845592482974913E-2</v>
          </cell>
        </row>
      </sheetData>
      <sheetData sheetId="4">
        <row r="8">
          <cell r="B8">
            <v>13.648196922705869</v>
          </cell>
        </row>
        <row r="9">
          <cell r="B9">
            <v>84.605265115578831</v>
          </cell>
        </row>
        <row r="10">
          <cell r="B10">
            <v>7.1003973595318524</v>
          </cell>
        </row>
        <row r="11">
          <cell r="B11">
            <v>60826.331775370447</v>
          </cell>
        </row>
        <row r="17">
          <cell r="B17">
            <v>63238.721297742137</v>
          </cell>
        </row>
      </sheetData>
      <sheetData sheetId="5"/>
      <sheetData sheetId="6">
        <row r="3">
          <cell r="B3">
            <v>0.65798929781902338</v>
          </cell>
        </row>
      </sheetData>
      <sheetData sheetId="7"/>
      <sheetData sheetId="8"/>
      <sheetData sheetId="9">
        <row r="9">
          <cell r="E9">
            <v>6.5929248318381477</v>
          </cell>
        </row>
        <row r="10">
          <cell r="E10">
            <v>1.0811111111111109</v>
          </cell>
        </row>
      </sheetData>
      <sheetData sheetId="10">
        <row r="2">
          <cell r="C2">
            <v>0.95622764418658213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62.46807994081027</v>
          </cell>
        </row>
        <row r="12">
          <cell r="C12">
            <v>0.35133211771237471</v>
          </cell>
        </row>
        <row r="13">
          <cell r="B13">
            <v>93806.779342823676</v>
          </cell>
        </row>
        <row r="14">
          <cell r="B14">
            <v>140736.4234641658</v>
          </cell>
        </row>
      </sheetData>
      <sheetData sheetId="11">
        <row r="8">
          <cell r="B8">
            <v>27.67888347015182</v>
          </cell>
        </row>
        <row r="9">
          <cell r="B9">
            <v>65.34297208175029</v>
          </cell>
        </row>
        <row r="10">
          <cell r="B10">
            <v>5.6484741682837507</v>
          </cell>
        </row>
        <row r="18">
          <cell r="B18">
            <v>69951.461183647203</v>
          </cell>
        </row>
      </sheetData>
      <sheetData sheetId="12">
        <row r="3">
          <cell r="E3">
            <v>23.51983609190032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17.02950475861843</v>
          </cell>
        </row>
        <row r="13">
          <cell r="E13">
            <v>0.8870831965736885</v>
          </cell>
        </row>
      </sheetData>
      <sheetData sheetId="1"/>
      <sheetData sheetId="2">
        <row r="2">
          <cell r="E2">
            <v>14.96743984939655</v>
          </cell>
        </row>
      </sheetData>
      <sheetData sheetId="3">
        <row r="2">
          <cell r="C2">
            <v>2.5310859967378772</v>
          </cell>
        </row>
        <row r="5">
          <cell r="C5">
            <v>115.86176514271079</v>
          </cell>
          <cell r="E5">
            <v>30.51617073956568</v>
          </cell>
        </row>
        <row r="6">
          <cell r="C6">
            <v>6.1957201447769181</v>
          </cell>
        </row>
        <row r="7">
          <cell r="B7">
            <v>29.723243925818899</v>
          </cell>
        </row>
        <row r="12">
          <cell r="C12">
            <v>4.1695458004423633E-2</v>
          </cell>
        </row>
      </sheetData>
      <sheetData sheetId="4">
        <row r="8">
          <cell r="B8">
            <v>15.88618008365529</v>
          </cell>
        </row>
        <row r="9">
          <cell r="B9">
            <v>94.550407385633648</v>
          </cell>
        </row>
        <row r="10">
          <cell r="B10">
            <v>7.9081724524635444</v>
          </cell>
        </row>
        <row r="11">
          <cell r="B11">
            <v>43299.341193913053</v>
          </cell>
        </row>
        <row r="17">
          <cell r="B17">
            <v>45504.744154151143</v>
          </cell>
        </row>
      </sheetData>
      <sheetData sheetId="5"/>
      <sheetData sheetId="6">
        <row r="3">
          <cell r="B3">
            <v>0.69939493627134375</v>
          </cell>
        </row>
      </sheetData>
      <sheetData sheetId="7"/>
      <sheetData sheetId="8"/>
      <sheetData sheetId="9">
        <row r="9">
          <cell r="E9">
            <v>4.395011572053857</v>
          </cell>
        </row>
        <row r="10">
          <cell r="E10">
            <v>1.0811111111111109</v>
          </cell>
        </row>
      </sheetData>
      <sheetData sheetId="10">
        <row r="2">
          <cell r="C2">
            <v>1.0792568874353421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56.01107103512782</v>
          </cell>
        </row>
        <row r="12">
          <cell r="C12">
            <v>0.27087044198555171</v>
          </cell>
        </row>
        <row r="13">
          <cell r="B13">
            <v>62420.291171601952</v>
          </cell>
        </row>
        <row r="14">
          <cell r="B14">
            <v>93656.028221152985</v>
          </cell>
        </row>
      </sheetData>
      <sheetData sheetId="11">
        <row r="8">
          <cell r="B8">
            <v>27.011383488455589</v>
          </cell>
        </row>
        <row r="9">
          <cell r="B9">
            <v>84.048374242913482</v>
          </cell>
        </row>
        <row r="10">
          <cell r="B10">
            <v>7.2186472835692888</v>
          </cell>
        </row>
        <row r="18">
          <cell r="B18">
            <v>45571.454537573802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20.360472918432329</v>
          </cell>
        </row>
        <row r="13">
          <cell r="E13">
            <v>1.060596515062735</v>
          </cell>
        </row>
      </sheetData>
      <sheetData sheetId="1"/>
      <sheetData sheetId="2">
        <row r="2">
          <cell r="E2">
            <v>17.960971271512118</v>
          </cell>
        </row>
      </sheetData>
      <sheetData sheetId="3">
        <row r="2">
          <cell r="C2">
            <v>2.3909078371499461</v>
          </cell>
        </row>
        <row r="5">
          <cell r="C5">
            <v>102.6676288028988</v>
          </cell>
          <cell r="E5">
            <v>29.565587824221559</v>
          </cell>
        </row>
        <row r="6">
          <cell r="C6">
            <v>6.1677250963222994</v>
          </cell>
        </row>
        <row r="7">
          <cell r="B7">
            <v>25.3869258757986</v>
          </cell>
        </row>
        <row r="12">
          <cell r="C12">
            <v>4.5013083628769199E-2</v>
          </cell>
        </row>
      </sheetData>
      <sheetData sheetId="4">
        <row r="8">
          <cell r="B8">
            <v>12.41360020120683</v>
          </cell>
        </row>
        <row r="9">
          <cell r="B9">
            <v>84.530428893929667</v>
          </cell>
        </row>
        <row r="10">
          <cell r="B10">
            <v>6.7820639001959604</v>
          </cell>
        </row>
        <row r="11">
          <cell r="B11">
            <v>52083.815242192177</v>
          </cell>
        </row>
        <row r="17">
          <cell r="B17">
            <v>53583.594489288873</v>
          </cell>
        </row>
      </sheetData>
      <sheetData sheetId="5"/>
      <sheetData sheetId="6">
        <row r="3">
          <cell r="B3">
            <v>0.61974905712241202</v>
          </cell>
        </row>
      </sheetData>
      <sheetData sheetId="7"/>
      <sheetData sheetId="8"/>
      <sheetData sheetId="9">
        <row r="9">
          <cell r="E9">
            <v>5.4902361086868501</v>
          </cell>
        </row>
        <row r="10">
          <cell r="E10">
            <v>1.0811111111111109</v>
          </cell>
        </row>
      </sheetData>
      <sheetData sheetId="10">
        <row r="2">
          <cell r="C2">
            <v>1.178550569795928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59.312762815049133</v>
          </cell>
        </row>
        <row r="12">
          <cell r="C12">
            <v>0.33656629590752901</v>
          </cell>
        </row>
        <row r="13">
          <cell r="B13">
            <v>78030.687937742608</v>
          </cell>
        </row>
        <row r="14">
          <cell r="B14">
            <v>117074.3125430861</v>
          </cell>
        </row>
      </sheetData>
      <sheetData sheetId="11">
        <row r="8">
          <cell r="B8">
            <v>24.53345698547253</v>
          </cell>
        </row>
        <row r="9">
          <cell r="B9">
            <v>70.500583231214819</v>
          </cell>
        </row>
        <row r="10">
          <cell r="B10">
            <v>5.8431403844906651</v>
          </cell>
        </row>
        <row r="18">
          <cell r="B18">
            <v>56448.395759348386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23.705197326117901</v>
          </cell>
        </row>
        <row r="13">
          <cell r="E13">
            <v>1.2348264096652879</v>
          </cell>
        </row>
      </sheetData>
      <sheetData sheetId="1"/>
      <sheetData sheetId="2">
        <row r="2">
          <cell r="E2">
            <v>20.954563466719868</v>
          </cell>
        </row>
      </sheetData>
      <sheetData sheetId="3">
        <row r="2">
          <cell r="C2">
            <v>2.3543463520123908</v>
          </cell>
        </row>
        <row r="5">
          <cell r="C5">
            <v>103.5450868032983</v>
          </cell>
          <cell r="E5">
            <v>29.631567138217719</v>
          </cell>
        </row>
        <row r="6">
          <cell r="C6">
            <v>6.1695868687494926</v>
          </cell>
        </row>
        <row r="7">
          <cell r="B7">
            <v>24.221456545602379</v>
          </cell>
        </row>
        <row r="12">
          <cell r="C12">
            <v>4.1995889352767608E-2</v>
          </cell>
        </row>
      </sheetData>
      <sheetData sheetId="4">
        <row r="8">
          <cell r="B8">
            <v>11.34712348816668</v>
          </cell>
        </row>
        <row r="9">
          <cell r="B9">
            <v>83.288372658399922</v>
          </cell>
        </row>
        <row r="10">
          <cell r="B10">
            <v>6.827950691641778</v>
          </cell>
        </row>
        <row r="11">
          <cell r="B11">
            <v>60845.742758619788</v>
          </cell>
        </row>
        <row r="17">
          <cell r="B17">
            <v>62476.493834040113</v>
          </cell>
        </row>
      </sheetData>
      <sheetData sheetId="5"/>
      <sheetData sheetId="6">
        <row r="3">
          <cell r="B3">
            <v>0.62504579743630484</v>
          </cell>
        </row>
      </sheetData>
      <sheetData sheetId="7"/>
      <sheetData sheetId="8"/>
      <sheetData sheetId="9">
        <row r="9">
          <cell r="E9">
            <v>6.5895018458730323</v>
          </cell>
        </row>
        <row r="10">
          <cell r="E10">
            <v>1.0811111111111109</v>
          </cell>
        </row>
      </sheetData>
      <sheetData sheetId="10">
        <row r="2">
          <cell r="C2">
            <v>1.08056876539303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61.025467027589293</v>
          </cell>
        </row>
        <row r="12">
          <cell r="C12">
            <v>0.36108020273718222</v>
          </cell>
        </row>
        <row r="13">
          <cell r="B13">
            <v>93749.526669200117</v>
          </cell>
        </row>
        <row r="14">
          <cell r="B14">
            <v>140651.46069193369</v>
          </cell>
        </row>
      </sheetData>
      <sheetData sheetId="11">
        <row r="8">
          <cell r="B8">
            <v>23.268269867580251</v>
          </cell>
        </row>
        <row r="9">
          <cell r="B9">
            <v>66.626445375085538</v>
          </cell>
        </row>
        <row r="10">
          <cell r="B10">
            <v>5.6435972279781206</v>
          </cell>
        </row>
        <row r="18">
          <cell r="B18">
            <v>68433.370340526875</v>
          </cell>
        </row>
      </sheetData>
      <sheetData sheetId="12">
        <row r="3">
          <cell r="E3">
            <v>23.530331741895409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gas_streams_zaryad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6.8587302479800307</v>
          </cell>
        </row>
        <row r="13">
          <cell r="E13">
            <v>0.35727782099685551</v>
          </cell>
        </row>
      </sheetData>
      <sheetData sheetId="1"/>
      <sheetData sheetId="2">
        <row r="2">
          <cell r="E2">
            <v>5.9869677348884487</v>
          </cell>
        </row>
      </sheetData>
      <sheetData sheetId="3">
        <row r="2">
          <cell r="C2">
            <v>1.8353176020388431</v>
          </cell>
        </row>
        <row r="5">
          <cell r="C5">
            <v>140.06347748993241</v>
          </cell>
          <cell r="E5">
            <v>32.573961058798901</v>
          </cell>
        </row>
        <row r="6">
          <cell r="C6">
            <v>6.2470708427230086</v>
          </cell>
        </row>
        <row r="7">
          <cell r="B7">
            <v>45.853998780141239</v>
          </cell>
        </row>
        <row r="12">
          <cell r="C12">
            <v>4.5194214249824803E-2</v>
          </cell>
        </row>
      </sheetData>
      <sheetData sheetId="4">
        <row r="8">
          <cell r="B8">
            <v>40.739442342825527</v>
          </cell>
        </row>
        <row r="9">
          <cell r="B9">
            <v>99.216269744216106</v>
          </cell>
        </row>
        <row r="10">
          <cell r="B10">
            <v>8.7485344947899364</v>
          </cell>
        </row>
        <row r="11">
          <cell r="B11">
            <v>17241.790181473509</v>
          </cell>
        </row>
        <row r="17">
          <cell r="B17">
            <v>19285.6245809215</v>
          </cell>
        </row>
      </sheetData>
      <sheetData sheetId="5"/>
      <sheetData sheetId="6">
        <row r="3">
          <cell r="B3">
            <v>0.84548761010462647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0.70958463019197038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56.576405479093708</v>
          </cell>
        </row>
        <row r="12">
          <cell r="C12">
            <v>0.1227871112588946</v>
          </cell>
        </row>
        <row r="13">
          <cell r="B13">
            <v>15740.123442982909</v>
          </cell>
        </row>
        <row r="14">
          <cell r="B14">
            <v>23617.662425475559</v>
          </cell>
        </row>
      </sheetData>
      <sheetData sheetId="11">
        <row r="8">
          <cell r="B8">
            <v>52.608752246564308</v>
          </cell>
        </row>
        <row r="9">
          <cell r="B9">
            <v>94.662471297202941</v>
          </cell>
        </row>
        <row r="10">
          <cell r="B10">
            <v>8.4665659111825242</v>
          </cell>
        </row>
        <row r="18">
          <cell r="B18">
            <v>12235.962001993959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6.8521135843964824</v>
          </cell>
        </row>
        <row r="13">
          <cell r="E13">
            <v>0.35693315266001641</v>
          </cell>
        </row>
      </sheetData>
      <sheetData sheetId="1"/>
      <sheetData sheetId="2">
        <row r="2">
          <cell r="E2">
            <v>5.986992563943752</v>
          </cell>
        </row>
      </sheetData>
      <sheetData sheetId="3">
        <row r="2">
          <cell r="C2">
            <v>1.6830543423913</v>
          </cell>
        </row>
        <row r="5">
          <cell r="C5">
            <v>139.21777226859811</v>
          </cell>
          <cell r="E5">
            <v>32.474673203877828</v>
          </cell>
        </row>
        <row r="6">
          <cell r="C6">
            <v>6.2452764426925853</v>
          </cell>
        </row>
        <row r="7">
          <cell r="B7">
            <v>47.820065849073778</v>
          </cell>
        </row>
        <row r="12">
          <cell r="C12">
            <v>4.5344170276964649E-2</v>
          </cell>
        </row>
      </sheetData>
      <sheetData sheetId="4">
        <row r="8">
          <cell r="B8">
            <v>48.406709726003832</v>
          </cell>
        </row>
        <row r="9">
          <cell r="B9">
            <v>91.851674189851636</v>
          </cell>
        </row>
        <row r="10">
          <cell r="B10">
            <v>8.0908449211761582</v>
          </cell>
        </row>
        <row r="11">
          <cell r="B11">
            <v>17252.893416724801</v>
          </cell>
        </row>
        <row r="17">
          <cell r="B17">
            <v>19438.263789308439</v>
          </cell>
        </row>
      </sheetData>
      <sheetData sheetId="5"/>
      <sheetData sheetId="6">
        <row r="3">
          <cell r="B3">
            <v>0.8403825441784265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0.7166353806349105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58.867540298600503</v>
          </cell>
        </row>
        <row r="12">
          <cell r="C12">
            <v>0.1297090911571637</v>
          </cell>
        </row>
        <row r="13">
          <cell r="B13">
            <v>15752.74961590571</v>
          </cell>
        </row>
        <row r="14">
          <cell r="B14">
            <v>23635.76173288075</v>
          </cell>
        </row>
      </sheetData>
      <sheetData sheetId="11">
        <row r="8">
          <cell r="B8">
            <v>62.659593714827203</v>
          </cell>
        </row>
        <row r="9">
          <cell r="B9">
            <v>85.042876203071287</v>
          </cell>
        </row>
        <row r="10">
          <cell r="B10">
            <v>7.5823870013741956</v>
          </cell>
        </row>
        <row r="18">
          <cell r="B18">
            <v>12492.79775994312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6.843498933009414</v>
          </cell>
        </row>
        <row r="13">
          <cell r="E13">
            <v>0.35648440722683278</v>
          </cell>
        </row>
      </sheetData>
      <sheetData sheetId="1"/>
      <sheetData sheetId="2">
        <row r="2">
          <cell r="E2">
            <v>5.9869897474060432</v>
          </cell>
        </row>
      </sheetData>
      <sheetData sheetId="3">
        <row r="2">
          <cell r="C2">
            <v>1.619525797547958</v>
          </cell>
        </row>
        <row r="5">
          <cell r="C5">
            <v>137.84800537245519</v>
          </cell>
          <cell r="E5">
            <v>32.407443746302341</v>
          </cell>
        </row>
        <row r="6">
          <cell r="C6">
            <v>6.2423700993259983</v>
          </cell>
        </row>
        <row r="7">
          <cell r="B7">
            <v>49.211612160429382</v>
          </cell>
        </row>
        <row r="12">
          <cell r="C12">
            <v>4.6352479543668307E-2</v>
          </cell>
        </row>
      </sheetData>
      <sheetData sheetId="4">
        <row r="8">
          <cell r="B8">
            <v>56.979843036548452</v>
          </cell>
        </row>
        <row r="9">
          <cell r="B9">
            <v>83.682589758776373</v>
          </cell>
        </row>
        <row r="10">
          <cell r="B10">
            <v>7.3475827862240219</v>
          </cell>
        </row>
        <row r="11">
          <cell r="B11">
            <v>17267.18137341896</v>
          </cell>
        </row>
        <row r="17">
          <cell r="B17">
            <v>19576.83288026473</v>
          </cell>
        </row>
      </sheetData>
      <sheetData sheetId="5"/>
      <sheetData sheetId="6">
        <row r="3">
          <cell r="B3">
            <v>0.83897836927545066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0.72189704142048383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59.990002773177729</v>
          </cell>
        </row>
        <row r="12">
          <cell r="C12">
            <v>0.13728961543503401</v>
          </cell>
        </row>
        <row r="13">
          <cell r="B13">
            <v>15765.403268990751</v>
          </cell>
        </row>
        <row r="14">
          <cell r="B14">
            <v>23653.900429679768</v>
          </cell>
        </row>
      </sheetData>
      <sheetData sheetId="11">
        <row r="8">
          <cell r="B8">
            <v>73.391569796504456</v>
          </cell>
        </row>
        <row r="9">
          <cell r="B9">
            <v>74.817120223444789</v>
          </cell>
        </row>
        <row r="10">
          <cell r="B10">
            <v>6.6238102038882012</v>
          </cell>
        </row>
        <row r="18">
          <cell r="B18">
            <v>12749.9184306363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6.8322839971389104</v>
          </cell>
        </row>
        <row r="13">
          <cell r="E13">
            <v>0.35590021048697512</v>
          </cell>
        </row>
      </sheetData>
      <sheetData sheetId="1"/>
      <sheetData sheetId="2">
        <row r="2">
          <cell r="E2">
            <v>5.9869606587040796</v>
          </cell>
        </row>
      </sheetData>
      <sheetData sheetId="3">
        <row r="2">
          <cell r="C2">
            <v>1.68353532216139</v>
          </cell>
        </row>
        <row r="5">
          <cell r="C5">
            <v>134.88367857238791</v>
          </cell>
          <cell r="E5">
            <v>32.309290043918388</v>
          </cell>
        </row>
        <row r="6">
          <cell r="C6">
            <v>6.2360804513895269</v>
          </cell>
        </row>
        <row r="7">
          <cell r="B7">
            <v>49.634609577963602</v>
          </cell>
        </row>
        <row r="12">
          <cell r="C12">
            <v>4.7201363192467982E-2</v>
          </cell>
        </row>
      </sheetData>
      <sheetData sheetId="4">
        <row r="8">
          <cell r="B8">
            <v>65.813431792015365</v>
          </cell>
        </row>
        <row r="9">
          <cell r="B9">
            <v>75.312154670495744</v>
          </cell>
        </row>
        <row r="10">
          <cell r="B10">
            <v>6.5676581594527166</v>
          </cell>
        </row>
        <row r="11">
          <cell r="B11">
            <v>17285.66050857442</v>
          </cell>
        </row>
        <row r="17">
          <cell r="B17">
            <v>19694.73028623647</v>
          </cell>
        </row>
      </sheetData>
      <sheetData sheetId="5"/>
      <sheetData sheetId="6">
        <row r="3">
          <cell r="B3">
            <v>0.84414887463897392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0.71600185211283573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59.006713988750612</v>
          </cell>
        </row>
        <row r="12">
          <cell r="C12">
            <v>0.14050932110726469</v>
          </cell>
        </row>
        <row r="13">
          <cell r="B13">
            <v>15778.08409004476</v>
          </cell>
        </row>
        <row r="14">
          <cell r="B14">
            <v>23672.07806833971</v>
          </cell>
        </row>
      </sheetData>
      <sheetData sheetId="11">
        <row r="8">
          <cell r="B8">
            <v>83.417689651211546</v>
          </cell>
        </row>
        <row r="9">
          <cell r="B9">
            <v>65.256946885882726</v>
          </cell>
        </row>
        <row r="10">
          <cell r="B10">
            <v>5.7061298798194668</v>
          </cell>
        </row>
        <row r="18">
          <cell r="B18">
            <v>13007.32972477301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EDBA-EC57-4337-AAB5-526059FEF82D}">
  <dimension ref="A1:BR39"/>
  <sheetViews>
    <sheetView topLeftCell="BN4" zoomScale="85" zoomScaleNormal="85" workbookViewId="0">
      <selection activeCell="CJ35" sqref="CJ35"/>
    </sheetView>
  </sheetViews>
  <sheetFormatPr defaultColWidth="9.1796875" defaultRowHeight="15.5" x14ac:dyDescent="0.35"/>
  <cols>
    <col min="1" max="1" width="7.1796875" style="4" bestFit="1" customWidth="1"/>
    <col min="2" max="3" width="16.1796875" style="1" bestFit="1" customWidth="1"/>
    <col min="4" max="4" width="10.453125" style="1" bestFit="1" customWidth="1"/>
    <col min="5" max="5" width="7.54296875" style="1" bestFit="1" customWidth="1"/>
    <col min="6" max="6" width="7.453125" style="1" bestFit="1" customWidth="1"/>
    <col min="7" max="7" width="7.81640625" style="1" bestFit="1" customWidth="1"/>
    <col min="8" max="9" width="5.1796875" style="1" bestFit="1" customWidth="1"/>
    <col min="10" max="10" width="5.26953125" style="1" bestFit="1" customWidth="1"/>
    <col min="11" max="12" width="7.453125" style="1" bestFit="1" customWidth="1"/>
    <col min="13" max="13" width="6.453125" style="1" bestFit="1" customWidth="1"/>
    <col min="14" max="14" width="10.81640625" style="1" bestFit="1" customWidth="1"/>
    <col min="15" max="15" width="10.7265625" style="1" bestFit="1" customWidth="1"/>
    <col min="16" max="16" width="6.453125" style="2" bestFit="1" customWidth="1"/>
    <col min="17" max="17" width="11.453125" style="1" bestFit="1" customWidth="1"/>
    <col min="18" max="18" width="12.54296875" style="1" bestFit="1" customWidth="1"/>
    <col min="19" max="19" width="11.453125" style="3" bestFit="1" customWidth="1"/>
    <col min="20" max="20" width="13.453125" style="1" bestFit="1" customWidth="1"/>
    <col min="21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1796875" style="4" bestFit="1" customWidth="1"/>
    <col min="26" max="26" width="11.453125" style="4" bestFit="1" customWidth="1"/>
    <col min="27" max="27" width="21.5429687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1796875" style="1" bestFit="1" customWidth="1"/>
    <col min="33" max="33" width="11.453125" style="1" bestFit="1" customWidth="1"/>
    <col min="34" max="34" width="7" style="1" bestFit="1" customWidth="1"/>
    <col min="35" max="35" width="10.453125" style="1" bestFit="1" customWidth="1"/>
    <col min="36" max="36" width="7.54296875" style="1" bestFit="1" customWidth="1"/>
    <col min="37" max="37" width="7.453125" style="1" bestFit="1" customWidth="1"/>
    <col min="38" max="38" width="7.8164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453125" style="1" bestFit="1" customWidth="1"/>
    <col min="46" max="46" width="6.453125" style="1" bestFit="1" customWidth="1"/>
    <col min="47" max="47" width="10.81640625" style="1" bestFit="1" customWidth="1"/>
    <col min="48" max="48" width="8.54296875" style="1" bestFit="1" customWidth="1"/>
    <col min="49" max="49" width="14.453125" style="2" bestFit="1" customWidth="1"/>
    <col min="50" max="50" width="15.453125" style="1" bestFit="1" customWidth="1"/>
    <col min="51" max="51" width="14.81640625" style="3" bestFit="1" customWidth="1"/>
    <col min="52" max="52" width="11.81640625" style="3" bestFit="1" customWidth="1"/>
    <col min="53" max="54" width="11" style="4" bestFit="1" customWidth="1"/>
    <col min="55" max="55" width="18.81640625" style="4" bestFit="1" customWidth="1"/>
    <col min="56" max="56" width="21.1796875" style="4" bestFit="1" customWidth="1"/>
    <col min="57" max="57" width="11.453125" style="4" bestFit="1" customWidth="1"/>
    <col min="58" max="58" width="24.54296875" style="4" bestFit="1" customWidth="1"/>
    <col min="59" max="59" width="15.17968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17968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453125" style="1" bestFit="1" customWidth="1"/>
    <col min="69" max="16384" width="9.1796875" style="1"/>
  </cols>
  <sheetData>
    <row r="1" spans="1:70" ht="15.65" customHeight="1" x14ac:dyDescent="0.35">
      <c r="A1" s="48" t="s">
        <v>0</v>
      </c>
      <c r="B1" s="50" t="s">
        <v>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8"/>
      <c r="Q1" s="9"/>
      <c r="R1" s="9"/>
      <c r="S1" s="10"/>
      <c r="T1" s="52" t="s">
        <v>14</v>
      </c>
      <c r="U1" s="48" t="s">
        <v>17</v>
      </c>
      <c r="V1" s="48" t="s">
        <v>58</v>
      </c>
      <c r="W1" s="48" t="s">
        <v>59</v>
      </c>
      <c r="X1" s="48" t="s">
        <v>49</v>
      </c>
      <c r="Y1" s="48" t="s">
        <v>50</v>
      </c>
      <c r="Z1" s="48" t="s">
        <v>52</v>
      </c>
      <c r="AA1" s="48" t="s">
        <v>55</v>
      </c>
      <c r="AB1" s="48" t="s">
        <v>68</v>
      </c>
      <c r="AC1" s="48" t="s">
        <v>60</v>
      </c>
      <c r="AD1" s="46" t="s">
        <v>88</v>
      </c>
      <c r="AE1" s="46" t="s">
        <v>87</v>
      </c>
      <c r="AF1" s="50" t="s">
        <v>8</v>
      </c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2"/>
      <c r="AW1" s="50" t="s">
        <v>15</v>
      </c>
      <c r="AX1" s="51" t="s">
        <v>16</v>
      </c>
      <c r="AY1" s="52" t="s">
        <v>22</v>
      </c>
      <c r="AZ1" s="52" t="s">
        <v>17</v>
      </c>
      <c r="BA1" s="48" t="s">
        <v>62</v>
      </c>
      <c r="BB1" s="48" t="s">
        <v>61</v>
      </c>
      <c r="BC1" s="48" t="s">
        <v>49</v>
      </c>
      <c r="BD1" s="48" t="s">
        <v>50</v>
      </c>
      <c r="BE1" s="48" t="s">
        <v>52</v>
      </c>
      <c r="BF1" s="48" t="s">
        <v>63</v>
      </c>
      <c r="BG1" s="48" t="s">
        <v>64</v>
      </c>
      <c r="BH1" s="48" t="s">
        <v>68</v>
      </c>
      <c r="BI1" s="48" t="s">
        <v>60</v>
      </c>
      <c r="BJ1" s="46" t="s">
        <v>88</v>
      </c>
      <c r="BK1" s="46" t="s">
        <v>87</v>
      </c>
      <c r="BL1" s="48" t="s">
        <v>23</v>
      </c>
      <c r="BM1" s="50" t="s">
        <v>33</v>
      </c>
      <c r="BN1" s="52" t="s">
        <v>34</v>
      </c>
      <c r="BO1" s="11" t="s">
        <v>11</v>
      </c>
      <c r="BP1" s="11">
        <v>0.95</v>
      </c>
      <c r="BR1" s="1" t="s">
        <v>66</v>
      </c>
    </row>
    <row r="2" spans="1:70" ht="16" thickBot="1" x14ac:dyDescent="0.4">
      <c r="A2" s="49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5"/>
      <c r="U2" s="49"/>
      <c r="V2" s="49"/>
      <c r="W2" s="49"/>
      <c r="X2" s="49"/>
      <c r="Y2" s="49"/>
      <c r="Z2" s="49"/>
      <c r="AA2" s="49"/>
      <c r="AB2" s="49"/>
      <c r="AC2" s="49"/>
      <c r="AD2" s="47" t="s">
        <v>86</v>
      </c>
      <c r="AE2" s="47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3"/>
      <c r="AX2" s="54"/>
      <c r="AY2" s="55"/>
      <c r="AZ2" s="55"/>
      <c r="BA2" s="49"/>
      <c r="BB2" s="49"/>
      <c r="BC2" s="49"/>
      <c r="BD2" s="49"/>
      <c r="BE2" s="49"/>
      <c r="BF2" s="49"/>
      <c r="BG2" s="49"/>
      <c r="BH2" s="49"/>
      <c r="BI2" s="49"/>
      <c r="BJ2" s="47" t="s">
        <v>86</v>
      </c>
      <c r="BK2" s="47"/>
      <c r="BL2" s="49"/>
      <c r="BM2" s="53"/>
      <c r="BN2" s="55"/>
      <c r="BO2" s="11" t="s">
        <v>12</v>
      </c>
      <c r="BP2" s="11">
        <v>0.99</v>
      </c>
      <c r="BR2" s="1" t="s">
        <v>67</v>
      </c>
    </row>
    <row r="3" spans="1:70" x14ac:dyDescent="0.35">
      <c r="A3" s="16">
        <v>-29</v>
      </c>
      <c r="B3" s="7">
        <f>0.151140511695727*[1]syngas_streams_zaryad!$E$2</f>
        <v>0.90487228499990302</v>
      </c>
      <c r="C3" s="7">
        <f>[1]gas_streams_zaryad!$E$13</f>
        <v>0.35758564561131367</v>
      </c>
      <c r="D3" s="17">
        <f>[1]electric_zaryad!$E$5</f>
        <v>31.546916700473631</v>
      </c>
      <c r="E3" s="17">
        <f>[1]GTU_input_zaryad!$B$3</f>
        <v>0.77608724530758166</v>
      </c>
      <c r="F3" s="17">
        <f>[1]electric_zaryad!$C$5</f>
        <v>128.566613057654</v>
      </c>
      <c r="G3" s="17">
        <f>[1]electric_zaryad!$B$7</f>
        <v>36.836835543464566</v>
      </c>
      <c r="H3" s="17">
        <f>[1]electric_zaryad!$C$12</f>
        <v>4.5148202234181083E-2</v>
      </c>
      <c r="I3" s="17">
        <f>[1]electric_zaryad!$C$6</f>
        <v>6.2226770310654276</v>
      </c>
      <c r="J3" s="17">
        <f>[1]electric_zaryad!$C$2</f>
        <v>2.780258745618279</v>
      </c>
      <c r="K3" s="17">
        <f>[1]heaters_zaryad!$B$9</f>
        <v>106.62572767686279</v>
      </c>
      <c r="L3" s="17">
        <f>[1]heaters_zaryad!$B$8</f>
        <v>22.984803101726609</v>
      </c>
      <c r="M3" s="17">
        <f>[1]heaters_zaryad!$B$10</f>
        <v>8.9140276768314006</v>
      </c>
      <c r="N3" s="17">
        <f t="shared" ref="N3:N10" si="0">K3+L3+M3</f>
        <v>138.52455845542082</v>
      </c>
      <c r="O3" s="17">
        <f>[1]heaters_zaryad!$B$17/1000</f>
        <v>18.591051984038479</v>
      </c>
      <c r="P3" s="18">
        <f>[1]heaters_zaryad!$B$11/1000</f>
        <v>17.231945643632919</v>
      </c>
      <c r="Q3" s="17">
        <f>[1]gas_streams_zaryad!$E$4</f>
        <v>6.8646396156210638</v>
      </c>
      <c r="R3" s="17">
        <f>[2]!PropsSI("H","P",[1]gas_streams_zaryad!$C$4*10^6,"T",[1]gas_streams_zaryad!$B$4+273.15,"REFPROP::"&amp;[2]!MixtureString($R$16:$R$20,$S$16:$S$20))/1000-[2]!PropsSI("H","P",[1]gas_streams_zaryad!$C$4*10^6,"T",S21+273.15,"REFPROP::"&amp;[2]!MixtureString($R$16:$R$20,$S$16:$S$20))/1000</f>
        <v>896.4142916678345</v>
      </c>
      <c r="S3" s="19">
        <f t="shared" ref="S3:S10" si="1">R3*Q3/1000</f>
        <v>6.1535610585919125</v>
      </c>
      <c r="T3" s="17">
        <f t="shared" ref="T3:T11" si="2">F3+G3*$BP$2*$BP$3-H3/$BP$1/$BP$2-I3-J3/$BP$1/$BP$2</f>
        <v>155.07887975299244</v>
      </c>
      <c r="U3" s="16">
        <f>N3+O3</f>
        <v>157.11561043945929</v>
      </c>
      <c r="V3" s="16">
        <f>C3*$R$14</f>
        <v>17.950799409687946</v>
      </c>
      <c r="W3" s="16">
        <f t="shared" ref="W3:W11" si="3">B3*$R$14</f>
        <v>45.424588706995131</v>
      </c>
      <c r="X3" s="20">
        <f t="shared" ref="X3:X9" si="4">T3/((100*F3)/D3-N3)</f>
        <v>0.57646622327363373</v>
      </c>
      <c r="Y3" s="20">
        <f t="shared" ref="Y3:Y11" si="5">T3/((100*F3)/D3-N3-P3+S3)</f>
        <v>0.60122532677852147</v>
      </c>
      <c r="Z3" s="20">
        <f t="shared" ref="Z3:Z10" si="6">(T3+P3+N3)/((100*F3)/D3+S3)</f>
        <v>0.75136448275267009</v>
      </c>
      <c r="AA3" s="20">
        <f>(AF3+AG3)*AH3/(V3+W3-O3-S3+P3)</f>
        <v>0.9231408977614155</v>
      </c>
      <c r="AB3" s="20">
        <f t="shared" ref="AB3:AB10" si="7">(T3)/((100*F3)/D3+$R$14*(B3+C3)-(AF3+AG3)*AH3-U3)</f>
        <v>0.59138137125468226</v>
      </c>
      <c r="AC3" s="20">
        <f>((AF3+AG3)*AH3+U3+T3)/((100*F3)/D3+$R$14*(B3+C3))</f>
        <v>0.77245914139341476</v>
      </c>
      <c r="AD3" s="16">
        <f>(100*F3)/D3+$R$14*(B3+C3)</f>
        <v>470.91636677506261</v>
      </c>
      <c r="AE3" s="16">
        <f>AD3/$R$14</f>
        <v>9.3808041190251519</v>
      </c>
      <c r="AF3" s="7">
        <f>[1]syngas_streams_razryad!$E$10</f>
        <v>1.0811111111111109</v>
      </c>
      <c r="AG3" s="7">
        <f>[1]syngas_streams_razryad!$E$9</f>
        <v>1.109337962154876</v>
      </c>
      <c r="AH3" s="17">
        <f>[1]accumulation_razryad!$E$3</f>
        <v>23.54273504191962</v>
      </c>
      <c r="AI3" s="17">
        <f>[1]electric_razryad!$E$5</f>
        <v>34.07583168780608</v>
      </c>
      <c r="AJ3" s="17">
        <f>[1]GTU_input_razryad!$B$3</f>
        <v>1</v>
      </c>
      <c r="AK3" s="17">
        <f>[1]electric_razryad!$C$5</f>
        <v>165.66</v>
      </c>
      <c r="AL3" s="17">
        <f>[1]electric_razryad!$B$7</f>
        <v>50.038013665129199</v>
      </c>
      <c r="AM3" s="17">
        <f>[1]electric_razryad!$C$12</f>
        <v>0.15120473629705</v>
      </c>
      <c r="AN3" s="17">
        <f>[1]electric_razryad!$C$6</f>
        <v>6.3013810203264402</v>
      </c>
      <c r="AO3" s="17">
        <f>[1]electric_razryad!$C$2</f>
        <v>1.1766711474925251</v>
      </c>
      <c r="AP3" s="17">
        <f>[1]electric_razryad!$B$13</f>
        <v>15692.399971800171</v>
      </c>
      <c r="AQ3" s="17">
        <f>[1]electric_razryad!$B$14</f>
        <v>23549.25198206093</v>
      </c>
      <c r="AR3" s="17">
        <f>[1]heaters_razryad!$B$9</f>
        <v>105.1881150535927</v>
      </c>
      <c r="AS3" s="17">
        <f>[1]heaters_razryad!$B$8</f>
        <v>31.558139349737971</v>
      </c>
      <c r="AT3" s="17">
        <f>[1]heaters_razryad!$B$10</f>
        <v>8.9727285050782175</v>
      </c>
      <c r="AU3" s="17">
        <f t="shared" ref="AU3:AU10" si="8">AT3+AS3+AR3</f>
        <v>145.71898290840889</v>
      </c>
      <c r="AV3" s="17">
        <f>[1]heaters_razryad!$B$18/1000</f>
        <v>11.35650298472299</v>
      </c>
      <c r="AW3" s="18">
        <f>AK3+AL3*$BP$2*$BP$3-AM3/$BP$1/$BP$2-AN3-AO3/$BP$1/$BP$2</f>
        <v>206.49361692020861</v>
      </c>
      <c r="AX3" s="17">
        <f t="shared" ref="AX3:AX11" si="9">(-AP3/1000/$BP$2+AQ3/1000)*$BP$2*$BP$3</f>
        <v>7.4689323006313471</v>
      </c>
      <c r="AY3" s="19">
        <f>AW3+AX3</f>
        <v>213.96254922083995</v>
      </c>
      <c r="AZ3" s="19">
        <f>AU3+AV3</f>
        <v>157.07548589313188</v>
      </c>
      <c r="BA3" s="16">
        <f>(100*AK3)/AI3</f>
        <v>486.15101024601216</v>
      </c>
      <c r="BB3" s="16">
        <f>AG3*AH3</f>
        <v>26.1168497149553</v>
      </c>
      <c r="BC3" s="20">
        <f>AW3/((100*AK3)/AI3-AU3)</f>
        <v>0.60656342628841686</v>
      </c>
      <c r="BD3" s="20">
        <f>AW3/(BA3-AU3)</f>
        <v>0.60656342628841686</v>
      </c>
      <c r="BE3" s="20">
        <f>(AW3+AU3)/(BA3)</f>
        <v>0.7244921689052618</v>
      </c>
      <c r="BF3" s="20">
        <f>AX3/(BB3-AV3)</f>
        <v>0.50601333675538895</v>
      </c>
      <c r="BG3" s="20">
        <f>(AX3+AV3)/(BB3)</f>
        <v>0.72081569909154564</v>
      </c>
      <c r="BH3" s="20">
        <f>AY3/(BB3+BA3-AZ3)</f>
        <v>0.60238497457148898</v>
      </c>
      <c r="BI3" s="20">
        <f>(AY3+AZ3)/(BA3+BB3)</f>
        <v>0.7243047321810181</v>
      </c>
      <c r="BJ3" s="16">
        <f>BA3-AF3*AH3</f>
        <v>460.69869780624794</v>
      </c>
      <c r="BK3" s="16">
        <f>BJ3/$R$14</f>
        <v>9.1772648965388033</v>
      </c>
      <c r="BL3" s="16">
        <f t="shared" ref="BL3:BL11" si="10">ABS(AZ3-U3)/U3*100</f>
        <v>2.5538230233886381E-2</v>
      </c>
      <c r="BM3" s="18">
        <f>T3-'Без ПКМ'!B3</f>
        <v>-19.985375752121826</v>
      </c>
      <c r="BN3" s="19">
        <f>AY3-'Без ПКМ'!H3</f>
        <v>8.824859631929769</v>
      </c>
      <c r="BO3" s="11" t="s">
        <v>13</v>
      </c>
      <c r="BP3" s="11">
        <v>0.98</v>
      </c>
      <c r="BR3" s="1" t="s">
        <v>65</v>
      </c>
    </row>
    <row r="4" spans="1:70" x14ac:dyDescent="0.35">
      <c r="A4" s="16">
        <v>-25</v>
      </c>
      <c r="B4" s="7">
        <f>0.151140511695727*[3]syngas_streams_zaryad!$E$2</f>
        <v>0.90487431325868861</v>
      </c>
      <c r="C4" s="7">
        <f>[3]gas_streams_zaryad!$E$13</f>
        <v>0.35784493436827591</v>
      </c>
      <c r="D4" s="17">
        <f>[3]electric_zaryad!$E$5</f>
        <v>32.325583142046078</v>
      </c>
      <c r="E4" s="17">
        <f>[3]GTU_input_zaryad!$B$3</f>
        <v>0.8288611969247035</v>
      </c>
      <c r="F4" s="17">
        <f>[3]electric_zaryad!$C$5</f>
        <v>137.3091458825464</v>
      </c>
      <c r="G4" s="17">
        <f>[3]electric_zaryad!$B$7</f>
        <v>38.884955172790903</v>
      </c>
      <c r="H4" s="17">
        <f>[3]electric_zaryad!$C$12</f>
        <v>4.5796885806851761E-2</v>
      </c>
      <c r="I4" s="17">
        <f>[3]electric_zaryad!$C$6</f>
        <v>6.2412267582886081</v>
      </c>
      <c r="J4" s="17">
        <f>[3]electric_zaryad!$C$2</f>
        <v>2.5163109877205461</v>
      </c>
      <c r="K4" s="17">
        <f>[3]heaters_zaryad!$B$9</f>
        <v>110.7748888593585</v>
      </c>
      <c r="L4" s="17">
        <f>[3]heaters_zaryad!$B$8</f>
        <v>24.600630388131918</v>
      </c>
      <c r="M4" s="17">
        <f>[3]heaters_zaryad!$B$10</f>
        <v>9.5515962051355725</v>
      </c>
      <c r="N4" s="17">
        <f t="shared" si="0"/>
        <v>144.927115452626</v>
      </c>
      <c r="O4" s="17">
        <f>[3]heaters_zaryad!$B$17/1000</f>
        <v>18.77998158745369</v>
      </c>
      <c r="P4" s="18">
        <f>[3]heaters_zaryad!$B$11/1000</f>
        <v>17.223746333828171</v>
      </c>
      <c r="Q4" s="17">
        <f>[3]gas_streams_zaryad!$E$4</f>
        <v>6.8696172311791068</v>
      </c>
      <c r="R4" s="17">
        <f>[2]!PropsSI("H","P",[3]gas_streams_zaryad!$C$4*10^6,"T",[3]gas_streams_zaryad!$B$4+273.15,"REFPROP::"&amp;[2]!MixtureString($R$16:$R$20,$S$16:$S$20))/1000-[2]!PropsSI("H","P",[3]gas_streams_zaryad!$C$4*10^6,"T",S21+273.15,"REFPROP::"&amp;[2]!MixtureString($R$16:$R$20,$S$16:$S$20))/1000</f>
        <v>896.4142916678345</v>
      </c>
      <c r="S4" s="19">
        <f t="shared" si="1"/>
        <v>6.1580230643165699</v>
      </c>
      <c r="T4" s="17">
        <f t="shared" si="2"/>
        <v>166.06990500022818</v>
      </c>
      <c r="U4" s="16">
        <f t="shared" ref="U4:U10" si="11">N4+O4</f>
        <v>163.7070970400797</v>
      </c>
      <c r="V4" s="16">
        <f t="shared" ref="V4:V11" si="12">C4*$R$14</f>
        <v>17.963815705287452</v>
      </c>
      <c r="W4" s="16">
        <f t="shared" si="3"/>
        <v>45.424690525586172</v>
      </c>
      <c r="X4" s="20">
        <f t="shared" si="4"/>
        <v>0.59344133109772823</v>
      </c>
      <c r="Y4" s="20">
        <f>T4/((100*F4)/D4-N4-P4+S4)</f>
        <v>0.61787374631366698</v>
      </c>
      <c r="Z4" s="20">
        <f t="shared" si="6"/>
        <v>0.76166157618621566</v>
      </c>
      <c r="AA4" s="20">
        <f t="shared" ref="AA4:AA10" si="13">(AF4+AG4)*AH4/(V4+W4-O4-S4+P4)</f>
        <v>0.92626598630246559</v>
      </c>
      <c r="AB4" s="20">
        <f t="shared" si="7"/>
        <v>0.60857877948544969</v>
      </c>
      <c r="AC4" s="20">
        <f t="shared" ref="AC4:AC10" si="14">((AF4+AG4)*AH4+U4+T4)/((100*F4)/D4+$R$14*(B4+C4))</f>
        <v>0.78119447664643138</v>
      </c>
      <c r="AD4" s="16">
        <f t="shared" ref="AD4:AD11" si="15">(100*F4)/D4+$R$14*(B4+C4)</f>
        <v>488.15778349086395</v>
      </c>
      <c r="AE4" s="16">
        <f t="shared" ref="AE4:AE11" si="16">AD4/$R$14</f>
        <v>9.7242586352761737</v>
      </c>
      <c r="AF4" s="7">
        <f>[3]syngas_streams_razryad!$E$10</f>
        <v>1.0811111111111109</v>
      </c>
      <c r="AG4" s="7">
        <f>[3]syngas_streams_razryad!$E$9</f>
        <v>1.109337962154876</v>
      </c>
      <c r="AH4" s="17">
        <f>[3]accumulation_razryad!$E$3</f>
        <v>23.54273504191962</v>
      </c>
      <c r="AI4" s="17">
        <f>[3]electric_razryad!$E$5</f>
        <v>34.082383064645562</v>
      </c>
      <c r="AJ4" s="17">
        <f>[3]GTU_input_razryad!$B$3</f>
        <v>1</v>
      </c>
      <c r="AK4" s="17">
        <f>[3]electric_razryad!$C$5</f>
        <v>165.66</v>
      </c>
      <c r="AL4" s="17">
        <f>[3]electric_razryad!$B$7</f>
        <v>49.621412676984541</v>
      </c>
      <c r="AM4" s="17">
        <f>[3]electric_razryad!$C$12</f>
        <v>0.12785279968699281</v>
      </c>
      <c r="AN4" s="17">
        <f>[3]electric_razryad!$C$6</f>
        <v>6.3013810203264402</v>
      </c>
      <c r="AO4" s="17">
        <f>[3]electric_razryad!$C$2</f>
        <v>1.0780796158813839</v>
      </c>
      <c r="AP4" s="17">
        <f>[3]electric_razryad!$B$13</f>
        <v>15702.412870627981</v>
      </c>
      <c r="AQ4" s="17">
        <f>[3]electric_razryad!$B$14</f>
        <v>23563.605233976708</v>
      </c>
      <c r="AR4" s="17">
        <f>[3]heaters_razryad!$B$9</f>
        <v>110.473867646755</v>
      </c>
      <c r="AS4" s="17">
        <f>[3]heaters_razryad!$B$8</f>
        <v>32.034349023554199</v>
      </c>
      <c r="AT4" s="17">
        <f>[3]heaters_razryad!$B$10</f>
        <v>9.6928057209943201</v>
      </c>
      <c r="AU4" s="17">
        <f t="shared" si="8"/>
        <v>152.20102239130352</v>
      </c>
      <c r="AV4" s="17">
        <f>[3]heaters_razryad!$B$18/1000</f>
        <v>11.46710686336713</v>
      </c>
      <c r="AW4" s="18">
        <f t="shared" ref="AW4:AW11" si="17">AK4+AL4*$BP$2*$BP$3-AM4/$BP$1/$BP$2-AN4-AO4/$BP$1/$BP$2</f>
        <v>206.21908876827433</v>
      </c>
      <c r="AX4" s="17">
        <f t="shared" si="9"/>
        <v>7.4730451847887807</v>
      </c>
      <c r="AY4" s="19">
        <f t="shared" ref="AY4:AY11" si="18">AW4+AX4</f>
        <v>213.69213395306312</v>
      </c>
      <c r="AZ4" s="19">
        <f t="shared" ref="AZ4:AZ10" si="19">AU4+AV4</f>
        <v>163.66812925467065</v>
      </c>
      <c r="BA4" s="16">
        <f t="shared" ref="BA4:BA11" si="20">(100*AK4)/AI4</f>
        <v>486.0575614263397</v>
      </c>
      <c r="BB4" s="16">
        <f t="shared" ref="BB4:BB11" si="21">AG4*AH4</f>
        <v>26.1168497149553</v>
      </c>
      <c r="BC4" s="20">
        <f t="shared" ref="BC4:BC11" si="22">AW4/((100*AK4)/AI4-AU4)</f>
        <v>0.61768773307337532</v>
      </c>
      <c r="BD4" s="20">
        <f>AW4/(BA4-AU4)</f>
        <v>0.61768773307337532</v>
      </c>
      <c r="BE4" s="20">
        <f t="shared" ref="BE4:BE11" si="23">(AW4+AU4)/(BA4)</f>
        <v>0.7374026033208726</v>
      </c>
      <c r="BF4" s="20">
        <f t="shared" ref="BF4:BF11" si="24">AX4/(BB4-AV4)</f>
        <v>0.51011442729717482</v>
      </c>
      <c r="BG4" s="20">
        <f t="shared" ref="BG4:BG11" si="25">(AX4+AV4)/(BB4)</f>
        <v>0.72520814167377179</v>
      </c>
      <c r="BH4" s="20">
        <f t="shared" ref="BH4:BH11" si="26">AY4/(BB4+BA4-AZ4)</f>
        <v>0.61316580233862528</v>
      </c>
      <c r="BI4" s="20">
        <f t="shared" ref="BI4:BI11" si="27">(AY4+AZ4)/(BA4+BB4)</f>
        <v>0.73678078209110354</v>
      </c>
      <c r="BJ4" s="16">
        <f t="shared" ref="BJ4:BJ11" si="28">BA4-AF4*AH4</f>
        <v>460.60524898657548</v>
      </c>
      <c r="BK4" s="16">
        <f t="shared" ref="BK4:BK10" si="29">BJ4/$R$14</f>
        <v>9.175403366266444</v>
      </c>
      <c r="BL4" s="16">
        <f t="shared" si="10"/>
        <v>2.3803357406988971E-2</v>
      </c>
      <c r="BM4" s="18">
        <f>T4-'Без ПКМ'!B4</f>
        <v>-21.387315671520895</v>
      </c>
      <c r="BN4" s="19">
        <f>AY4-'Без ПКМ'!H4</f>
        <v>8.564021948448584</v>
      </c>
      <c r="BO4" s="17" t="s">
        <v>28</v>
      </c>
      <c r="BP4" s="17">
        <v>50.2</v>
      </c>
      <c r="BR4" s="1" t="s">
        <v>31</v>
      </c>
    </row>
    <row r="5" spans="1:70" x14ac:dyDescent="0.35">
      <c r="A5" s="16">
        <v>-20</v>
      </c>
      <c r="B5" s="7">
        <f>0.151140511695727*[4]syngas_streams_zaryad!$E$2</f>
        <v>0.90487480426810751</v>
      </c>
      <c r="C5" s="7">
        <f>[4]gas_streams_zaryad!$E$13</f>
        <v>0.35790873645838239</v>
      </c>
      <c r="D5" s="17">
        <f>[4]electric_zaryad!$E$5</f>
        <v>32.836147081594802</v>
      </c>
      <c r="E5" s="17">
        <f>[4]GTU_input_zaryad!$B$3</f>
        <v>0.86338489049061606</v>
      </c>
      <c r="F5" s="17">
        <f>[4]electric_zaryad!$C$5</f>
        <v>143.02834095867539</v>
      </c>
      <c r="G5" s="17">
        <f>[4]electric_zaryad!$B$7</f>
        <v>41.707709117720647</v>
      </c>
      <c r="H5" s="17">
        <f>[4]electric_zaryad!$C$12</f>
        <v>4.4241268579591979E-2</v>
      </c>
      <c r="I5" s="17">
        <f>[4]electric_zaryad!$C$6</f>
        <v>6.2533616293520922</v>
      </c>
      <c r="J5" s="17">
        <f>[4]electric_zaryad!$C$2</f>
        <v>1.9601602276417991</v>
      </c>
      <c r="K5" s="17">
        <f>[4]heaters_zaryad!$B$9</f>
        <v>110.9297436207077</v>
      </c>
      <c r="L5" s="17">
        <f>[4]heaters_zaryad!$B$8</f>
        <v>28.683820125208861</v>
      </c>
      <c r="M5" s="17">
        <f>[4]heaters_zaryad!$B$10</f>
        <v>9.7769041162700763</v>
      </c>
      <c r="N5" s="17">
        <f t="shared" si="0"/>
        <v>149.39046786218665</v>
      </c>
      <c r="O5" s="17">
        <f>[4]heaters_zaryad!$B$17/1000</f>
        <v>19.009651878310251</v>
      </c>
      <c r="P5" s="18">
        <f>[4]heaters_zaryad!$B$11/1000</f>
        <v>17.221728508773673</v>
      </c>
      <c r="Q5" s="17">
        <f>[4]gas_streams_zaryad!$E$4</f>
        <v>6.8708420520316213</v>
      </c>
      <c r="R5" s="17">
        <f>[2]!PropsSI("H","P",[4]gas_streams_zaryad!$C$4*10^6,"T",[4]gas_streams_zaryad!$B$4+273.15,"REFPROP::"&amp;[2]!MixtureString($R$16:$R$20,$S$16:$S$20))/1000-[2]!PropsSI("H","P",[4]gas_streams_zaryad!$C$4*10^6,"T",S21+273.15,"REFPROP::"&amp;[2]!MixtureString($R$16:$R$20,$S$16:$S$20))/1000</f>
        <v>896.4142916678345</v>
      </c>
      <c r="S5" s="19">
        <f t="shared" si="1"/>
        <v>6.1591210112334966</v>
      </c>
      <c r="T5" s="17">
        <f t="shared" si="2"/>
        <v>175.10859031956619</v>
      </c>
      <c r="U5" s="16">
        <f t="shared" si="11"/>
        <v>168.4001197404969</v>
      </c>
      <c r="V5" s="16">
        <f>C5*$R$14</f>
        <v>17.967018570210797</v>
      </c>
      <c r="W5" s="16">
        <f>B5*$R$14</f>
        <v>45.424715174258999</v>
      </c>
      <c r="X5" s="20">
        <f t="shared" si="4"/>
        <v>0.61185807540337966</v>
      </c>
      <c r="Y5" s="20">
        <f>T5/((100*F5)/D5-N5-P5+S5)</f>
        <v>0.63646016379706916</v>
      </c>
      <c r="Z5" s="20">
        <f t="shared" si="6"/>
        <v>0.77357706298944273</v>
      </c>
      <c r="AA5" s="20">
        <f t="shared" si="13"/>
        <v>0.93010102043212883</v>
      </c>
      <c r="AB5" s="20">
        <f t="shared" si="7"/>
        <v>0.62761937718422833</v>
      </c>
      <c r="AC5" s="20">
        <f t="shared" si="14"/>
        <v>0.7917809257062598</v>
      </c>
      <c r="AD5" s="16">
        <f t="shared" si="15"/>
        <v>498.97371784042093</v>
      </c>
      <c r="AE5" s="16">
        <f t="shared" si="16"/>
        <v>9.9397154948291018</v>
      </c>
      <c r="AF5" s="7">
        <f>[4]syngas_streams_razryad!$E$10</f>
        <v>1.0811111111111109</v>
      </c>
      <c r="AG5" s="7">
        <f>[4]syngas_streams_razryad!$E$9</f>
        <v>1.109337962154876</v>
      </c>
      <c r="AH5" s="17">
        <f>[4]accumulation_razryad!$E$3</f>
        <v>23.54273504191962</v>
      </c>
      <c r="AI5" s="17">
        <f>[4]electric_razryad!$E$5</f>
        <v>34.091218921592109</v>
      </c>
      <c r="AJ5" s="17">
        <f>[4]GTU_input_razryad!$B$3</f>
        <v>1</v>
      </c>
      <c r="AK5" s="17">
        <f>[4]electric_razryad!$C$5</f>
        <v>165.66</v>
      </c>
      <c r="AL5" s="17">
        <f>[4]electric_razryad!$B$7</f>
        <v>51.191009782887349</v>
      </c>
      <c r="AM5" s="17">
        <f>[4]electric_razryad!$C$12</f>
        <v>0.1131097662033807</v>
      </c>
      <c r="AN5" s="17">
        <f>[4]electric_razryad!$C$6</f>
        <v>6.3013810203264402</v>
      </c>
      <c r="AO5" s="17">
        <f>[4]electric_razryad!$C$2</f>
        <v>0.95383820217499826</v>
      </c>
      <c r="AP5" s="17">
        <f>[4]electric_razryad!$B$13</f>
        <v>15714.95477239345</v>
      </c>
      <c r="AQ5" s="17">
        <f>[4]electric_razryad!$B$14</f>
        <v>23581.583748906301</v>
      </c>
      <c r="AR5" s="17">
        <f>[4]heaters_razryad!$B$9</f>
        <v>110.2151258666802</v>
      </c>
      <c r="AS5" s="17">
        <f>[4]heaters_razryad!$B$8</f>
        <v>36.563420873606979</v>
      </c>
      <c r="AT5" s="17">
        <f>[4]heaters_razryad!$B$10</f>
        <v>9.8667436672333508</v>
      </c>
      <c r="AU5" s="17">
        <f t="shared" si="8"/>
        <v>156.64529040752052</v>
      </c>
      <c r="AV5" s="17">
        <f>[4]heaters_razryad!$B$18/1000</f>
        <v>11.723122302744759</v>
      </c>
      <c r="AW5" s="18">
        <f t="shared" si="17"/>
        <v>207.88968907041593</v>
      </c>
      <c r="AX5" s="17">
        <f t="shared" si="9"/>
        <v>7.4781968762433104</v>
      </c>
      <c r="AY5" s="19">
        <f>AW5+AX5</f>
        <v>215.36788594665924</v>
      </c>
      <c r="AZ5" s="19">
        <f t="shared" si="19"/>
        <v>168.36841271026529</v>
      </c>
      <c r="BA5" s="16">
        <f t="shared" si="20"/>
        <v>485.93158367557555</v>
      </c>
      <c r="BB5" s="16">
        <f t="shared" si="21"/>
        <v>26.1168497149553</v>
      </c>
      <c r="BC5" s="20">
        <f t="shared" si="22"/>
        <v>0.63133417126835467</v>
      </c>
      <c r="BD5" s="20">
        <f t="shared" ref="BD5:BD11" si="30">AW5/(BA5-AU5)</f>
        <v>0.63133417126835467</v>
      </c>
      <c r="BE5" s="20">
        <f t="shared" si="23"/>
        <v>0.75017757998070844</v>
      </c>
      <c r="BF5" s="20">
        <f t="shared" si="24"/>
        <v>0.51954553967024397</v>
      </c>
      <c r="BG5" s="20">
        <f t="shared" si="25"/>
        <v>0.73520808935822035</v>
      </c>
      <c r="BH5" s="20">
        <f t="shared" si="26"/>
        <v>0.62665233061953751</v>
      </c>
      <c r="BI5" s="20">
        <f t="shared" si="27"/>
        <v>0.74941406639214392</v>
      </c>
      <c r="BJ5" s="16">
        <f t="shared" si="28"/>
        <v>460.47927123581132</v>
      </c>
      <c r="BK5" s="16">
        <f t="shared" si="29"/>
        <v>9.1728938493189496</v>
      </c>
      <c r="BL5" s="16">
        <f t="shared" si="10"/>
        <v>1.8828389362475287E-2</v>
      </c>
      <c r="BM5" s="18">
        <f>T5-'Без ПКМ'!B5</f>
        <v>-22.74343667980645</v>
      </c>
      <c r="BN5" s="19">
        <f>AY5-'Без ПКМ'!H5</f>
        <v>8.4185264353142202</v>
      </c>
      <c r="BO5" s="17"/>
      <c r="BP5" s="17"/>
    </row>
    <row r="6" spans="1:70" x14ac:dyDescent="0.35">
      <c r="A6" s="16">
        <v>-15</v>
      </c>
      <c r="B6" s="7">
        <f>0.151140511695727*[5]syngas_streams_zaryad!$E$2</f>
        <v>0.90487524583028822</v>
      </c>
      <c r="C6" s="7">
        <f>[5]gas_streams_zaryad!$E$13</f>
        <v>0.35762002573669988</v>
      </c>
      <c r="D6" s="17">
        <f>[5]electric_zaryad!$E$5</f>
        <v>32.730749765233</v>
      </c>
      <c r="E6" s="17">
        <f>[5]GTU_input_zaryad!$B$3</f>
        <v>0.85577615619533587</v>
      </c>
      <c r="F6" s="17">
        <f>[5]electric_zaryad!$C$5</f>
        <v>141.76787803531931</v>
      </c>
      <c r="G6" s="17">
        <f>[5]electric_zaryad!$B$7</f>
        <v>43.845775981426577</v>
      </c>
      <c r="H6" s="17">
        <f>[5]electric_zaryad!$C$12</f>
        <v>4.5275680403623862E-2</v>
      </c>
      <c r="I6" s="17">
        <f>[5]electric_zaryad!$C$6</f>
        <v>6.2506872049179494</v>
      </c>
      <c r="J6" s="17">
        <f>[5]electric_zaryad!$C$2</f>
        <v>1.888443494564104</v>
      </c>
      <c r="K6" s="17">
        <f>[5]heaters_zaryad!$B$9</f>
        <v>105.5679015361393</v>
      </c>
      <c r="L6" s="17">
        <f>[5]heaters_zaryad!$B$8</f>
        <v>34.168214771342583</v>
      </c>
      <c r="M6" s="17">
        <f>[5]heaters_zaryad!$B$10</f>
        <v>9.3090649408564481</v>
      </c>
      <c r="N6" s="17">
        <f t="shared" si="0"/>
        <v>149.04518124833834</v>
      </c>
      <c r="O6" s="17">
        <f>[5]heaters_zaryad!$B$17/1000</f>
        <v>19.148891599939031</v>
      </c>
      <c r="P6" s="18">
        <f>[5]heaters_zaryad!$B$11/1000</f>
        <v>17.2309436301307</v>
      </c>
      <c r="Q6" s="17">
        <f>[5]gas_streams_zaryad!$E$4</f>
        <v>6.8652996174237426</v>
      </c>
      <c r="R6" s="17">
        <f>[2]!PropsSI("H","P",[5]gas_streams_zaryad!$C$4*10^6,"T",[5]gas_streams_zaryad!$B$4+273.15,"REFPROP::"&amp;[2]!MixtureString($R$16:$R$20,$S$16:$S$20))/1000-[2]!PropsSI("H","P",[5]gas_streams_zaryad!$C$4*10^6,"T",S21+273.15,"REFPROP::"&amp;[2]!MixtureString($R$16:$R$20,$S$16:$S$20))/1000</f>
        <v>896.4142916678345</v>
      </c>
      <c r="S6" s="19">
        <f t="shared" si="1"/>
        <v>6.1541526936403601</v>
      </c>
      <c r="T6" s="17">
        <f t="shared" si="2"/>
        <v>176.00030827506924</v>
      </c>
      <c r="U6" s="16">
        <f t="shared" si="11"/>
        <v>168.19407284827736</v>
      </c>
      <c r="V6" s="16">
        <f t="shared" si="12"/>
        <v>17.952525291982333</v>
      </c>
      <c r="W6" s="16">
        <f t="shared" si="3"/>
        <v>45.424737340680473</v>
      </c>
      <c r="X6" s="20">
        <f t="shared" si="4"/>
        <v>0.61952649410586258</v>
      </c>
      <c r="Y6" s="20">
        <f t="shared" si="5"/>
        <v>0.64466229238159778</v>
      </c>
      <c r="Z6" s="20">
        <f t="shared" si="6"/>
        <v>0.77916223083853076</v>
      </c>
      <c r="AA6" s="20">
        <f t="shared" si="13"/>
        <v>0.93244753868410579</v>
      </c>
      <c r="AB6" s="20">
        <f t="shared" si="7"/>
        <v>0.63595956875419912</v>
      </c>
      <c r="AC6" s="20">
        <f t="shared" si="14"/>
        <v>0.79708937930535761</v>
      </c>
      <c r="AD6" s="16">
        <f t="shared" si="15"/>
        <v>496.51087262379986</v>
      </c>
      <c r="AE6" s="16">
        <f t="shared" si="16"/>
        <v>9.8906548331434223</v>
      </c>
      <c r="AF6" s="7">
        <f>[5]syngas_streams_razryad!$E$10</f>
        <v>1.0811111111111109</v>
      </c>
      <c r="AG6" s="7">
        <f>[5]syngas_streams_razryad!$E$9</f>
        <v>1.109337962154876</v>
      </c>
      <c r="AH6" s="17">
        <f>[5]accumulation_razryad!$E$3</f>
        <v>23.54273504191962</v>
      </c>
      <c r="AI6" s="17">
        <f>[5]electric_razryad!$E$5</f>
        <v>34.094845350390223</v>
      </c>
      <c r="AJ6" s="17">
        <f>[5]GTU_input_razryad!$B$3</f>
        <v>1</v>
      </c>
      <c r="AK6" s="17">
        <f>[5]electric_razryad!$C$5</f>
        <v>165.66</v>
      </c>
      <c r="AL6" s="17">
        <f>[5]electric_razryad!$B$7</f>
        <v>54.012176038240732</v>
      </c>
      <c r="AM6" s="17">
        <f>[5]electric_razryad!$C$12</f>
        <v>0.1189540388386858</v>
      </c>
      <c r="AN6" s="17">
        <f>[5]electric_razryad!$C$6</f>
        <v>6.3013810203264402</v>
      </c>
      <c r="AO6" s="17">
        <f>[5]electric_razryad!$C$2</f>
        <v>0.83039266136517664</v>
      </c>
      <c r="AP6" s="17">
        <f>[5]electric_razryad!$B$13</f>
        <v>15727.525060507151</v>
      </c>
      <c r="AQ6" s="17">
        <f>[5]electric_razryad!$B$14</f>
        <v>23599.602952261721</v>
      </c>
      <c r="AR6" s="17">
        <f>[5]heaters_razryad!$B$9</f>
        <v>102.988860313331</v>
      </c>
      <c r="AS6" s="17">
        <f>[5]heaters_razryad!$B$8</f>
        <v>43.981508839552461</v>
      </c>
      <c r="AT6" s="17">
        <f>[5]heaters_razryad!$B$10</f>
        <v>9.2209028837880744</v>
      </c>
      <c r="AU6" s="17">
        <f t="shared" si="8"/>
        <v>156.19127203667153</v>
      </c>
      <c r="AV6" s="17">
        <f>[5]heaters_razryad!$B$18/1000</f>
        <v>11.97940543018607</v>
      </c>
      <c r="AW6" s="18">
        <f t="shared" si="17"/>
        <v>210.75182579217264</v>
      </c>
      <c r="AX6" s="17">
        <f t="shared" si="9"/>
        <v>7.4833602249873117</v>
      </c>
      <c r="AY6" s="19">
        <f t="shared" si="18"/>
        <v>218.23518601715995</v>
      </c>
      <c r="AZ6" s="19">
        <f t="shared" si="19"/>
        <v>168.1706774668576</v>
      </c>
      <c r="BA6" s="16">
        <f t="shared" si="20"/>
        <v>485.87989855218387</v>
      </c>
      <c r="BB6" s="16">
        <f t="shared" si="21"/>
        <v>26.1168497149553</v>
      </c>
      <c r="BC6" s="20">
        <f t="shared" si="22"/>
        <v>0.63924505986031177</v>
      </c>
      <c r="BD6" s="20">
        <f t="shared" si="30"/>
        <v>0.63924505986031177</v>
      </c>
      <c r="BE6" s="20">
        <f t="shared" si="23"/>
        <v>0.75521358039765507</v>
      </c>
      <c r="BF6" s="20">
        <f t="shared" si="24"/>
        <v>0.52932906926108281</v>
      </c>
      <c r="BG6" s="20">
        <f t="shared" si="25"/>
        <v>0.74521873302461938</v>
      </c>
      <c r="BH6" s="20">
        <f t="shared" si="26"/>
        <v>0.63472553291029021</v>
      </c>
      <c r="BI6" s="20">
        <f t="shared" si="27"/>
        <v>0.75470374527145756</v>
      </c>
      <c r="BJ6" s="16">
        <f t="shared" si="28"/>
        <v>460.42758611241965</v>
      </c>
      <c r="BK6" s="16">
        <f t="shared" si="29"/>
        <v>9.1718642651876419</v>
      </c>
      <c r="BL6" s="16">
        <f t="shared" si="10"/>
        <v>1.3909753788330427E-2</v>
      </c>
      <c r="BM6" s="18">
        <f>T6-'Без ПКМ'!B6</f>
        <v>-22.486176878295993</v>
      </c>
      <c r="BN6" s="19">
        <f>AY6-'Без ПКМ'!H6</f>
        <v>8.5403031866229924</v>
      </c>
      <c r="BO6" s="17"/>
      <c r="BP6" s="17"/>
    </row>
    <row r="7" spans="1:70" x14ac:dyDescent="0.35">
      <c r="A7" s="16">
        <v>-10</v>
      </c>
      <c r="B7" s="7">
        <f>0.151140511695727*[6]syngas_streams_zaryad!$E$2</f>
        <v>0.90487336695684784</v>
      </c>
      <c r="C7" s="7">
        <f>[6]gas_streams_zaryad!$E$13</f>
        <v>0.35727782099685551</v>
      </c>
      <c r="D7" s="17">
        <f>[6]electric_zaryad!$E$5</f>
        <v>32.573961058798901</v>
      </c>
      <c r="E7" s="17">
        <f>[6]GTU_input_zaryad!$B$3</f>
        <v>0.84548761010462647</v>
      </c>
      <c r="F7" s="17">
        <f>[6]electric_zaryad!$C$5</f>
        <v>140.06347748993241</v>
      </c>
      <c r="G7" s="17">
        <f>[6]electric_zaryad!$B$7</f>
        <v>45.853998780141239</v>
      </c>
      <c r="H7" s="17">
        <f>[6]electric_zaryad!$C$12</f>
        <v>4.5194214249824803E-2</v>
      </c>
      <c r="I7" s="17">
        <f>[6]electric_zaryad!$C$6</f>
        <v>6.2470708427230086</v>
      </c>
      <c r="J7" s="17">
        <f>[6]electric_zaryad!$C$2</f>
        <v>1.8353176020388431</v>
      </c>
      <c r="K7" s="17">
        <f>[6]heaters_zaryad!$B$9</f>
        <v>99.216269744216106</v>
      </c>
      <c r="L7" s="17">
        <f>[6]heaters_zaryad!$B$8</f>
        <v>40.739442342825527</v>
      </c>
      <c r="M7" s="17">
        <f>[6]heaters_zaryad!$B$10</f>
        <v>8.7485344947899364</v>
      </c>
      <c r="N7" s="17">
        <f t="shared" si="0"/>
        <v>148.70424658183157</v>
      </c>
      <c r="O7" s="17">
        <f>[6]heaters_zaryad!$B$17/1000</f>
        <v>19.2856245809215</v>
      </c>
      <c r="P7" s="18">
        <f>[6]heaters_zaryad!$B$11/1000</f>
        <v>17.241790181473508</v>
      </c>
      <c r="Q7" s="17">
        <f>[6]gas_streams_zaryad!$E$4</f>
        <v>6.8587302479800307</v>
      </c>
      <c r="R7" s="17">
        <f>[2]!PropsSI("H","P",[6]gas_streams_zaryad!$C$4*10^6,"T",[6]gas_streams_zaryad!$B$4+273.15,"REFPROP::"&amp;[2]!MixtureString($R$16:$R$20,$S$16:$S$20))/1000-[2]!PropsSI("H","P",[6]gas_streams_zaryad!$C$4*10^6,"T",S21+273.15,"REFPROP::"&amp;[2]!MixtureString($R$16:$R$20,$S$16:$S$20))/1000</f>
        <v>896.4142916678345</v>
      </c>
      <c r="S7" s="19">
        <f t="shared" si="1"/>
        <v>6.1482638169837704</v>
      </c>
      <c r="T7" s="17">
        <f t="shared" si="2"/>
        <v>176.30447533197602</v>
      </c>
      <c r="U7" s="16">
        <f t="shared" si="11"/>
        <v>167.98987116275308</v>
      </c>
      <c r="V7" s="16">
        <f t="shared" si="12"/>
        <v>17.935346614042146</v>
      </c>
      <c r="W7" s="16">
        <f t="shared" si="3"/>
        <v>45.424643021233763</v>
      </c>
      <c r="X7" s="20">
        <f t="shared" si="4"/>
        <v>0.62678955533836456</v>
      </c>
      <c r="Y7" s="20">
        <f t="shared" si="5"/>
        <v>0.65252459981047362</v>
      </c>
      <c r="Z7" s="20">
        <f>(T7+P7+N7)/((100*F7)/D7+S7)</f>
        <v>0.78473655417920185</v>
      </c>
      <c r="AA7" s="20">
        <f t="shared" si="13"/>
        <v>0.9347676851231731</v>
      </c>
      <c r="AB7" s="20">
        <f t="shared" si="7"/>
        <v>0.64394764178022867</v>
      </c>
      <c r="AC7" s="20">
        <f t="shared" si="14"/>
        <v>0.80240541918059549</v>
      </c>
      <c r="AD7" s="16">
        <f t="shared" si="15"/>
        <v>493.34600588029247</v>
      </c>
      <c r="AE7" s="16">
        <f t="shared" si="16"/>
        <v>9.8276096788902869</v>
      </c>
      <c r="AF7" s="7">
        <f>[6]syngas_streams_razryad!$E$10</f>
        <v>1.0811111111111109</v>
      </c>
      <c r="AG7" s="7">
        <f>[6]syngas_streams_razryad!$E$9</f>
        <v>1.109337962154876</v>
      </c>
      <c r="AH7" s="17">
        <f>[6]accumulation_razryad!$E$3</f>
        <v>23.54273504191962</v>
      </c>
      <c r="AI7" s="17">
        <f>[6]electric_razryad!$E$5</f>
        <v>34.086911016241331</v>
      </c>
      <c r="AJ7" s="17">
        <f>[6]GTU_input_razryad!$B$3</f>
        <v>1</v>
      </c>
      <c r="AK7" s="17">
        <f>[6]electric_razryad!$C$5</f>
        <v>165.66</v>
      </c>
      <c r="AL7" s="17">
        <f>[6]electric_razryad!$B$7</f>
        <v>56.576405479093708</v>
      </c>
      <c r="AM7" s="17">
        <f>[6]electric_razryad!$C$12</f>
        <v>0.1227871112588946</v>
      </c>
      <c r="AN7" s="17">
        <f>[6]electric_razryad!$C$6</f>
        <v>6.3013810203264402</v>
      </c>
      <c r="AO7" s="17">
        <f>[6]electric_razryad!$C$2</f>
        <v>0.70958463019197038</v>
      </c>
      <c r="AP7" s="17">
        <f>[6]electric_razryad!$B$13</f>
        <v>15740.123442982909</v>
      </c>
      <c r="AQ7" s="17">
        <f>[6]electric_razryad!$B$14</f>
        <v>23617.662425475559</v>
      </c>
      <c r="AR7" s="17">
        <f>[6]heaters_razryad!$B$9</f>
        <v>94.662471297202941</v>
      </c>
      <c r="AS7" s="17">
        <f>[6]heaters_razryad!$B$8</f>
        <v>52.608752246564308</v>
      </c>
      <c r="AT7" s="17">
        <f>[6]heaters_razryad!$B$10</f>
        <v>8.4665659111825242</v>
      </c>
      <c r="AU7" s="17">
        <f t="shared" si="8"/>
        <v>155.73778945494979</v>
      </c>
      <c r="AV7" s="17">
        <f>[6]heaters_razryad!$B$18/1000</f>
        <v>12.235962001993959</v>
      </c>
      <c r="AW7" s="18">
        <f t="shared" si="17"/>
        <v>213.36401648410177</v>
      </c>
      <c r="AX7" s="17">
        <f t="shared" si="9"/>
        <v>7.4885351110731344</v>
      </c>
      <c r="AY7" s="19">
        <f t="shared" si="18"/>
        <v>220.8525515951749</v>
      </c>
      <c r="AZ7" s="19">
        <f t="shared" si="19"/>
        <v>167.97375145694375</v>
      </c>
      <c r="BA7" s="16">
        <f t="shared" si="20"/>
        <v>485.99299573102496</v>
      </c>
      <c r="BB7" s="16">
        <f t="shared" si="21"/>
        <v>26.1168497149553</v>
      </c>
      <c r="BC7" s="20">
        <f t="shared" si="22"/>
        <v>0.64605799523941854</v>
      </c>
      <c r="BD7" s="20">
        <f t="shared" si="30"/>
        <v>0.64605799523941854</v>
      </c>
      <c r="BE7" s="20">
        <f t="shared" si="23"/>
        <v>0.75947968217906714</v>
      </c>
      <c r="BF7" s="20">
        <f t="shared" si="24"/>
        <v>0.53948531721646886</v>
      </c>
      <c r="BG7" s="20">
        <f t="shared" si="25"/>
        <v>0.75524028848595204</v>
      </c>
      <c r="BH7" s="20">
        <f t="shared" si="26"/>
        <v>0.6417593372295638</v>
      </c>
      <c r="BI7" s="20">
        <f t="shared" si="27"/>
        <v>0.75926347932932658</v>
      </c>
      <c r="BJ7" s="16">
        <f t="shared" si="28"/>
        <v>460.54068329126073</v>
      </c>
      <c r="BK7" s="16">
        <f t="shared" si="29"/>
        <v>9.1741171970370665</v>
      </c>
      <c r="BL7" s="16">
        <f t="shared" si="10"/>
        <v>9.5956415096678967E-3</v>
      </c>
      <c r="BM7" s="18">
        <f>T7-'Без ПКМ'!B7</f>
        <v>-22.528379990799067</v>
      </c>
      <c r="BN7" s="19">
        <f>AY7-'Без ПКМ'!H7</f>
        <v>8.5519766237979979</v>
      </c>
      <c r="BO7" s="17"/>
      <c r="BP7" s="17"/>
    </row>
    <row r="8" spans="1:70" x14ac:dyDescent="0.35">
      <c r="A8" s="16">
        <v>-5</v>
      </c>
      <c r="B8" s="7">
        <f>0.151140511695727*[7]syngas_streams_zaryad!$E$2</f>
        <v>0.90487711963297124</v>
      </c>
      <c r="C8" s="7">
        <f>[7]gas_streams_zaryad!$E$13</f>
        <v>0.35693315266001641</v>
      </c>
      <c r="D8" s="17">
        <f>[7]electric_zaryad!$E$5</f>
        <v>32.474673203877828</v>
      </c>
      <c r="E8" s="17">
        <f>[7]GTU_input_zaryad!$B$3</f>
        <v>0.8403825441784265</v>
      </c>
      <c r="F8" s="17">
        <f>[7]electric_zaryad!$C$5</f>
        <v>139.21777226859811</v>
      </c>
      <c r="G8" s="17">
        <f>[7]electric_zaryad!$B$7</f>
        <v>47.820065849073778</v>
      </c>
      <c r="H8" s="17">
        <f>[7]electric_zaryad!$C$12</f>
        <v>4.5344170276964649E-2</v>
      </c>
      <c r="I8" s="17">
        <f>[7]electric_zaryad!$C$6</f>
        <v>6.2452764426925853</v>
      </c>
      <c r="J8" s="17">
        <f>[7]electric_zaryad!$C$2</f>
        <v>1.6830543423913</v>
      </c>
      <c r="K8" s="17">
        <f>[7]heaters_zaryad!$B$9</f>
        <v>91.851674189851636</v>
      </c>
      <c r="L8" s="17">
        <f>[7]heaters_zaryad!$B$8</f>
        <v>48.406709726003832</v>
      </c>
      <c r="M8" s="17">
        <f>[7]heaters_zaryad!$B$10</f>
        <v>8.0908449211761582</v>
      </c>
      <c r="N8" s="17">
        <f t="shared" si="0"/>
        <v>148.34922883703163</v>
      </c>
      <c r="O8" s="17">
        <f>[7]heaters_zaryad!$B$17/1000</f>
        <v>19.43826378930844</v>
      </c>
      <c r="P8" s="18">
        <f>[7]heaters_zaryad!$B$11/1000</f>
        <v>17.252893416724802</v>
      </c>
      <c r="Q8" s="17">
        <f>[7]gas_streams_zaryad!$E$4</f>
        <v>6.8521135843964824</v>
      </c>
      <c r="R8" s="17">
        <f>[2]!PropsSI("H","P",[7]gas_streams_zaryad!$C$4*10^6,"T",[7]gas_streams_zaryad!$B$4+273.15,"REFPROP::"&amp;[2]!MixtureString($R$16:$R$20,$S$16:$S$20))/1000-[2]!PropsSI("H","P",[7]gas_streams_zaryad!$C$4*10^6,"T",S21+273.15,"REFPROP::"&amp;[2]!MixtureString($R$16:$R$20,$S$16:$S$20))/1000</f>
        <v>896.4142916678345</v>
      </c>
      <c r="S8" s="19">
        <f t="shared" si="1"/>
        <v>6.1423325451843196</v>
      </c>
      <c r="T8" s="17">
        <f t="shared" si="2"/>
        <v>177.52977941425237</v>
      </c>
      <c r="U8" s="16">
        <f t="shared" si="11"/>
        <v>167.78749262634008</v>
      </c>
      <c r="V8" s="16">
        <f t="shared" si="12"/>
        <v>17.918044263532824</v>
      </c>
      <c r="W8" s="16">
        <f t="shared" si="3"/>
        <v>45.424831405575162</v>
      </c>
      <c r="X8" s="20">
        <f t="shared" si="4"/>
        <v>0.63324964143965246</v>
      </c>
      <c r="Y8" s="20">
        <f t="shared" si="5"/>
        <v>0.65938188729506086</v>
      </c>
      <c r="Z8" s="20">
        <f t="shared" si="6"/>
        <v>0.78910141593200023</v>
      </c>
      <c r="AA8" s="20">
        <f t="shared" si="13"/>
        <v>0.93736254156292587</v>
      </c>
      <c r="AB8" s="20">
        <f t="shared" si="7"/>
        <v>0.65104898907547626</v>
      </c>
      <c r="AC8" s="20">
        <f t="shared" si="14"/>
        <v>0.80661526583696685</v>
      </c>
      <c r="AD8" s="16">
        <f t="shared" si="15"/>
        <v>492.03932903934236</v>
      </c>
      <c r="AE8" s="16">
        <f t="shared" si="16"/>
        <v>9.8015802597478547</v>
      </c>
      <c r="AF8" s="7">
        <f>[7]syngas_streams_razryad!$E$10</f>
        <v>1.0811111111111109</v>
      </c>
      <c r="AG8" s="7">
        <f>[7]syngas_streams_razryad!$E$9</f>
        <v>1.109337962154876</v>
      </c>
      <c r="AH8" s="17">
        <f>[7]accumulation_razryad!$E$3</f>
        <v>23.54273504191962</v>
      </c>
      <c r="AI8" s="17">
        <f>[7]electric_razryad!$E$5</f>
        <v>34.061064584346838</v>
      </c>
      <c r="AJ8" s="17">
        <f>[7]GTU_input_razryad!$B$3</f>
        <v>1</v>
      </c>
      <c r="AK8" s="17">
        <f>[7]electric_razryad!$C$5</f>
        <v>165.66</v>
      </c>
      <c r="AL8" s="17">
        <f>[7]electric_razryad!$B$7</f>
        <v>58.867540298600503</v>
      </c>
      <c r="AM8" s="17">
        <f>[7]electric_razryad!$C$12</f>
        <v>0.1297090911571637</v>
      </c>
      <c r="AN8" s="17">
        <f>[7]electric_razryad!$C$6</f>
        <v>6.3013810203264402</v>
      </c>
      <c r="AO8" s="17">
        <f>[7]electric_razryad!$C$2</f>
        <v>0.7166353806349105</v>
      </c>
      <c r="AP8" s="17">
        <f>[7]electric_razryad!$B$13</f>
        <v>15752.74961590571</v>
      </c>
      <c r="AQ8" s="17">
        <f>[7]electric_razryad!$B$14</f>
        <v>23635.76173288075</v>
      </c>
      <c r="AR8" s="17">
        <f>[7]heaters_razryad!$B$9</f>
        <v>85.042876203071287</v>
      </c>
      <c r="AS8" s="17">
        <f>[7]heaters_razryad!$B$8</f>
        <v>62.659593714827203</v>
      </c>
      <c r="AT8" s="17">
        <f>[7]heaters_razryad!$B$10</f>
        <v>7.5823870013741956</v>
      </c>
      <c r="AU8" s="17">
        <f t="shared" si="8"/>
        <v>155.28485691927267</v>
      </c>
      <c r="AV8" s="17">
        <f>[7]heaters_razryad!$B$18/1000</f>
        <v>12.492797759943119</v>
      </c>
      <c r="AW8" s="18">
        <f t="shared" si="17"/>
        <v>215.57201878174359</v>
      </c>
      <c r="AX8" s="17">
        <f t="shared" si="9"/>
        <v>7.4937214096533058</v>
      </c>
      <c r="AY8" s="19">
        <f t="shared" si="18"/>
        <v>223.06574019139691</v>
      </c>
      <c r="AZ8" s="19">
        <f t="shared" si="19"/>
        <v>167.7776546792158</v>
      </c>
      <c r="BA8" s="16">
        <f t="shared" si="20"/>
        <v>486.36178000182355</v>
      </c>
      <c r="BB8" s="16">
        <f t="shared" si="21"/>
        <v>26.1168497149553</v>
      </c>
      <c r="BC8" s="20">
        <f t="shared" si="22"/>
        <v>0.65112366266613142</v>
      </c>
      <c r="BD8" s="20">
        <f t="shared" si="30"/>
        <v>0.65112366266613142</v>
      </c>
      <c r="BE8" s="20">
        <f t="shared" si="23"/>
        <v>0.76251237442963926</v>
      </c>
      <c r="BF8" s="20">
        <f t="shared" si="24"/>
        <v>0.55003617384888381</v>
      </c>
      <c r="BG8" s="20">
        <f t="shared" si="25"/>
        <v>0.76527297081131263</v>
      </c>
      <c r="BH8" s="20">
        <f t="shared" si="26"/>
        <v>0.64712825418346664</v>
      </c>
      <c r="BI8" s="20">
        <f t="shared" si="27"/>
        <v>0.76265305947803552</v>
      </c>
      <c r="BJ8" s="16">
        <f t="shared" si="28"/>
        <v>460.90946756205932</v>
      </c>
      <c r="BK8" s="16">
        <f>BJ8/$R$14</f>
        <v>9.181463497252178</v>
      </c>
      <c r="BL8" s="16">
        <f t="shared" si="10"/>
        <v>5.863337588690923E-3</v>
      </c>
      <c r="BM8" s="18">
        <f>T8-'Без ПКМ'!B8</f>
        <v>-22.178430512488717</v>
      </c>
      <c r="BN8" s="19">
        <f>AY8-'Без ПКМ'!H8</f>
        <v>8.6523346132470067</v>
      </c>
      <c r="BO8" s="17"/>
      <c r="BP8" s="17"/>
    </row>
    <row r="9" spans="1:70" x14ac:dyDescent="0.35">
      <c r="A9" s="16">
        <v>0</v>
      </c>
      <c r="B9" s="7">
        <f>0.151140511695727*[8]syngas_streams_zaryad!$E$2</f>
        <v>0.90487669394002079</v>
      </c>
      <c r="C9" s="7">
        <f>[8]gas_streams_zaryad!$E$13</f>
        <v>0.35648440722683278</v>
      </c>
      <c r="D9" s="17">
        <f>[8]electric_zaryad!$E$5</f>
        <v>32.407443746302341</v>
      </c>
      <c r="E9" s="17">
        <f>[8]GTU_input_zaryad!$B$3</f>
        <v>0.83897836927545066</v>
      </c>
      <c r="F9" s="17">
        <f>[8]electric_zaryad!$C$5</f>
        <v>137.84800537245519</v>
      </c>
      <c r="G9" s="17">
        <f>[8]electric_zaryad!$B$7</f>
        <v>49.211612160429382</v>
      </c>
      <c r="H9" s="17">
        <f>[8]electric_zaryad!$C$12</f>
        <v>4.6352479543668307E-2</v>
      </c>
      <c r="I9" s="17">
        <f>[8]electric_zaryad!$C$6</f>
        <v>6.2423700993259983</v>
      </c>
      <c r="J9" s="17">
        <f>[8]electric_zaryad!$C$2</f>
        <v>1.619525797547958</v>
      </c>
      <c r="K9" s="17">
        <f>[8]heaters_zaryad!$B$9</f>
        <v>83.682589758776373</v>
      </c>
      <c r="L9" s="17">
        <f>[8]heaters_zaryad!$B$8</f>
        <v>56.979843036548452</v>
      </c>
      <c r="M9" s="17">
        <f>[8]heaters_zaryad!$B$10</f>
        <v>7.3475827862240219</v>
      </c>
      <c r="N9" s="17">
        <f t="shared" si="0"/>
        <v>148.01001558154886</v>
      </c>
      <c r="O9" s="17">
        <f>[8]heaters_zaryad!$B$17/1000</f>
        <v>19.576832880264732</v>
      </c>
      <c r="P9" s="18">
        <f>[8]heaters_zaryad!$B$11/1000</f>
        <v>17.267181373418961</v>
      </c>
      <c r="Q9" s="17">
        <f>[8]gas_streams_zaryad!$E$4</f>
        <v>6.843498933009414</v>
      </c>
      <c r="R9" s="17">
        <f>[2]!PropsSI("H","P",[8]gas_streams_zaryad!$C$4*10^6,"T",[8]gas_streams_zaryad!$B$4+273.15,"REFPROP::"&amp;[2]!MixtureString($R$16:$R$20,$S$16:$S$20))/1000-[2]!PropsSI("H","P",[8]gas_streams_zaryad!$C$4*10^6,"T",S21+273.15,"REFPROP::"&amp;[2]!MixtureString($R$16:$R$20,$S$16:$S$20))/1000</f>
        <v>896.4142916678345</v>
      </c>
      <c r="S9" s="19">
        <f t="shared" si="1"/>
        <v>6.1346102485632157</v>
      </c>
      <c r="T9" s="17">
        <f t="shared" si="2"/>
        <v>177.57947262234029</v>
      </c>
      <c r="U9" s="16">
        <f t="shared" si="11"/>
        <v>167.58684846181359</v>
      </c>
      <c r="V9" s="16">
        <f t="shared" si="12"/>
        <v>17.895517242787008</v>
      </c>
      <c r="W9" s="16">
        <f t="shared" si="3"/>
        <v>45.424810035789044</v>
      </c>
      <c r="X9" s="20">
        <f t="shared" si="4"/>
        <v>0.64027427462514974</v>
      </c>
      <c r="Y9" s="20">
        <f t="shared" si="5"/>
        <v>0.66704909517537692</v>
      </c>
      <c r="Z9" s="20">
        <f t="shared" si="6"/>
        <v>0.79458095300128739</v>
      </c>
      <c r="AA9" s="20">
        <f t="shared" si="13"/>
        <v>0.93973869414797095</v>
      </c>
      <c r="AB9" s="20">
        <f t="shared" si="7"/>
        <v>0.6588647708947073</v>
      </c>
      <c r="AC9" s="20">
        <f t="shared" si="14"/>
        <v>0.81185226003277056</v>
      </c>
      <c r="AD9" s="16">
        <f t="shared" si="15"/>
        <v>488.67940975228555</v>
      </c>
      <c r="AE9" s="16">
        <f t="shared" si="16"/>
        <v>9.7346495966590734</v>
      </c>
      <c r="AF9" s="7">
        <f>[8]syngas_streams_razryad!$E$10</f>
        <v>1.0811111111111109</v>
      </c>
      <c r="AG9" s="7">
        <f>[8]syngas_streams_razryad!$E$9</f>
        <v>1.109337962154876</v>
      </c>
      <c r="AH9" s="17">
        <f>[8]accumulation_razryad!$E$3</f>
        <v>23.54273504191962</v>
      </c>
      <c r="AI9" s="17">
        <f>[8]electric_razryad!$E$5</f>
        <v>34.012096926621403</v>
      </c>
      <c r="AJ9" s="17">
        <f>[8]GTU_input_razryad!$B$3</f>
        <v>1</v>
      </c>
      <c r="AK9" s="17">
        <f>[8]electric_razryad!$C$5</f>
        <v>164.30459999999999</v>
      </c>
      <c r="AL9" s="17">
        <f>[8]electric_razryad!$B$7</f>
        <v>59.990002773177729</v>
      </c>
      <c r="AM9" s="17">
        <f>[8]electric_razryad!$C$12</f>
        <v>0.13728961543503401</v>
      </c>
      <c r="AN9" s="17">
        <f>[8]electric_razryad!$C$6</f>
        <v>6.2985051603460569</v>
      </c>
      <c r="AO9" s="17">
        <f>[8]electric_razryad!$C$2</f>
        <v>0.72189704142048383</v>
      </c>
      <c r="AP9" s="17">
        <f>[8]electric_razryad!$B$13</f>
        <v>15765.403268990751</v>
      </c>
      <c r="AQ9" s="17">
        <f>[8]electric_razryad!$B$14</f>
        <v>23653.900429679768</v>
      </c>
      <c r="AR9" s="17">
        <f>[8]heaters_razryad!$B$9</f>
        <v>74.817120223444789</v>
      </c>
      <c r="AS9" s="17">
        <f>[8]heaters_razryad!$B$8</f>
        <v>73.391569796504456</v>
      </c>
      <c r="AT9" s="17">
        <f>[8]heaters_razryad!$B$10</f>
        <v>6.6238102038882012</v>
      </c>
      <c r="AU9" s="17">
        <f t="shared" si="8"/>
        <v>154.83250022383743</v>
      </c>
      <c r="AV9" s="17">
        <f>[8]heaters_razryad!$B$18/1000</f>
        <v>12.749918430636301</v>
      </c>
      <c r="AW9" s="18">
        <f t="shared" si="17"/>
        <v>215.2948530986593</v>
      </c>
      <c r="AX9" s="17">
        <f t="shared" si="9"/>
        <v>7.4989189932643754</v>
      </c>
      <c r="AY9" s="19">
        <f t="shared" si="18"/>
        <v>222.79377209192367</v>
      </c>
      <c r="AZ9" s="19">
        <f t="shared" si="19"/>
        <v>167.58241865447374</v>
      </c>
      <c r="BA9" s="16">
        <f t="shared" si="20"/>
        <v>483.07694863529019</v>
      </c>
      <c r="BB9" s="16">
        <f t="shared" si="21"/>
        <v>26.1168497149553</v>
      </c>
      <c r="BC9" s="20">
        <f t="shared" si="22"/>
        <v>0.65589792650137468</v>
      </c>
      <c r="BD9" s="20">
        <f t="shared" si="30"/>
        <v>0.65589792650137468</v>
      </c>
      <c r="BE9" s="20">
        <f t="shared" si="23"/>
        <v>0.76618715583121877</v>
      </c>
      <c r="BF9" s="20">
        <f t="shared" si="24"/>
        <v>0.56100527740884698</v>
      </c>
      <c r="BG9" s="20">
        <f t="shared" si="25"/>
        <v>0.77531699438870594</v>
      </c>
      <c r="BH9" s="20">
        <f t="shared" si="26"/>
        <v>0.65218486658827557</v>
      </c>
      <c r="BI9" s="20">
        <f t="shared" si="27"/>
        <v>0.76665543062619901</v>
      </c>
      <c r="BJ9" s="16">
        <f t="shared" si="28"/>
        <v>457.62463619552597</v>
      </c>
      <c r="BK9" s="16">
        <f t="shared" si="29"/>
        <v>9.1160286094726288</v>
      </c>
      <c r="BL9" s="16">
        <f t="shared" si="10"/>
        <v>2.6432905568099666E-3</v>
      </c>
      <c r="BM9" s="18">
        <f>T9-'Без ПКМ'!B9</f>
        <v>-21.160006231758587</v>
      </c>
      <c r="BN9" s="19">
        <f>AY9-'Без ПКМ'!H9</f>
        <v>8.620175071583418</v>
      </c>
      <c r="BO9" s="17"/>
      <c r="BP9" s="17"/>
    </row>
    <row r="10" spans="1:70" x14ac:dyDescent="0.35">
      <c r="A10" s="16">
        <v>5</v>
      </c>
      <c r="B10" s="7">
        <f>0.151140511695727*[9]syngas_streams_zaryad!$E$2</f>
        <v>0.90487229745872144</v>
      </c>
      <c r="C10" s="7">
        <f>[9]gas_streams_zaryad!$E$13</f>
        <v>0.35590021048697512</v>
      </c>
      <c r="D10" s="17">
        <f>[9]electric_zaryad!$E$5</f>
        <v>32.309290043918388</v>
      </c>
      <c r="E10" s="17">
        <f>[9]GTU_input_zaryad!$B$3</f>
        <v>0.84414887463897392</v>
      </c>
      <c r="F10" s="17">
        <f>[9]electric_zaryad!$C$5</f>
        <v>134.88367857238791</v>
      </c>
      <c r="G10" s="17">
        <f>[9]electric_zaryad!$B$7</f>
        <v>49.634609577963602</v>
      </c>
      <c r="H10" s="17">
        <f>[9]electric_zaryad!$C$12</f>
        <v>4.7201363192467982E-2</v>
      </c>
      <c r="I10" s="17">
        <f>[9]electric_zaryad!$C$6</f>
        <v>6.2360804513895269</v>
      </c>
      <c r="J10" s="17">
        <f>[9]electric_zaryad!$C$2</f>
        <v>1.68353532216139</v>
      </c>
      <c r="K10" s="17">
        <f>[9]heaters_zaryad!$B$9</f>
        <v>75.312154670495744</v>
      </c>
      <c r="L10" s="17">
        <f>[9]heaters_zaryad!$B$8</f>
        <v>65.813431792015365</v>
      </c>
      <c r="M10" s="17">
        <f>[9]heaters_zaryad!$B$10</f>
        <v>6.5676581594527166</v>
      </c>
      <c r="N10" s="17">
        <f t="shared" si="0"/>
        <v>147.69324462196383</v>
      </c>
      <c r="O10" s="17">
        <f>[9]heaters_zaryad!$B$17/1000</f>
        <v>19.694730286236471</v>
      </c>
      <c r="P10" s="18">
        <f>[9]heaters_zaryad!$B$11/1000</f>
        <v>17.28566050857442</v>
      </c>
      <c r="Q10" s="17">
        <f>[9]gas_streams_zaryad!$E$4</f>
        <v>6.8322839971389104</v>
      </c>
      <c r="R10" s="17">
        <f>[2]!PropsSI("H","P",[9]gas_streams_zaryad!$C$4*10^6,"T",[9]gas_streams_zaryad!$B$4+273.15,"REFPROP::"&amp;[2]!MixtureString($R$16:$R$20,$S$16:$S$20))/1000-[2]!PropsSI("H","P",[9]gas_streams_zaryad!$C$4*10^6,"T",S21+273.15,"REFPROP::"&amp;[2]!MixtureString($R$16:$R$20,$S$16:$S$20))/1000</f>
        <v>896.4142916678345</v>
      </c>
      <c r="S10" s="19">
        <f t="shared" si="1"/>
        <v>6.1245570197687575</v>
      </c>
      <c r="T10" s="17">
        <f t="shared" si="2"/>
        <v>174.96286593975464</v>
      </c>
      <c r="U10" s="16">
        <f t="shared" si="11"/>
        <v>167.38797490820031</v>
      </c>
      <c r="V10" s="16">
        <f t="shared" si="12"/>
        <v>17.866190566446154</v>
      </c>
      <c r="W10" s="16">
        <f t="shared" si="3"/>
        <v>45.424589332427821</v>
      </c>
      <c r="X10" s="20">
        <f>T10/((100*F10)/D10-N10)</f>
        <v>0.64853133733879786</v>
      </c>
      <c r="Y10" s="20">
        <f t="shared" si="5"/>
        <v>0.67651937544909369</v>
      </c>
      <c r="Z10" s="20">
        <f t="shared" si="6"/>
        <v>0.80250462526931265</v>
      </c>
      <c r="AA10" s="20">
        <f t="shared" si="13"/>
        <v>0.94177946138255986</v>
      </c>
      <c r="AB10" s="20">
        <f t="shared" si="7"/>
        <v>0.66828158146950156</v>
      </c>
      <c r="AC10" s="20">
        <f t="shared" si="14"/>
        <v>0.81935700846397519</v>
      </c>
      <c r="AD10" s="16">
        <f t="shared" si="15"/>
        <v>480.76723446980071</v>
      </c>
      <c r="AE10" s="16">
        <f t="shared" si="16"/>
        <v>9.5770365432231213</v>
      </c>
      <c r="AF10" s="7">
        <f>[9]syngas_streams_razryad!$E$10</f>
        <v>1.0811111111111109</v>
      </c>
      <c r="AG10" s="7">
        <f>[9]syngas_streams_razryad!$E$9</f>
        <v>1.109337962154876</v>
      </c>
      <c r="AH10" s="17">
        <f>[9]accumulation_razryad!$E$3</f>
        <v>23.54273504191962</v>
      </c>
      <c r="AI10" s="17">
        <f>[9]electric_razryad!$E$5</f>
        <v>33.830241541168107</v>
      </c>
      <c r="AJ10" s="17">
        <f>[9]GTU_input_razryad!$B$3</f>
        <v>1</v>
      </c>
      <c r="AK10" s="17">
        <f>[9]electric_razryad!$C$5</f>
        <v>159.78659999999999</v>
      </c>
      <c r="AL10" s="17">
        <f>[9]electric_razryad!$B$7</f>
        <v>59.006713988750612</v>
      </c>
      <c r="AM10" s="17">
        <f>[9]electric_razryad!$C$12</f>
        <v>0.14050932110726469</v>
      </c>
      <c r="AN10" s="17">
        <f>[9]electric_razryad!$C$6</f>
        <v>6.2889189604114444</v>
      </c>
      <c r="AO10" s="17">
        <f>[9]electric_razryad!$C$2</f>
        <v>0.71600185211283573</v>
      </c>
      <c r="AP10" s="17">
        <f>[9]electric_razryad!$B$13</f>
        <v>15778.08409004476</v>
      </c>
      <c r="AQ10" s="17">
        <f>[9]electric_razryad!$B$14</f>
        <v>23672.07806833971</v>
      </c>
      <c r="AR10" s="17">
        <f>[9]heaters_razryad!$B$9</f>
        <v>65.256946885882726</v>
      </c>
      <c r="AS10" s="17">
        <f>[9]heaters_razryad!$B$8</f>
        <v>83.417689651211546</v>
      </c>
      <c r="AT10" s="17">
        <f>[9]heaters_razryad!$B$10</f>
        <v>5.7061298798194668</v>
      </c>
      <c r="AU10" s="17">
        <f t="shared" si="8"/>
        <v>154.38076641691373</v>
      </c>
      <c r="AV10" s="17">
        <f>[9]heaters_razryad!$B$18/1000</f>
        <v>13.00732972477301</v>
      </c>
      <c r="AW10" s="18">
        <f t="shared" si="17"/>
        <v>209.83529726596657</v>
      </c>
      <c r="AX10" s="17">
        <f t="shared" si="9"/>
        <v>7.5041277336593195</v>
      </c>
      <c r="AY10" s="19">
        <f t="shared" si="18"/>
        <v>217.33942499962589</v>
      </c>
      <c r="AZ10" s="19">
        <f t="shared" si="19"/>
        <v>167.38809614168673</v>
      </c>
      <c r="BA10" s="16">
        <f t="shared" si="20"/>
        <v>472.31882694527997</v>
      </c>
      <c r="BB10" s="16">
        <f t="shared" si="21"/>
        <v>26.1168497149553</v>
      </c>
      <c r="BC10" s="20">
        <f t="shared" si="22"/>
        <v>0.65998797664315878</v>
      </c>
      <c r="BD10" s="20">
        <f t="shared" si="30"/>
        <v>0.65998797664315878</v>
      </c>
      <c r="BE10" s="20">
        <f t="shared" si="23"/>
        <v>0.77112332370582426</v>
      </c>
      <c r="BF10" s="20">
        <f t="shared" si="24"/>
        <v>0.57241819222055079</v>
      </c>
      <c r="BG10" s="20">
        <f t="shared" si="25"/>
        <v>0.78537257296720764</v>
      </c>
      <c r="BH10" s="20">
        <f t="shared" si="26"/>
        <v>0.65652020370965491</v>
      </c>
      <c r="BI10" s="20">
        <f t="shared" si="27"/>
        <v>0.77186995064072594</v>
      </c>
      <c r="BJ10" s="16">
        <f t="shared" si="28"/>
        <v>446.86651450551574</v>
      </c>
      <c r="BK10" s="16">
        <f t="shared" si="29"/>
        <v>8.9017233965242166</v>
      </c>
      <c r="BL10" s="16">
        <f t="shared" si="10"/>
        <v>7.2426640259783397E-5</v>
      </c>
      <c r="BM10" s="18">
        <f>T10-'Без ПКМ'!B10</f>
        <v>-19.329578747815816</v>
      </c>
      <c r="BN10" s="19">
        <f>AY10-'Без ПКМ'!H10</f>
        <v>8.2459533482702625</v>
      </c>
      <c r="BO10" s="17"/>
      <c r="BP10" s="17"/>
    </row>
    <row r="11" spans="1:70" x14ac:dyDescent="0.35">
      <c r="A11" s="16">
        <v>8</v>
      </c>
      <c r="B11" s="7">
        <f>0.151140511695727*[10]syngas_streams_zaryad!$E$2</f>
        <v>0.90487325883154113</v>
      </c>
      <c r="C11" s="7">
        <f>[10]gas_streams_zaryad!$E$13</f>
        <v>0.35544519987866169</v>
      </c>
      <c r="D11" s="17">
        <f>[10]electric_zaryad!$E$5</f>
        <v>32.118526049892672</v>
      </c>
      <c r="E11" s="17">
        <f>[10]GTU_input_zaryad!$B$3</f>
        <v>0.83948315281133024</v>
      </c>
      <c r="F11" s="17">
        <f>[10]electric_zaryad!$C$5</f>
        <v>131.86248781436191</v>
      </c>
      <c r="G11" s="17">
        <f>[10]electric_zaryad!$B$7</f>
        <v>49.269013094559668</v>
      </c>
      <c r="H11" s="17">
        <f>[10]electric_zaryad!$C$12</f>
        <v>4.4635076125236338E-2</v>
      </c>
      <c r="I11" s="17">
        <f>[10]electric_zaryad!$C$6</f>
        <v>6.2296701506708381</v>
      </c>
      <c r="J11" s="17">
        <f>[10]electric_zaryad!$C$2</f>
        <v>1.845360113863096</v>
      </c>
      <c r="K11" s="17">
        <f>[10]heaters_zaryad!$B$9</f>
        <v>73.455552573784544</v>
      </c>
      <c r="L11" s="17">
        <f>[10]heaters_zaryad!$B$8</f>
        <v>67.205999654048398</v>
      </c>
      <c r="M11" s="17">
        <f>[10]heaters_zaryad!$B$10</f>
        <v>6.3787724144485569</v>
      </c>
      <c r="N11" s="17">
        <f>K11+L11+M11</f>
        <v>147.04032464228149</v>
      </c>
      <c r="O11" s="17">
        <f>[10]heaters_zaryad!$B$17/1000</f>
        <v>19.693814512484288</v>
      </c>
      <c r="P11" s="18">
        <f>[10]heaters_zaryad!$B$11/1000</f>
        <v>17.300192018756828</v>
      </c>
      <c r="Q11" s="17">
        <f>[10]gas_streams_zaryad!$E$4</f>
        <v>6.8235490719938694</v>
      </c>
      <c r="R11" s="17">
        <f>[2]!PropsSI("H","P",[10]gas_streams_zaryad!$C$4*10^6,"T",[10]gas_streams_zaryad!$B$4+273.15,"REFPROP::"&amp;[2]!MixtureString($R$16:$R$20,$S$16:$S$20))/1000-[2]!PropsSI("H","P",[10]gas_streams_zaryad!$C$4*10^6,"T",S21+273.15,"REFPROP::"&amp;[2]!MixtureString($R$16:$R$20,$S$16:$S$20))/1000</f>
        <v>896.4142916678345</v>
      </c>
      <c r="S11" s="19">
        <f>R11*Q11/1000</f>
        <v>6.1167269080320938</v>
      </c>
      <c r="T11" s="17">
        <f t="shared" si="2"/>
        <v>171.42404990435571</v>
      </c>
      <c r="U11" s="16">
        <f>N11+O11</f>
        <v>166.73413915476578</v>
      </c>
      <c r="V11" s="16">
        <f t="shared" si="12"/>
        <v>17.843349033908819</v>
      </c>
      <c r="W11" s="16">
        <f t="shared" si="3"/>
        <v>45.42463759334337</v>
      </c>
      <c r="X11" s="20">
        <f>T11/((100*F11)/D11-N11)</f>
        <v>0.65054269644681961</v>
      </c>
      <c r="Y11" s="20">
        <f t="shared" si="5"/>
        <v>0.6793757391712697</v>
      </c>
      <c r="Z11" s="20">
        <f>(T11+P11+N11)/((100*F11)/D11+S11)</f>
        <v>0.8058355711452565</v>
      </c>
      <c r="AA11" s="20">
        <f>(AF11+AG11)*AH11/(V11+W11-O11-S11+P11)</f>
        <v>0.94177113490775799</v>
      </c>
      <c r="AB11" s="20">
        <f>(T11)/((100*F11)/D11+$R$14*(B11+C11)-(AF11+AG11)*AH11-U11)</f>
        <v>0.67089804327654989</v>
      </c>
      <c r="AC11" s="20">
        <f>((AF11+AG11)*AH11+U11+T11)/((100*F11)/D11+$R$14*(B11+C11))</f>
        <v>0.82252610028492157</v>
      </c>
      <c r="AD11" s="16">
        <f t="shared" si="15"/>
        <v>473.81761026044052</v>
      </c>
      <c r="AE11" s="16">
        <f t="shared" si="16"/>
        <v>9.4385978139529971</v>
      </c>
      <c r="AF11" s="7">
        <f>[10]syngas_streams_razryad!$E$10</f>
        <v>1.0811111111111109</v>
      </c>
      <c r="AG11" s="7">
        <f>[10]syngas_streams_razryad!$E$9</f>
        <v>1.109903083735525</v>
      </c>
      <c r="AH11" s="17">
        <f>[10]accumulation_razryad!$E$3</f>
        <v>23.536662736376829</v>
      </c>
      <c r="AI11" s="17">
        <f>[10]electric_razryad!$E$5</f>
        <v>33.701191319931901</v>
      </c>
      <c r="AJ11" s="17">
        <f>[10]GTU_input_razryad!$B$3</f>
        <v>1</v>
      </c>
      <c r="AK11" s="17">
        <f>[10]electric_razryad!$C$5</f>
        <v>157.07579999999999</v>
      </c>
      <c r="AL11" s="17">
        <f>[10]electric_razryad!$B$7</f>
        <v>58.813420663265937</v>
      </c>
      <c r="AM11" s="17">
        <f>[10]electric_razryad!$C$12</f>
        <v>0.13951197493493339</v>
      </c>
      <c r="AN11" s="17">
        <f>[10]electric_razryad!$C$6</f>
        <v>6.2831672404506769</v>
      </c>
      <c r="AO11" s="17">
        <f>[10]electric_razryad!$C$2</f>
        <v>0.71184930388835521</v>
      </c>
      <c r="AP11" s="17">
        <f>[10]electric_razryad!$B$13</f>
        <v>15789.335487543751</v>
      </c>
      <c r="AQ11" s="17">
        <f>[10]electric_razryad!$B$14</f>
        <v>23688.708701754269</v>
      </c>
      <c r="AR11" s="17">
        <f>[10]heaters_razryad!$B$9</f>
        <v>66.869466110608414</v>
      </c>
      <c r="AS11" s="17">
        <f>[10]heaters_razryad!$B$8</f>
        <v>80.973707667862016</v>
      </c>
      <c r="AT11" s="17">
        <f>[10]heaters_razryad!$B$10</f>
        <v>5.8262226673069817</v>
      </c>
      <c r="AU11" s="17">
        <f>AT11+AS11+AR11</f>
        <v>153.66939644577741</v>
      </c>
      <c r="AV11" s="17">
        <f>[10]heaters_razryad!$B$18/1000</f>
        <v>13.06576288895501</v>
      </c>
      <c r="AW11" s="18">
        <f t="shared" si="17"/>
        <v>206.94819149999699</v>
      </c>
      <c r="AX11" s="17">
        <f t="shared" si="9"/>
        <v>7.5092364046491156</v>
      </c>
      <c r="AY11" s="19">
        <f t="shared" si="18"/>
        <v>214.45742790464612</v>
      </c>
      <c r="AZ11" s="19">
        <f>AU11+AV11</f>
        <v>166.73515933473243</v>
      </c>
      <c r="BA11" s="16">
        <f t="shared" si="20"/>
        <v>466.08382032803871</v>
      </c>
      <c r="BB11" s="16">
        <f t="shared" si="21"/>
        <v>26.123414551947665</v>
      </c>
      <c r="BC11" s="20">
        <f t="shared" si="22"/>
        <v>0.66241561106022728</v>
      </c>
      <c r="BD11" s="43">
        <f t="shared" si="30"/>
        <v>0.66241561106022728</v>
      </c>
      <c r="BE11" s="20">
        <f t="shared" si="23"/>
        <v>0.7737183146412695</v>
      </c>
      <c r="BF11" s="20">
        <f t="shared" si="24"/>
        <v>0.57508322311364912</v>
      </c>
      <c r="BG11" s="20">
        <f t="shared" si="25"/>
        <v>0.78760757911986401</v>
      </c>
      <c r="BH11" s="20">
        <f t="shared" si="26"/>
        <v>0.65891191293560836</v>
      </c>
      <c r="BI11" s="20">
        <f t="shared" si="27"/>
        <v>0.77445547368340439</v>
      </c>
      <c r="BJ11" s="16">
        <f t="shared" si="28"/>
        <v>440.63807272526685</v>
      </c>
      <c r="BK11" s="16">
        <f>BJ11/$R$14</f>
        <v>8.7776508511009332</v>
      </c>
      <c r="BL11" s="16">
        <f t="shared" si="10"/>
        <v>6.1186027757504909E-4</v>
      </c>
      <c r="BM11" s="18">
        <f>T11-'Без ПКМ'!B11</f>
        <v>-19.748411631380606</v>
      </c>
      <c r="BN11" s="19">
        <f>AY11-'Без ПКМ'!H11</f>
        <v>8.5043449778731599</v>
      </c>
      <c r="BO11" s="17"/>
      <c r="BP11" s="17"/>
    </row>
    <row r="14" spans="1:70" x14ac:dyDescent="0.35">
      <c r="Q14" s="1" t="s">
        <v>54</v>
      </c>
      <c r="R14" s="17">
        <f>BP4</f>
        <v>50.2</v>
      </c>
      <c r="S14" s="3" t="s">
        <v>53</v>
      </c>
      <c r="U14" s="42"/>
      <c r="BL14" s="16">
        <f>(BM14-BN14)*100</f>
        <v>-3.9131551916796514</v>
      </c>
      <c r="BM14" s="18">
        <v>0.59138137125468226</v>
      </c>
      <c r="BN14" s="16">
        <v>0.63051292317147878</v>
      </c>
    </row>
    <row r="15" spans="1:70" x14ac:dyDescent="0.35">
      <c r="R15" s="1" t="s">
        <v>40</v>
      </c>
      <c r="BL15" s="16">
        <f>(BM15-BN15)*100</f>
        <v>-3.8484080150588129</v>
      </c>
      <c r="BM15" s="18">
        <v>0.60853305569834903</v>
      </c>
      <c r="BN15" s="16">
        <v>0.64701713584893716</v>
      </c>
    </row>
    <row r="16" spans="1:70" x14ac:dyDescent="0.35">
      <c r="R16" s="1" t="s">
        <v>41</v>
      </c>
      <c r="S16" s="3">
        <v>0.71032059101601497</v>
      </c>
      <c r="BL16" s="16">
        <f t="shared" ref="BL16:BL22" si="31">(BM16-BN16)*100</f>
        <v>-3.3468976088756541</v>
      </c>
      <c r="BM16" s="18">
        <v>0.62775298552026604</v>
      </c>
      <c r="BN16" s="16">
        <v>0.66122196160902258</v>
      </c>
    </row>
    <row r="17" spans="18:66" x14ac:dyDescent="0.35">
      <c r="R17" s="6" t="s">
        <v>44</v>
      </c>
      <c r="S17" s="3">
        <v>0.18053127301225799</v>
      </c>
      <c r="BL17" s="16">
        <f t="shared" si="31"/>
        <v>-3.5369783083985751</v>
      </c>
      <c r="BM17" s="18">
        <v>0.63593152341236958</v>
      </c>
      <c r="BN17" s="16">
        <v>0.67130130649635533</v>
      </c>
    </row>
    <row r="18" spans="18:66" x14ac:dyDescent="0.35">
      <c r="R18" s="6" t="s">
        <v>43</v>
      </c>
      <c r="S18" s="3">
        <v>9.0538556815177001E-2</v>
      </c>
      <c r="BL18" s="16">
        <f t="shared" si="31"/>
        <v>-3.6796265802649719</v>
      </c>
      <c r="BM18" s="18">
        <v>0.64394300217903166</v>
      </c>
      <c r="BN18" s="16">
        <v>0.68073926798168138</v>
      </c>
    </row>
    <row r="19" spans="18:66" x14ac:dyDescent="0.35">
      <c r="R19" s="6" t="s">
        <v>42</v>
      </c>
      <c r="S19" s="3">
        <v>9.9671027033589304E-3</v>
      </c>
      <c r="BL19" s="16">
        <f t="shared" si="31"/>
        <v>-3.6961689134075382</v>
      </c>
      <c r="BM19" s="18">
        <v>0.65105875138571945</v>
      </c>
      <c r="BN19" s="16">
        <v>0.68802044051979483</v>
      </c>
    </row>
    <row r="20" spans="18:66" x14ac:dyDescent="0.35">
      <c r="R20" s="1" t="s">
        <v>45</v>
      </c>
      <c r="S20" s="3">
        <v>8.6424764531917806E-3</v>
      </c>
      <c r="BL20" s="16">
        <f t="shared" si="31"/>
        <v>-3.6675012973449328</v>
      </c>
      <c r="BM20" s="18">
        <v>0.65886947173043775</v>
      </c>
      <c r="BN20" s="16">
        <v>0.69554448470388708</v>
      </c>
    </row>
    <row r="21" spans="18:66" x14ac:dyDescent="0.35">
      <c r="R21" s="1" t="s">
        <v>46</v>
      </c>
      <c r="S21" s="3">
        <v>60</v>
      </c>
      <c r="BL21" s="16">
        <f t="shared" si="31"/>
        <v>-3.5980943546066735</v>
      </c>
      <c r="BM21" s="18">
        <v>0.66828158146950156</v>
      </c>
      <c r="BN21" s="16">
        <v>0.7042625250155683</v>
      </c>
    </row>
    <row r="22" spans="18:66" x14ac:dyDescent="0.35">
      <c r="BL22" s="16">
        <f t="shared" si="31"/>
        <v>-3.6281953140660517</v>
      </c>
      <c r="BM22" s="18">
        <v>0.67094723697600755</v>
      </c>
      <c r="BN22" s="16">
        <v>0.70722919011666807</v>
      </c>
    </row>
    <row r="23" spans="18:66" x14ac:dyDescent="0.35">
      <c r="R23" s="1" t="s">
        <v>47</v>
      </c>
      <c r="S23" s="3">
        <f>[2]!PropsSI("Q","P",0.1*10^6,"T",S21+273.15,"REFPROP::"&amp;[2]!MixtureString($R$16:$R$20,$S$16:$S$20))</f>
        <v>998</v>
      </c>
      <c r="BL23" s="16">
        <f>AVERAGE(BL14:BL22)</f>
        <v>-3.657225064855874</v>
      </c>
    </row>
    <row r="39" spans="18:20" x14ac:dyDescent="0.35">
      <c r="R39" s="6"/>
      <c r="S39" s="5"/>
      <c r="T39" s="6"/>
    </row>
  </sheetData>
  <mergeCells count="33"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BL1:BL2"/>
    <mergeCell ref="BM1:BM2"/>
    <mergeCell ref="BN1:BN2"/>
    <mergeCell ref="BK1:BK2"/>
    <mergeCell ref="BG1:BG2"/>
    <mergeCell ref="AD1:AD2"/>
    <mergeCell ref="AE1:AE2"/>
    <mergeCell ref="BJ1:BJ2"/>
    <mergeCell ref="BH1:BH2"/>
    <mergeCell ref="BI1:BI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E69-2D03-42B9-9E9E-A2A11B6052D6}">
  <dimension ref="A1:BR39"/>
  <sheetViews>
    <sheetView topLeftCell="BO1" zoomScale="85" zoomScaleNormal="85" workbookViewId="0">
      <selection activeCell="CK30" sqref="CK30"/>
    </sheetView>
  </sheetViews>
  <sheetFormatPr defaultColWidth="9.1796875" defaultRowHeight="15.5" x14ac:dyDescent="0.35"/>
  <cols>
    <col min="1" max="1" width="7.1796875" style="4" bestFit="1" customWidth="1"/>
    <col min="2" max="3" width="16.1796875" style="1" bestFit="1" customWidth="1"/>
    <col min="4" max="4" width="10.453125" style="1" bestFit="1" customWidth="1"/>
    <col min="5" max="5" width="7.54296875" style="1" bestFit="1" customWidth="1"/>
    <col min="6" max="6" width="7.453125" style="1" bestFit="1" customWidth="1"/>
    <col min="7" max="7" width="7.81640625" style="1" bestFit="1" customWidth="1"/>
    <col min="8" max="9" width="5.1796875" style="1" bestFit="1" customWidth="1"/>
    <col min="10" max="10" width="5.26953125" style="1" bestFit="1" customWidth="1"/>
    <col min="11" max="12" width="7.453125" style="1" bestFit="1" customWidth="1"/>
    <col min="13" max="13" width="6.453125" style="1" bestFit="1" customWidth="1"/>
    <col min="14" max="14" width="10.81640625" style="1" bestFit="1" customWidth="1"/>
    <col min="15" max="15" width="10.7265625" style="1" bestFit="1" customWidth="1"/>
    <col min="16" max="16" width="6.453125" style="2" bestFit="1" customWidth="1"/>
    <col min="17" max="17" width="11.453125" style="1" bestFit="1" customWidth="1"/>
    <col min="18" max="18" width="12.54296875" style="1" bestFit="1" customWidth="1"/>
    <col min="19" max="19" width="11.453125" style="3" bestFit="1" customWidth="1"/>
    <col min="20" max="20" width="13.453125" style="1" bestFit="1" customWidth="1"/>
    <col min="21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1796875" style="4" bestFit="1" customWidth="1"/>
    <col min="26" max="26" width="11.453125" style="4" bestFit="1" customWidth="1"/>
    <col min="27" max="27" width="21.5429687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1796875" style="1" bestFit="1" customWidth="1"/>
    <col min="33" max="33" width="11.453125" style="1" bestFit="1" customWidth="1"/>
    <col min="34" max="34" width="7" style="1" bestFit="1" customWidth="1"/>
    <col min="35" max="35" width="10.453125" style="1" bestFit="1" customWidth="1"/>
    <col min="36" max="36" width="7.54296875" style="1" bestFit="1" customWidth="1"/>
    <col min="37" max="37" width="7.453125" style="1" bestFit="1" customWidth="1"/>
    <col min="38" max="38" width="7.8164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453125" style="1" bestFit="1" customWidth="1"/>
    <col min="46" max="46" width="6.453125" style="1" bestFit="1" customWidth="1"/>
    <col min="47" max="47" width="10.81640625" style="1" bestFit="1" customWidth="1"/>
    <col min="48" max="48" width="8.54296875" style="1" bestFit="1" customWidth="1"/>
    <col min="49" max="49" width="14.453125" style="2" bestFit="1" customWidth="1"/>
    <col min="50" max="50" width="15.453125" style="1" bestFit="1" customWidth="1"/>
    <col min="51" max="51" width="14.81640625" style="3" bestFit="1" customWidth="1"/>
    <col min="52" max="52" width="11.81640625" style="3" bestFit="1" customWidth="1"/>
    <col min="53" max="54" width="11" style="4" bestFit="1" customWidth="1"/>
    <col min="55" max="55" width="18.81640625" style="4" bestFit="1" customWidth="1"/>
    <col min="56" max="56" width="21.1796875" style="4" bestFit="1" customWidth="1"/>
    <col min="57" max="57" width="11.453125" style="4" bestFit="1" customWidth="1"/>
    <col min="58" max="58" width="24.54296875" style="4" bestFit="1" customWidth="1"/>
    <col min="59" max="59" width="15.17968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17968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453125" style="1" bestFit="1" customWidth="1"/>
    <col min="69" max="16384" width="9.1796875" style="1"/>
  </cols>
  <sheetData>
    <row r="1" spans="1:70" ht="15.65" customHeight="1" x14ac:dyDescent="0.35">
      <c r="A1" s="48" t="s">
        <v>0</v>
      </c>
      <c r="B1" s="50" t="s">
        <v>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8"/>
      <c r="Q1" s="9"/>
      <c r="R1" s="9"/>
      <c r="S1" s="10"/>
      <c r="T1" s="52" t="s">
        <v>14</v>
      </c>
      <c r="U1" s="48" t="s">
        <v>17</v>
      </c>
      <c r="V1" s="48" t="s">
        <v>58</v>
      </c>
      <c r="W1" s="48" t="s">
        <v>59</v>
      </c>
      <c r="X1" s="48" t="s">
        <v>49</v>
      </c>
      <c r="Y1" s="48" t="s">
        <v>50</v>
      </c>
      <c r="Z1" s="48" t="s">
        <v>52</v>
      </c>
      <c r="AA1" s="48" t="s">
        <v>55</v>
      </c>
      <c r="AB1" s="48" t="s">
        <v>68</v>
      </c>
      <c r="AC1" s="48" t="s">
        <v>60</v>
      </c>
      <c r="AD1" s="46" t="s">
        <v>88</v>
      </c>
      <c r="AE1" s="46" t="s">
        <v>87</v>
      </c>
      <c r="AF1" s="50" t="s">
        <v>8</v>
      </c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2"/>
      <c r="AW1" s="50" t="s">
        <v>15</v>
      </c>
      <c r="AX1" s="51" t="s">
        <v>16</v>
      </c>
      <c r="AY1" s="52" t="s">
        <v>22</v>
      </c>
      <c r="AZ1" s="52" t="s">
        <v>17</v>
      </c>
      <c r="BA1" s="48" t="s">
        <v>62</v>
      </c>
      <c r="BB1" s="48" t="s">
        <v>61</v>
      </c>
      <c r="BC1" s="48" t="s">
        <v>49</v>
      </c>
      <c r="BD1" s="48" t="s">
        <v>50</v>
      </c>
      <c r="BE1" s="48" t="s">
        <v>52</v>
      </c>
      <c r="BF1" s="48" t="s">
        <v>63</v>
      </c>
      <c r="BG1" s="48" t="s">
        <v>64</v>
      </c>
      <c r="BH1" s="48" t="s">
        <v>68</v>
      </c>
      <c r="BI1" s="48" t="s">
        <v>60</v>
      </c>
      <c r="BJ1" s="46" t="s">
        <v>88</v>
      </c>
      <c r="BK1" s="46" t="s">
        <v>87</v>
      </c>
      <c r="BL1" s="48" t="s">
        <v>23</v>
      </c>
      <c r="BM1" s="50" t="s">
        <v>33</v>
      </c>
      <c r="BN1" s="52" t="s">
        <v>34</v>
      </c>
      <c r="BO1" s="11" t="s">
        <v>11</v>
      </c>
      <c r="BP1" s="11">
        <v>0.95</v>
      </c>
      <c r="BR1" s="1" t="s">
        <v>66</v>
      </c>
    </row>
    <row r="2" spans="1:70" ht="16" thickBot="1" x14ac:dyDescent="0.4">
      <c r="A2" s="49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5"/>
      <c r="U2" s="49"/>
      <c r="V2" s="49"/>
      <c r="W2" s="49"/>
      <c r="X2" s="49"/>
      <c r="Y2" s="49"/>
      <c r="Z2" s="49"/>
      <c r="AA2" s="49"/>
      <c r="AB2" s="49"/>
      <c r="AC2" s="49"/>
      <c r="AD2" s="47" t="s">
        <v>86</v>
      </c>
      <c r="AE2" s="47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3"/>
      <c r="AX2" s="54"/>
      <c r="AY2" s="55"/>
      <c r="AZ2" s="55"/>
      <c r="BA2" s="49"/>
      <c r="BB2" s="49"/>
      <c r="BC2" s="49"/>
      <c r="BD2" s="49"/>
      <c r="BE2" s="49"/>
      <c r="BF2" s="49"/>
      <c r="BG2" s="49"/>
      <c r="BH2" s="49"/>
      <c r="BI2" s="49"/>
      <c r="BJ2" s="47" t="s">
        <v>86</v>
      </c>
      <c r="BK2" s="47"/>
      <c r="BL2" s="49"/>
      <c r="BM2" s="53"/>
      <c r="BN2" s="55"/>
      <c r="BO2" s="11" t="s">
        <v>12</v>
      </c>
      <c r="BP2" s="11">
        <v>0.99</v>
      </c>
      <c r="BR2" s="1" t="s">
        <v>67</v>
      </c>
    </row>
    <row r="3" spans="1:70" x14ac:dyDescent="0.35">
      <c r="A3" s="16">
        <v>-29</v>
      </c>
      <c r="B3" s="7">
        <f>0.151140511695727*[11]syngas_streams_zaryad!$E$2</f>
        <v>1.3573065772285631</v>
      </c>
      <c r="C3" s="7">
        <f>[11]gas_streams_zaryad!$E$13</f>
        <v>0.53490082339989498</v>
      </c>
      <c r="D3" s="17">
        <f>[11]electric_zaryad!$E$5</f>
        <v>30.986591305145652</v>
      </c>
      <c r="E3" s="17">
        <f>[11]GTU_input_zaryad!$B$3</f>
        <v>0.73588997409220303</v>
      </c>
      <c r="F3" s="17">
        <f>[11]electric_zaryad!$C$5</f>
        <v>121.90753310811439</v>
      </c>
      <c r="G3" s="17">
        <f>[11]electric_zaryad!$B$7</f>
        <v>33.887754999464377</v>
      </c>
      <c r="H3" s="17">
        <f>[11]electric_zaryad!$C$12</f>
        <v>4.5325923484594619E-2</v>
      </c>
      <c r="I3" s="17">
        <f>[11]electric_zaryad!$C$6</f>
        <v>6.208547931513225</v>
      </c>
      <c r="J3" s="17">
        <f>[11]electric_zaryad!$C$2</f>
        <v>2.6908272596112912</v>
      </c>
      <c r="K3" s="17">
        <f>[11]heaters_zaryad!$B$9</f>
        <v>101.1922804740301</v>
      </c>
      <c r="L3" s="17">
        <f>[11]heaters_zaryad!$B$8</f>
        <v>19.996883255066841</v>
      </c>
      <c r="M3" s="17">
        <f>[11]heaters_zaryad!$B$10</f>
        <v>8.3705798361545618</v>
      </c>
      <c r="N3" s="17">
        <f t="shared" ref="N3:N10" si="0">K3+L3+M3</f>
        <v>129.55974356525149</v>
      </c>
      <c r="O3" s="17">
        <f>[11]heaters_zaryad!$B$17/1000</f>
        <v>27.60586519342403</v>
      </c>
      <c r="P3" s="18">
        <f>[11]heaters_zaryad!$B$11/1000</f>
        <v>25.894952169811468</v>
      </c>
      <c r="Q3" s="17">
        <f>[11]gas_streams_zaryad!$E$4</f>
        <v>10.26859279113935</v>
      </c>
      <c r="R3" s="17">
        <f>[2]!PropsSI("H","P",[11]gas_streams_zaryad!$C$4*10^6,"T",[11]gas_streams_zaryad!$B$4+273.15,"REFPROP::"&amp;[2]!MixtureString($R$16:$R$20,$S$16:$S$20))/1000-[2]!PropsSI("H","P",[11]gas_streams_zaryad!$C$4*10^6,"T",S13+273.15,"REFPROP::"&amp;[2]!MixtureString($R$16:$R$20,$S$16:$S$20))/1000</f>
        <v>1246.7674708223194</v>
      </c>
      <c r="S3" s="19">
        <f>R3*Q3/1000</f>
        <v>12.802547463113109</v>
      </c>
      <c r="T3" s="17">
        <f t="shared" ref="T3:T11" si="1">F3+G3*$BP$2*$BP$3-H3/$BP$1/$BP$2-I3-J3/$BP$1/$BP$2</f>
        <v>145.66763129388545</v>
      </c>
      <c r="U3" s="16">
        <f>N3+O3</f>
        <v>157.16560875867552</v>
      </c>
      <c r="V3" s="16">
        <f>C3*$R$14</f>
        <v>26.852021334674728</v>
      </c>
      <c r="W3" s="16">
        <f t="shared" ref="W3:W11" si="2">B3*$R$14</f>
        <v>68.136790176873873</v>
      </c>
      <c r="X3" s="20">
        <f t="shared" ref="X3:X9" si="3">T3/((100*F3)/D3-N3)</f>
        <v>0.55206297744012345</v>
      </c>
      <c r="Y3" s="20">
        <f>T3/((100*F3)/D3-N3-P3+S3)</f>
        <v>0.58088574683661232</v>
      </c>
      <c r="Z3" s="20">
        <f t="shared" ref="Z3:Z10" si="4">(T3+P3+N3)/((100*F3)/D3+S3)</f>
        <v>0.74127377750120327</v>
      </c>
      <c r="AA3" s="20">
        <f>(AF3+AG3)*AH3/(V3+W3-O3-S3+P3)</f>
        <v>0.96121038612455645</v>
      </c>
      <c r="AB3" s="20">
        <f t="shared" ref="AB3:AB10" si="5">(T3)/((100*F3)/D3+$R$14*(B3+C3)-(AF3+AG3)*AH3-U3)</f>
        <v>0.57374367995222175</v>
      </c>
      <c r="AC3" s="20">
        <f>((AF3+AG3)*AH3+U3+T3)/((100*F3)/D3+$R$14*(B3+C3))</f>
        <v>0.77841914252614564</v>
      </c>
      <c r="AD3" s="16">
        <f>(100*F3)/D3+$R$14*(B3+C3)</f>
        <v>488.4090877452573</v>
      </c>
      <c r="AE3" s="16">
        <f>AD3/$R$14</f>
        <v>9.7292646961206621</v>
      </c>
      <c r="AF3" s="7">
        <f>[11]syngas_streams_razryad!$E$10</f>
        <v>1.0811111111111109</v>
      </c>
      <c r="AG3" s="7">
        <f>[11]syngas_streams_razryad!$E$9</f>
        <v>2.2045624987878698</v>
      </c>
      <c r="AH3" s="17">
        <f>[11]accumulation_razryad!$E$3</f>
        <v>23.54273504191962</v>
      </c>
      <c r="AI3" s="17">
        <f>[11]electric_razryad!$E$5</f>
        <v>34.07583168780608</v>
      </c>
      <c r="AJ3" s="17">
        <f>[11]GTU_input_razryad!$B$3</f>
        <v>1</v>
      </c>
      <c r="AK3" s="17">
        <f>[11]electric_razryad!$C$5</f>
        <v>165.66</v>
      </c>
      <c r="AL3" s="17">
        <f>[11]electric_razryad!$B$7</f>
        <v>52.020706778619328</v>
      </c>
      <c r="AM3" s="17">
        <f>[11]electric_razryad!$C$12</f>
        <v>0.19855924402535011</v>
      </c>
      <c r="AN3" s="17">
        <f>[11]electric_razryad!$C$6</f>
        <v>6.3013810203264402</v>
      </c>
      <c r="AO3" s="17">
        <f>[11]electric_razryad!$C$2</f>
        <v>1.175026833604967</v>
      </c>
      <c r="AP3" s="17">
        <f>[11]electric_razryad!$B$13</f>
        <v>31213.3847120629</v>
      </c>
      <c r="AQ3" s="17">
        <f>[11]electric_razryad!$B$14</f>
        <v>46839.366324814247</v>
      </c>
      <c r="AR3" s="17">
        <f>[11]heaters_razryad!$B$9</f>
        <v>96.481437583324066</v>
      </c>
      <c r="AS3" s="17">
        <f>[11]heaters_razryad!$B$8</f>
        <v>29.905318915199949</v>
      </c>
      <c r="AT3" s="17">
        <f>[11]heaters_razryad!$B$10</f>
        <v>8.163754172766243</v>
      </c>
      <c r="AU3" s="17">
        <f t="shared" ref="AU3:AU10" si="6">AT3+AS3+AR3</f>
        <v>134.55051067129025</v>
      </c>
      <c r="AV3" s="17">
        <f>[11]heaters_razryad!$B$18/1000</f>
        <v>22.587263718247812</v>
      </c>
      <c r="AW3" s="18">
        <f t="shared" ref="AW3:AW11" si="7">AK3+AL3*$BP$2*$BP$3-AM3/$BP$1/$BP$2-AN3-AO3/$BP$1/$BP$2</f>
        <v>208.36862376526364</v>
      </c>
      <c r="AX3" s="17">
        <f t="shared" ref="AX3:AX11" si="8">(-AP3/1000/$BP$2+AQ3/1000)*$BP$2*$BP$3</f>
        <v>14.854436190513141</v>
      </c>
      <c r="AY3" s="19">
        <f t="shared" ref="AY3:AY11" si="9">AW3+AX3</f>
        <v>223.22305995577676</v>
      </c>
      <c r="AZ3" s="19">
        <f t="shared" ref="AZ3:AZ10" si="10">AU3+AV3</f>
        <v>157.13777438953807</v>
      </c>
      <c r="BA3" s="16">
        <f>(100*AK3)/AI3</f>
        <v>486.15101024601216</v>
      </c>
      <c r="BB3" s="16">
        <f>AG3*AH3</f>
        <v>51.901430792315061</v>
      </c>
      <c r="BC3" s="20">
        <f t="shared" ref="BC3:BC11" si="11">AW3/((100*AK3)/AI3-AU3)</f>
        <v>0.59262891838121889</v>
      </c>
      <c r="BD3" s="20">
        <f>AW3/(BA3-AU3)</f>
        <v>0.59262891838121889</v>
      </c>
      <c r="BE3" s="20">
        <f>(AW3+AU3)/(BA3)</f>
        <v>0.70537575199735347</v>
      </c>
      <c r="BF3" s="20">
        <f>AX3/(BB3-AV3)</f>
        <v>0.50673233024089925</v>
      </c>
      <c r="BG3" s="20">
        <f>(AX3+AV3)/(BB3)</f>
        <v>0.7214001490360622</v>
      </c>
      <c r="BH3" s="20">
        <f>AY3/(BB3+BA3-AZ3)</f>
        <v>0.58601854824769162</v>
      </c>
      <c r="BI3" s="20">
        <f>(AY3+AZ3)/(BA3+BB3)</f>
        <v>0.70692149191126996</v>
      </c>
      <c r="BJ3" s="16">
        <f>BA3-AF3*AH3</f>
        <v>460.69869780624794</v>
      </c>
      <c r="BK3" s="16">
        <f>BJ3/$R$14</f>
        <v>9.1772648965388033</v>
      </c>
      <c r="BL3" s="16">
        <f t="shared" ref="BL3:BL11" si="12">ABS(AZ3-U3)/U3*100</f>
        <v>1.7710216221788519E-2</v>
      </c>
      <c r="BM3" s="18">
        <f>T3-'Без ПКМ'!B3</f>
        <v>-29.396624211228811</v>
      </c>
      <c r="BN3" s="19">
        <f>AY3-'Без ПКМ'!H3</f>
        <v>18.085370366866584</v>
      </c>
      <c r="BO3" s="11" t="s">
        <v>13</v>
      </c>
      <c r="BP3" s="11">
        <v>0.98</v>
      </c>
      <c r="BR3" s="1" t="s">
        <v>65</v>
      </c>
    </row>
    <row r="4" spans="1:70" x14ac:dyDescent="0.35">
      <c r="A4" s="16">
        <v>-25</v>
      </c>
      <c r="B4" s="7">
        <f>0.151140511695727*[12]syngas_streams_zaryad!$E$2</f>
        <v>1.3573144975210651</v>
      </c>
      <c r="C4" s="7">
        <f>[12]gas_streams_zaryad!$E$13</f>
        <v>0.53531649896478695</v>
      </c>
      <c r="D4" s="17">
        <f>[12]electric_zaryad!$E$5</f>
        <v>31.70925778133395</v>
      </c>
      <c r="E4" s="17">
        <f>[12]GTU_input_zaryad!$B$3</f>
        <v>0.78691558831772346</v>
      </c>
      <c r="F4" s="17">
        <f>[12]electric_zaryad!$C$5</f>
        <v>130.36043636071409</v>
      </c>
      <c r="G4" s="17">
        <f>[12]electric_zaryad!$B$7</f>
        <v>35.826456044471698</v>
      </c>
      <c r="H4" s="17">
        <f>[12]electric_zaryad!$C$12</f>
        <v>4.5194999180042987E-2</v>
      </c>
      <c r="I4" s="17">
        <f>[12]electric_zaryad!$C$6</f>
        <v>6.2264831286374731</v>
      </c>
      <c r="J4" s="17">
        <f>[12]electric_zaryad!$C$2</f>
        <v>2.5732549513867569</v>
      </c>
      <c r="K4" s="17">
        <f>[12]heaters_zaryad!$B$9</f>
        <v>105.3926834566134</v>
      </c>
      <c r="L4" s="17">
        <f>[12]heaters_zaryad!$B$8</f>
        <v>21.48769704102903</v>
      </c>
      <c r="M4" s="17">
        <f>[12]heaters_zaryad!$B$10</f>
        <v>8.9931756293916063</v>
      </c>
      <c r="N4" s="17">
        <f t="shared" si="0"/>
        <v>135.87355612703402</v>
      </c>
      <c r="O4" s="17">
        <f>[12]heaters_zaryad!$B$17/1000</f>
        <v>27.882042654951722</v>
      </c>
      <c r="P4" s="18">
        <f>[12]heaters_zaryad!$B$11/1000</f>
        <v>25.881955255314221</v>
      </c>
      <c r="Q4" s="17">
        <f>[12]gas_streams_zaryad!$E$4</f>
        <v>10.27657259397826</v>
      </c>
      <c r="R4" s="17">
        <f>[2]!PropsSI("H","P",[12]gas_streams_zaryad!$C$4*10^6,"T",[12]gas_streams_zaryad!$B$4+273.15,"REFPROP::"&amp;[2]!MixtureString($R$16:$R$20,$S$16:$S$20))/1000-[2]!PropsSI("H","P",[12]gas_streams_zaryad!$C$4*10^6,"T",R14+273.15,"REFPROP::"&amp;[2]!MixtureString($R$16:$R$20,$S$16:$S$20))/1000</f>
        <v>1005.1820610676375</v>
      </c>
      <c r="S4" s="19">
        <f t="shared" ref="S4:S10" si="13">R4*Q4/1000</f>
        <v>10.329826420726265</v>
      </c>
      <c r="T4" s="17">
        <f t="shared" si="1"/>
        <v>156.10867673908996</v>
      </c>
      <c r="U4" s="16">
        <f t="shared" ref="U4:U10" si="14">N4+O4</f>
        <v>163.75559878198575</v>
      </c>
      <c r="V4" s="16">
        <f t="shared" ref="V4:V11" si="15">C4*$R$14</f>
        <v>26.872888248032307</v>
      </c>
      <c r="W4" s="16">
        <f t="shared" si="2"/>
        <v>68.137187775557479</v>
      </c>
      <c r="X4" s="20">
        <f t="shared" si="3"/>
        <v>0.56717696329004286</v>
      </c>
      <c r="Y4" s="20">
        <f t="shared" ref="Y4:Y11" si="16">T4/((100*F4)/D4-N4-P4+S4)</f>
        <v>0.60114418586221563</v>
      </c>
      <c r="Z4" s="20">
        <f t="shared" si="4"/>
        <v>0.75423100280500166</v>
      </c>
      <c r="AA4" s="20">
        <f t="shared" ref="AA4:AA10" si="17">(AF4+AG4)*AH4/(V4+W4-O4-S4+P4)</f>
        <v>0.93557802949086455</v>
      </c>
      <c r="AB4" s="20">
        <f t="shared" si="5"/>
        <v>0.5890619337934917</v>
      </c>
      <c r="AC4" s="20">
        <f t="shared" ref="AC4:AC10" si="18">((AF4+AG4)*AH4+U4+T4)/((100*F4)/D4+$R$14*(B4+C4))</f>
        <v>0.78482712593604298</v>
      </c>
      <c r="AD4" s="16">
        <f t="shared" ref="AD4:AD11" si="19">(100*F4)/D4+$R$14*(B4+C4)</f>
        <v>506.12167396661187</v>
      </c>
      <c r="AE4" s="16">
        <f t="shared" ref="AE4:AE11" si="20">AD4/$R$14</f>
        <v>10.082105059095854</v>
      </c>
      <c r="AF4" s="7">
        <f>[12]syngas_streams_razryad!$E$10</f>
        <v>1.0811111111111109</v>
      </c>
      <c r="AG4" s="7">
        <f>[12]syngas_streams_razryad!$E$9</f>
        <v>2.2045624987878698</v>
      </c>
      <c r="AH4" s="17">
        <f>[12]accumulation_razryad!$E$3</f>
        <v>23.54273504191962</v>
      </c>
      <c r="AI4" s="17">
        <f>[12]electric_razryad!$E$5</f>
        <v>34.082383064645562</v>
      </c>
      <c r="AJ4" s="17">
        <f>[12]GTU_input_razryad!$B$3</f>
        <v>1</v>
      </c>
      <c r="AK4" s="17">
        <f>[12]electric_razryad!$C$5</f>
        <v>165.66</v>
      </c>
      <c r="AL4" s="17">
        <f>[12]electric_razryad!$B$7</f>
        <v>51.379684561827979</v>
      </c>
      <c r="AM4" s="17">
        <f>[12]electric_razryad!$C$12</f>
        <v>0.1756939096411545</v>
      </c>
      <c r="AN4" s="17">
        <f>[12]electric_razryad!$C$6</f>
        <v>6.3013810203264402</v>
      </c>
      <c r="AO4" s="17">
        <f>[12]electric_razryad!$C$2</f>
        <v>1.0782754833688259</v>
      </c>
      <c r="AP4" s="17">
        <f>[12]electric_razryad!$B$13</f>
        <v>31232.48568046244</v>
      </c>
      <c r="AQ4" s="17">
        <f>[12]electric_razryad!$B$14</f>
        <v>46866.747109419157</v>
      </c>
      <c r="AR4" s="17">
        <f>[12]heaters_razryad!$B$9</f>
        <v>101.67311258772661</v>
      </c>
      <c r="AS4" s="17">
        <f>[12]heaters_razryad!$B$8</f>
        <v>30.398025766821181</v>
      </c>
      <c r="AT4" s="17">
        <f>[12]heaters_razryad!$B$10</f>
        <v>8.850708784399119</v>
      </c>
      <c r="AU4" s="17">
        <f t="shared" si="6"/>
        <v>140.9218471389469</v>
      </c>
      <c r="AV4" s="17">
        <f>[12]heaters_razryad!$B$18/1000</f>
        <v>22.80670693068636</v>
      </c>
      <c r="AW4" s="18">
        <f t="shared" si="7"/>
        <v>207.87388815154313</v>
      </c>
      <c r="AX4" s="17">
        <f t="shared" si="8"/>
        <v>14.862282078705276</v>
      </c>
      <c r="AY4" s="19">
        <f t="shared" si="9"/>
        <v>222.7361702302484</v>
      </c>
      <c r="AZ4" s="19">
        <f t="shared" si="10"/>
        <v>163.72855406963328</v>
      </c>
      <c r="BA4" s="16">
        <f t="shared" ref="BA4:BA11" si="21">(100*AK4)/AI4</f>
        <v>486.0575614263397</v>
      </c>
      <c r="BB4" s="16">
        <f t="shared" ref="BB4:BB11" si="22">AG4*AH4</f>
        <v>51.901430792315061</v>
      </c>
      <c r="BC4" s="20">
        <f t="shared" si="11"/>
        <v>0.6022960810669612</v>
      </c>
      <c r="BD4" s="20">
        <f t="shared" ref="BD4:BD11" si="23">AW4/(BA4-AU4)</f>
        <v>0.6022960810669612</v>
      </c>
      <c r="BE4" s="20">
        <f t="shared" ref="BE4:BE11" si="24">(AW4+AU4)/(BA4)</f>
        <v>0.71760170599331119</v>
      </c>
      <c r="BF4" s="20">
        <f t="shared" ref="BF4:BF11" si="25">AX4/(BB4-AV4)</f>
        <v>0.51082396070808755</v>
      </c>
      <c r="BG4" s="20">
        <f t="shared" ref="BG4:BG11" si="26">(AX4+AV4)/(BB4)</f>
        <v>0.72577939440870309</v>
      </c>
      <c r="BH4" s="20">
        <f t="shared" ref="BH4:BH11" si="27">AY4/(BB4+BA4-AZ4)</f>
        <v>0.59518453745217037</v>
      </c>
      <c r="BI4" s="20">
        <f t="shared" ref="BI4:BI11" si="28">(AY4+AZ4)/(BA4+BB4)</f>
        <v>0.71839067640829057</v>
      </c>
      <c r="BJ4" s="16">
        <f t="shared" ref="BJ4:BJ11" si="29">BA4-AF4*AH4</f>
        <v>460.60524898657548</v>
      </c>
      <c r="BK4" s="16">
        <f t="shared" ref="BK4:BK11" si="30">BJ4/$R$14</f>
        <v>9.175403366266444</v>
      </c>
      <c r="BL4" s="16">
        <f t="shared" si="12"/>
        <v>1.6515290196876385E-2</v>
      </c>
      <c r="BM4" s="18">
        <f>T4-'Без ПКМ'!B4</f>
        <v>-31.348543932659112</v>
      </c>
      <c r="BN4" s="19">
        <f>AY4-'Без ПКМ'!H4</f>
        <v>17.608058225633869</v>
      </c>
      <c r="BO4" s="17" t="s">
        <v>28</v>
      </c>
      <c r="BP4" s="17">
        <v>50.2</v>
      </c>
      <c r="BR4" s="1" t="s">
        <v>31</v>
      </c>
    </row>
    <row r="5" spans="1:70" x14ac:dyDescent="0.35">
      <c r="A5" s="16">
        <v>-20</v>
      </c>
      <c r="B5" s="7">
        <f>0.151140511695727*[13]syngas_streams_zaryad!$E$2</f>
        <v>1.3573172022115221</v>
      </c>
      <c r="C5" s="7">
        <f>[13]gas_streams_zaryad!$E$13</f>
        <v>0.53541446663542436</v>
      </c>
      <c r="D5" s="17">
        <f>[13]electric_zaryad!$E$5</f>
        <v>32.194116049520481</v>
      </c>
      <c r="E5" s="17">
        <f>[13]GTU_input_zaryad!$B$3</f>
        <v>0.8193872626715365</v>
      </c>
      <c r="F5" s="17">
        <f>[13]electric_zaryad!$C$5</f>
        <v>135.7396939341667</v>
      </c>
      <c r="G5" s="17">
        <f>[13]electric_zaryad!$B$7</f>
        <v>38.493123156767822</v>
      </c>
      <c r="H5" s="17">
        <f>[13]electric_zaryad!$C$12</f>
        <v>4.4182308670529739E-2</v>
      </c>
      <c r="I5" s="17">
        <f>[13]electric_zaryad!$C$6</f>
        <v>6.237896727264939</v>
      </c>
      <c r="J5" s="17">
        <f>[13]electric_zaryad!$C$2</f>
        <v>2.163096221707324</v>
      </c>
      <c r="K5" s="17">
        <f>[13]heaters_zaryad!$B$9</f>
        <v>105.80885065285911</v>
      </c>
      <c r="L5" s="17">
        <f>[13]heaters_zaryad!$B$8</f>
        <v>25.18479056152675</v>
      </c>
      <c r="M5" s="17">
        <f>[13]heaters_zaryad!$B$10</f>
        <v>9.2302569005209794</v>
      </c>
      <c r="N5" s="17">
        <f t="shared" si="0"/>
        <v>140.22389811490683</v>
      </c>
      <c r="O5" s="17">
        <f>[13]heaters_zaryad!$B$17/1000</f>
        <v>28.216283901721667</v>
      </c>
      <c r="P5" s="18">
        <f>[13]heaters_zaryad!$B$11/1000</f>
        <v>25.878918616130768</v>
      </c>
      <c r="Q5" s="17">
        <f>[13]gas_streams_zaryad!$E$4</f>
        <v>10.27845329797508</v>
      </c>
      <c r="R5" s="17">
        <f>[2]!PropsSI("H","P",[13]gas_streams_zaryad!$C$4*10^6,"T",[13]gas_streams_zaryad!$B$4+273.15,"REFPROP::"&amp;[2]!MixtureString($R$16:$R$20,$S$16:$S$20))/1000-[2]!PropsSI("H","P",[13]gas_streams_zaryad!$C$4*10^6,"T",S15+273.15,"REFPROP::"&amp;[2]!MixtureString($R$16:$R$20,$S$16:$S$20))/1000</f>
        <v>1246.7674708223194</v>
      </c>
      <c r="S5" s="19">
        <f t="shared" si="13"/>
        <v>12.814841222281718</v>
      </c>
      <c r="T5" s="17">
        <f t="shared" si="1"/>
        <v>164.50090500611481</v>
      </c>
      <c r="U5" s="16">
        <f t="shared" si="14"/>
        <v>168.44018201662851</v>
      </c>
      <c r="V5" s="16">
        <f t="shared" si="15"/>
        <v>26.877806225098304</v>
      </c>
      <c r="W5" s="16">
        <f t="shared" si="2"/>
        <v>68.137323551018412</v>
      </c>
      <c r="X5" s="20">
        <f t="shared" si="3"/>
        <v>0.58456996191431299</v>
      </c>
      <c r="Y5" s="20">
        <f t="shared" si="16"/>
        <v>0.61302953267219085</v>
      </c>
      <c r="Z5" s="20">
        <f t="shared" si="4"/>
        <v>0.76098168410704603</v>
      </c>
      <c r="AA5" s="20">
        <f t="shared" si="17"/>
        <v>0.96858141508623508</v>
      </c>
      <c r="AB5" s="20">
        <f t="shared" si="5"/>
        <v>0.60735037102610789</v>
      </c>
      <c r="AC5" s="20">
        <f t="shared" si="18"/>
        <v>0.7941538372058633</v>
      </c>
      <c r="AD5" s="16">
        <f t="shared" si="19"/>
        <v>516.64401912153016</v>
      </c>
      <c r="AE5" s="16">
        <f t="shared" si="20"/>
        <v>10.291713528317333</v>
      </c>
      <c r="AF5" s="7">
        <f>[13]syngas_streams_razryad!$E$10</f>
        <v>1.0811111111111109</v>
      </c>
      <c r="AG5" s="7">
        <f>[13]syngas_streams_razryad!$E$9</f>
        <v>2.2045624987878698</v>
      </c>
      <c r="AH5" s="17">
        <f>[13]accumulation_razryad!$E$3</f>
        <v>23.54273504191962</v>
      </c>
      <c r="AI5" s="17">
        <f>[13]electric_razryad!$E$5</f>
        <v>34.091218921592109</v>
      </c>
      <c r="AJ5" s="17">
        <f>[13]GTU_input_razryad!$B$3</f>
        <v>1</v>
      </c>
      <c r="AK5" s="17">
        <f>[13]electric_razryad!$C$5</f>
        <v>165.66</v>
      </c>
      <c r="AL5" s="17">
        <f>[13]electric_razryad!$B$7</f>
        <v>52.842214951994102</v>
      </c>
      <c r="AM5" s="17">
        <f>[13]electric_razryad!$C$12</f>
        <v>0.16221822458913851</v>
      </c>
      <c r="AN5" s="17">
        <f>[13]electric_razryad!$C$6</f>
        <v>6.3013810203264402</v>
      </c>
      <c r="AO5" s="17">
        <f>[13]electric_razryad!$C$2</f>
        <v>0.95438804676765387</v>
      </c>
      <c r="AP5" s="17">
        <f>[13]electric_razryad!$B$13</f>
        <v>31256.402985641711</v>
      </c>
      <c r="AQ5" s="17">
        <f>[13]electric_razryad!$B$14</f>
        <v>46901.031993915138</v>
      </c>
      <c r="AR5" s="17">
        <f>[13]heaters_razryad!$B$9</f>
        <v>101.1587207873238</v>
      </c>
      <c r="AS5" s="17">
        <f>[13]heaters_razryad!$B$8</f>
        <v>34.959519222982259</v>
      </c>
      <c r="AT5" s="17">
        <f>[13]heaters_razryad!$B$10</f>
        <v>8.9854149053392511</v>
      </c>
      <c r="AU5" s="17">
        <f t="shared" si="6"/>
        <v>145.10365491564531</v>
      </c>
      <c r="AV5" s="17">
        <f>[13]heaters_razryad!$B$18/1000</f>
        <v>23.315200239376711</v>
      </c>
      <c r="AW5" s="18">
        <f t="shared" si="7"/>
        <v>209.43888842864285</v>
      </c>
      <c r="AX5" s="17">
        <f t="shared" si="8"/>
        <v>14.872106314567592</v>
      </c>
      <c r="AY5" s="19">
        <f t="shared" si="9"/>
        <v>224.31099474321044</v>
      </c>
      <c r="AZ5" s="19">
        <f t="shared" si="10"/>
        <v>168.41885515502202</v>
      </c>
      <c r="BA5" s="16">
        <f t="shared" si="21"/>
        <v>485.93158367557555</v>
      </c>
      <c r="BB5" s="16">
        <f t="shared" si="22"/>
        <v>51.901430792315061</v>
      </c>
      <c r="BC5" s="20">
        <f t="shared" si="11"/>
        <v>0.61450037029144344</v>
      </c>
      <c r="BD5" s="20">
        <f t="shared" si="23"/>
        <v>0.61450037029144344</v>
      </c>
      <c r="BE5" s="20">
        <f t="shared" si="24"/>
        <v>0.7296141169967516</v>
      </c>
      <c r="BF5" s="20">
        <f t="shared" si="25"/>
        <v>0.52025419325665179</v>
      </c>
      <c r="BG5" s="20">
        <f t="shared" si="26"/>
        <v>0.7357659696656883</v>
      </c>
      <c r="BH5" s="20">
        <f t="shared" si="27"/>
        <v>0.60720735545286542</v>
      </c>
      <c r="BI5" s="20">
        <f t="shared" si="28"/>
        <v>0.7302077770119465</v>
      </c>
      <c r="BJ5" s="16">
        <f t="shared" si="29"/>
        <v>460.47927123581132</v>
      </c>
      <c r="BK5" s="16">
        <f t="shared" si="30"/>
        <v>9.1728938493189496</v>
      </c>
      <c r="BL5" s="16">
        <f t="shared" si="12"/>
        <v>1.2661385989473195E-2</v>
      </c>
      <c r="BM5" s="18">
        <f>T5-'Без ПКМ'!B5</f>
        <v>-33.351121993257834</v>
      </c>
      <c r="BN5" s="19">
        <f>AY5-'Без ПКМ'!H5</f>
        <v>17.361635231865421</v>
      </c>
      <c r="BO5" s="17"/>
      <c r="BP5" s="17"/>
    </row>
    <row r="6" spans="1:70" x14ac:dyDescent="0.35">
      <c r="A6" s="16">
        <v>-15</v>
      </c>
      <c r="B6" s="7">
        <f>0.151140511695727*[14]syngas_streams_zaryad!$E$2</f>
        <v>1.3573095030807933</v>
      </c>
      <c r="C6" s="7">
        <f>[14]gas_streams_zaryad!$E$13</f>
        <v>0.53496756887062047</v>
      </c>
      <c r="D6" s="17">
        <f>[14]electric_zaryad!$E$5</f>
        <v>32.069733035908357</v>
      </c>
      <c r="E6" s="17">
        <f>[14]GTU_input_zaryad!$B$3</f>
        <v>0.8107283962739269</v>
      </c>
      <c r="F6" s="17">
        <f>[14]electric_zaryad!$C$5</f>
        <v>134.3052661267387</v>
      </c>
      <c r="G6" s="17">
        <f>[14]electric_zaryad!$B$7</f>
        <v>40.45923511652564</v>
      </c>
      <c r="H6" s="17">
        <f>[14]electric_zaryad!$C$12</f>
        <v>4.4880748562026923E-2</v>
      </c>
      <c r="I6" s="17">
        <f>[14]electric_zaryad!$C$6</f>
        <v>6.2348531877001374</v>
      </c>
      <c r="J6" s="17">
        <f>[14]electric_zaryad!$C$2</f>
        <v>2.118453390288177</v>
      </c>
      <c r="K6" s="17">
        <f>[14]heaters_zaryad!$B$9</f>
        <v>101.1172097942169</v>
      </c>
      <c r="L6" s="17">
        <f>[14]heaters_zaryad!$B$8</f>
        <v>29.863495739063261</v>
      </c>
      <c r="M6" s="17">
        <f>[14]heaters_zaryad!$B$10</f>
        <v>8.8259144128236802</v>
      </c>
      <c r="N6" s="17">
        <f t="shared" si="0"/>
        <v>139.80661994610387</v>
      </c>
      <c r="O6" s="17">
        <f>[14]heaters_zaryad!$B$17/1000</f>
        <v>28.417698762719908</v>
      </c>
      <c r="P6" s="18">
        <f>[14]heaters_zaryad!$B$11/1000</f>
        <v>25.892917572779549</v>
      </c>
      <c r="Q6" s="17">
        <f>[14]gas_streams_zaryad!$E$4</f>
        <v>10.26987411662914</v>
      </c>
      <c r="R6" s="17">
        <f>[2]!PropsSI("H","P",[14]gas_streams_zaryad!$C$4*10^6,"T",[14]gas_streams_zaryad!$B$4+273.15,"REFPROP::"&amp;[2]!MixtureString($R$16:$R$20,$S$16:$S$20))/1000-[2]!PropsSI("H","P",[14]gas_streams_zaryad!$C$4*10^6,"T",S16+273.15,"REFPROP::"&amp;[2]!MixtureString($R$16:$R$20,$S$16:$S$20))/1000</f>
        <v>1245.3598293915852</v>
      </c>
      <c r="S6" s="19">
        <f t="shared" si="13"/>
        <v>12.789688677758322</v>
      </c>
      <c r="T6" s="17">
        <f t="shared" si="1"/>
        <v>165.02376706084058</v>
      </c>
      <c r="U6" s="16">
        <f t="shared" si="14"/>
        <v>168.22431870882377</v>
      </c>
      <c r="V6" s="16">
        <f t="shared" si="15"/>
        <v>26.855371957305149</v>
      </c>
      <c r="W6" s="16">
        <f t="shared" si="2"/>
        <v>68.136937054655832</v>
      </c>
      <c r="X6" s="20">
        <f t="shared" si="3"/>
        <v>0.5915154221563963</v>
      </c>
      <c r="Y6" s="20">
        <f t="shared" si="16"/>
        <v>0.62066661206956919</v>
      </c>
      <c r="Z6" s="20">
        <f t="shared" si="4"/>
        <v>0.76630639261604871</v>
      </c>
      <c r="AA6" s="20">
        <f t="shared" si="17"/>
        <v>0.97083133858618953</v>
      </c>
      <c r="AB6" s="20">
        <f t="shared" si="5"/>
        <v>0.61528831727703792</v>
      </c>
      <c r="AC6" s="20">
        <f t="shared" si="18"/>
        <v>0.79917262115013055</v>
      </c>
      <c r="AD6" s="16">
        <f t="shared" si="19"/>
        <v>513.78365341248218</v>
      </c>
      <c r="AE6" s="16">
        <f t="shared" si="20"/>
        <v>10.234734131722751</v>
      </c>
      <c r="AF6" s="7">
        <f>[14]syngas_streams_razryad!$E$10</f>
        <v>1.0811111111111109</v>
      </c>
      <c r="AG6" s="7">
        <f>[14]syngas_streams_razryad!$E$9</f>
        <v>2.2045624987878698</v>
      </c>
      <c r="AH6" s="17">
        <f>[14]accumulation_razryad!$E$3</f>
        <v>23.54273504191962</v>
      </c>
      <c r="AI6" s="17">
        <f>[14]electric_razryad!$E$5</f>
        <v>34.094845350390223</v>
      </c>
      <c r="AJ6" s="17">
        <f>[14]GTU_input_razryad!$B$3</f>
        <v>1</v>
      </c>
      <c r="AK6" s="17">
        <f>[14]electric_razryad!$C$5</f>
        <v>165.66</v>
      </c>
      <c r="AL6" s="17">
        <f>[14]electric_razryad!$B$7</f>
        <v>55.700112123773543</v>
      </c>
      <c r="AM6" s="17">
        <f>[14]electric_razryad!$C$12</f>
        <v>0.16788294485997229</v>
      </c>
      <c r="AN6" s="17">
        <f>[14]electric_razryad!$C$6</f>
        <v>6.3013810203264402</v>
      </c>
      <c r="AO6" s="17">
        <f>[14]electric_razryad!$C$2</f>
        <v>0.82974775916926058</v>
      </c>
      <c r="AP6" s="17">
        <f>[14]electric_razryad!$B$13</f>
        <v>31280.365311004189</v>
      </c>
      <c r="AQ6" s="17">
        <f>[14]electric_razryad!$B$14</f>
        <v>46935.381408750429</v>
      </c>
      <c r="AR6" s="17">
        <f>[14]heaters_razryad!$B$9</f>
        <v>93.724218355841074</v>
      </c>
      <c r="AS6" s="17">
        <f>[14]heaters_razryad!$B$8</f>
        <v>42.336759989466387</v>
      </c>
      <c r="AT6" s="17">
        <f>[14]heaters_razryad!$B$10</f>
        <v>8.3241635327272245</v>
      </c>
      <c r="AU6" s="17">
        <f t="shared" si="6"/>
        <v>144.38514187803469</v>
      </c>
      <c r="AV6" s="17">
        <f>[14]heaters_razryad!$B$18/1000</f>
        <v>23.824187339316119</v>
      </c>
      <c r="AW6" s="18">
        <f t="shared" si="7"/>
        <v>212.33812272863477</v>
      </c>
      <c r="AX6" s="17">
        <f t="shared" si="8"/>
        <v>14.881949037985562</v>
      </c>
      <c r="AY6" s="19">
        <f t="shared" si="9"/>
        <v>227.22007176662032</v>
      </c>
      <c r="AZ6" s="19">
        <f t="shared" si="10"/>
        <v>168.20932921735081</v>
      </c>
      <c r="BA6" s="16">
        <f t="shared" si="21"/>
        <v>485.87989855218387</v>
      </c>
      <c r="BB6" s="16">
        <f t="shared" si="22"/>
        <v>51.901430792315061</v>
      </c>
      <c r="BC6" s="20">
        <f t="shared" si="11"/>
        <v>0.62179028690401139</v>
      </c>
      <c r="BD6" s="20">
        <f t="shared" si="23"/>
        <v>0.62179028690401139</v>
      </c>
      <c r="BE6" s="20">
        <f t="shared" si="24"/>
        <v>0.73417991909034919</v>
      </c>
      <c r="BF6" s="20">
        <f t="shared" si="25"/>
        <v>0.53003597247350198</v>
      </c>
      <c r="BG6" s="20">
        <f t="shared" si="26"/>
        <v>0.74576241514776931</v>
      </c>
      <c r="BH6" s="20">
        <f t="shared" si="27"/>
        <v>0.61481949846970885</v>
      </c>
      <c r="BI6" s="20">
        <f t="shared" si="28"/>
        <v>0.73529774911665235</v>
      </c>
      <c r="BJ6" s="16">
        <f t="shared" si="29"/>
        <v>460.42758611241965</v>
      </c>
      <c r="BK6" s="16">
        <f t="shared" si="30"/>
        <v>9.1718642651876419</v>
      </c>
      <c r="BL6" s="16">
        <f t="shared" si="12"/>
        <v>8.9104188906866943E-3</v>
      </c>
      <c r="BM6" s="18">
        <f>T6-'Без ПКМ'!B6</f>
        <v>-33.462718092524653</v>
      </c>
      <c r="BN6" s="19">
        <f>AY6-'Без ПКМ'!H6</f>
        <v>17.525188936083367</v>
      </c>
      <c r="BO6" s="17"/>
      <c r="BP6" s="17"/>
    </row>
    <row r="7" spans="1:70" x14ac:dyDescent="0.35">
      <c r="A7" s="16">
        <v>-10</v>
      </c>
      <c r="B7" s="7">
        <f>0.151140511695727*[15]syngas_streams_zaryad!$E$2</f>
        <v>1.3573127704966046</v>
      </c>
      <c r="C7" s="7">
        <f>[15]gas_streams_zaryad!$E$13</f>
        <v>0.53445693927144033</v>
      </c>
      <c r="D7" s="17">
        <f>[15]electric_zaryad!$E$5</f>
        <v>31.920055646096792</v>
      </c>
      <c r="E7" s="17">
        <f>[15]GTU_input_zaryad!$B$3</f>
        <v>0.80106278182885404</v>
      </c>
      <c r="F7" s="17">
        <f>[15]electric_zaryad!$C$5</f>
        <v>132.70406043776799</v>
      </c>
      <c r="G7" s="17">
        <f>[15]electric_zaryad!$B$7</f>
        <v>42.424310715795983</v>
      </c>
      <c r="H7" s="17">
        <f>[15]electric_zaryad!$C$12</f>
        <v>4.5306550351381383E-2</v>
      </c>
      <c r="I7" s="17">
        <f>[15]electric_zaryad!$C$6</f>
        <v>6.2314557822395553</v>
      </c>
      <c r="J7" s="17">
        <f>[15]electric_zaryad!$C$2</f>
        <v>2.0695175562895858</v>
      </c>
      <c r="K7" s="17">
        <f>[15]heaters_zaryad!$B$9</f>
        <v>95.24441370596297</v>
      </c>
      <c r="L7" s="17">
        <f>[15]heaters_zaryad!$B$8</f>
        <v>35.831253806773077</v>
      </c>
      <c r="M7" s="17">
        <f>[15]heaters_zaryad!$B$10</f>
        <v>8.3152684346880132</v>
      </c>
      <c r="N7" s="17">
        <f t="shared" si="0"/>
        <v>139.39093594742408</v>
      </c>
      <c r="O7" s="17">
        <f>[15]heaters_zaryad!$B$17/1000</f>
        <v>28.620279768173219</v>
      </c>
      <c r="P7" s="18">
        <f>[15]heaters_zaryad!$B$11/1000</f>
        <v>25.909294606782403</v>
      </c>
      <c r="Q7" s="17">
        <f>[15]gas_streams_zaryad!$E$4</f>
        <v>10.260071463143291</v>
      </c>
      <c r="R7" s="17">
        <f>[2]!PropsSI("H","P",[15]gas_streams_zaryad!$C$4*10^6,"T",[15]gas_streams_zaryad!$B$4+273.15,"REFPROP::"&amp;[2]!MixtureString($R$16:$R$20,$S$16:$S$20))/1000-[2]!PropsSI("H","P",[15]gas_streams_zaryad!$C$4*10^6,"T",S17+273.15,"REFPROP::"&amp;[2]!MixtureString($R$16:$R$20,$S$16:$S$20))/1000</f>
        <v>1246.4115417513406</v>
      </c>
      <c r="S7" s="19">
        <f t="shared" si="13"/>
        <v>12.788271490855362</v>
      </c>
      <c r="T7" s="17">
        <f t="shared" si="1"/>
        <v>165.3840541053579</v>
      </c>
      <c r="U7" s="16">
        <f t="shared" si="14"/>
        <v>168.0112157155973</v>
      </c>
      <c r="V7" s="16">
        <f t="shared" si="15"/>
        <v>26.829738351426307</v>
      </c>
      <c r="W7" s="16">
        <f t="shared" si="2"/>
        <v>68.137101078929561</v>
      </c>
      <c r="X7" s="20">
        <f t="shared" si="3"/>
        <v>0.59846326990461474</v>
      </c>
      <c r="Y7" s="20">
        <f t="shared" si="16"/>
        <v>0.62829476423107777</v>
      </c>
      <c r="Z7" s="20">
        <f t="shared" si="4"/>
        <v>0.77167650928510034</v>
      </c>
      <c r="AA7" s="20">
        <f t="shared" si="17"/>
        <v>0.97339997679389967</v>
      </c>
      <c r="AB7" s="20">
        <f t="shared" si="5"/>
        <v>0.62328944709714307</v>
      </c>
      <c r="AC7" s="20">
        <f t="shared" si="18"/>
        <v>0.8042773976247769</v>
      </c>
      <c r="AD7" s="16">
        <f t="shared" si="19"/>
        <v>510.70565238569964</v>
      </c>
      <c r="AE7" s="16">
        <f t="shared" si="20"/>
        <v>10.173419370233059</v>
      </c>
      <c r="AF7" s="7">
        <f>[15]syngas_streams_razryad!$E$10</f>
        <v>1.0811111111111109</v>
      </c>
      <c r="AG7" s="7">
        <f>[15]syngas_streams_razryad!$E$9</f>
        <v>2.2045624987878698</v>
      </c>
      <c r="AH7" s="17">
        <f>[15]accumulation_razryad!$E$3</f>
        <v>23.54273504191962</v>
      </c>
      <c r="AI7" s="17">
        <f>[15]electric_razryad!$E$5</f>
        <v>34.086911016241331</v>
      </c>
      <c r="AJ7" s="17">
        <f>[15]GTU_input_razryad!$B$3</f>
        <v>1</v>
      </c>
      <c r="AK7" s="17">
        <f>[15]electric_razryad!$C$5</f>
        <v>165.66</v>
      </c>
      <c r="AL7" s="17">
        <f>[15]electric_razryad!$B$7</f>
        <v>58.332542848605307</v>
      </c>
      <c r="AM7" s="17">
        <f>[15]electric_razryad!$C$12</f>
        <v>0.17291767715631051</v>
      </c>
      <c r="AN7" s="17">
        <f>[15]electric_razryad!$C$6</f>
        <v>6.3013810203264402</v>
      </c>
      <c r="AO7" s="17">
        <f>[15]electric_razryad!$C$2</f>
        <v>0.71059472373496291</v>
      </c>
      <c r="AP7" s="17">
        <f>[15]electric_razryad!$B$13</f>
        <v>31304.371981576129</v>
      </c>
      <c r="AQ7" s="17">
        <f>[15]electric_razryad!$B$14</f>
        <v>46969.794386349182</v>
      </c>
      <c r="AR7" s="17">
        <f>[15]heaters_razryad!$B$9</f>
        <v>85.033237399883092</v>
      </c>
      <c r="AS7" s="17">
        <f>[15]heaters_razryad!$B$8</f>
        <v>51.093411823069147</v>
      </c>
      <c r="AT7" s="17">
        <f>[15]heaters_razryad!$B$10</f>
        <v>7.5410856650993257</v>
      </c>
      <c r="AU7" s="17">
        <f t="shared" si="6"/>
        <v>143.66773488805157</v>
      </c>
      <c r="AV7" s="17">
        <f>[15]heaters_razryad!$B$18/1000</f>
        <v>24.333679118510567</v>
      </c>
      <c r="AW7" s="18">
        <f t="shared" si="7"/>
        <v>215.0134449265725</v>
      </c>
      <c r="AX7" s="17">
        <f t="shared" si="8"/>
        <v>14.891809971691364</v>
      </c>
      <c r="AY7" s="19">
        <f t="shared" si="9"/>
        <v>229.90525489826388</v>
      </c>
      <c r="AZ7" s="19">
        <f t="shared" si="10"/>
        <v>168.00141400656213</v>
      </c>
      <c r="BA7" s="16">
        <f t="shared" si="21"/>
        <v>485.99299573102496</v>
      </c>
      <c r="BB7" s="16">
        <f t="shared" si="22"/>
        <v>51.901430792315061</v>
      </c>
      <c r="BC7" s="20">
        <f t="shared" si="11"/>
        <v>0.62809692862601929</v>
      </c>
      <c r="BD7" s="20">
        <f t="shared" si="23"/>
        <v>0.62809692862601929</v>
      </c>
      <c r="BE7" s="20">
        <f t="shared" si="24"/>
        <v>0.73803775561641605</v>
      </c>
      <c r="BF7" s="20">
        <f t="shared" si="25"/>
        <v>0.54018949923442261</v>
      </c>
      <c r="BG7" s="20">
        <f t="shared" si="26"/>
        <v>0.755768935295132</v>
      </c>
      <c r="BH7" s="20">
        <f t="shared" si="27"/>
        <v>0.62154527692743489</v>
      </c>
      <c r="BI7" s="20">
        <f t="shared" si="28"/>
        <v>0.73974863706374594</v>
      </c>
      <c r="BJ7" s="16">
        <f t="shared" si="29"/>
        <v>460.54068329126073</v>
      </c>
      <c r="BK7" s="16">
        <f t="shared" si="30"/>
        <v>9.1741171970370665</v>
      </c>
      <c r="BL7" s="16">
        <f t="shared" si="12"/>
        <v>5.8339611396926814E-3</v>
      </c>
      <c r="BM7" s="18">
        <f>T7-'Без ПКМ'!B7</f>
        <v>-33.448801217417184</v>
      </c>
      <c r="BN7" s="19">
        <f>AY7-'Без ПКМ'!H7</f>
        <v>17.604679926886973</v>
      </c>
      <c r="BO7" s="17"/>
      <c r="BP7" s="17"/>
    </row>
    <row r="8" spans="1:70" x14ac:dyDescent="0.35">
      <c r="A8" s="16">
        <v>-5</v>
      </c>
      <c r="B8" s="7">
        <f>0.151140511695727*[16]syngas_streams_zaryad!$E$2</f>
        <v>1.3573096268465741</v>
      </c>
      <c r="C8" s="7">
        <f>[16]gas_streams_zaryad!$E$13</f>
        <v>0.53394220549657145</v>
      </c>
      <c r="D8" s="17">
        <f>[16]electric_zaryad!$E$5</f>
        <v>31.826955124044421</v>
      </c>
      <c r="E8" s="17">
        <f>[16]GTU_input_zaryad!$B$3</f>
        <v>0.79635805344723476</v>
      </c>
      <c r="F8" s="17">
        <f>[16]electric_zaryad!$C$5</f>
        <v>131.92467513406891</v>
      </c>
      <c r="G8" s="17">
        <f>[16]electric_zaryad!$B$7</f>
        <v>44.386817809084178</v>
      </c>
      <c r="H8" s="17">
        <f>[16]electric_zaryad!$C$12</f>
        <v>4.5394478927505047E-2</v>
      </c>
      <c r="I8" s="17">
        <f>[16]electric_zaryad!$C$6</f>
        <v>6.2298020984530664</v>
      </c>
      <c r="J8" s="17">
        <f>[16]electric_zaryad!$C$2</f>
        <v>1.9283794221568571</v>
      </c>
      <c r="K8" s="17">
        <f>[16]heaters_zaryad!$B$9</f>
        <v>88.388061586893286</v>
      </c>
      <c r="L8" s="17">
        <f>[16]heaters_zaryad!$B$8</f>
        <v>42.853799154155382</v>
      </c>
      <c r="M8" s="17">
        <f>[16]heaters_zaryad!$B$10</f>
        <v>7.712680030754318</v>
      </c>
      <c r="N8" s="17">
        <f t="shared" si="0"/>
        <v>138.95454077180298</v>
      </c>
      <c r="O8" s="17">
        <f>[16]heaters_zaryad!$B$17/1000</f>
        <v>28.846277892689479</v>
      </c>
      <c r="P8" s="18">
        <f>[16]heaters_zaryad!$B$11/1000</f>
        <v>25.925599608297283</v>
      </c>
      <c r="Q8" s="17">
        <f>[16]gas_streams_zaryad!$E$4</f>
        <v>10.25019002101654</v>
      </c>
      <c r="R8" s="17">
        <f>[2]!PropsSI("H","P",[16]gas_streams_zaryad!$C$4*10^6,"T",[16]gas_streams_zaryad!$B$4+273.15,"REFPROP::"&amp;[2]!MixtureString($R$16:$R$20,$S$16:$S$20))/1000-[2]!PropsSI("H","P",[16]gas_streams_zaryad!$C$4*10^6,"T",S18+273.15,"REFPROP::"&amp;[2]!MixtureString($R$16:$R$20,$S$16:$S$20))/1000</f>
        <v>1246.5891221948264</v>
      </c>
      <c r="S8" s="19">
        <f t="shared" si="13"/>
        <v>12.777775380629176</v>
      </c>
      <c r="T8" s="17">
        <f t="shared" si="1"/>
        <v>166.66032050430897</v>
      </c>
      <c r="U8" s="16">
        <f t="shared" si="14"/>
        <v>167.80081866449245</v>
      </c>
      <c r="V8" s="16">
        <f t="shared" si="15"/>
        <v>26.80389871592789</v>
      </c>
      <c r="W8" s="16">
        <f t="shared" si="2"/>
        <v>68.13694326769803</v>
      </c>
      <c r="X8" s="20">
        <f t="shared" si="3"/>
        <v>0.60482441847992396</v>
      </c>
      <c r="Y8" s="20">
        <f t="shared" si="16"/>
        <v>0.6351293403789009</v>
      </c>
      <c r="Z8" s="20">
        <f t="shared" si="4"/>
        <v>0.77592548777820181</v>
      </c>
      <c r="AA8" s="20">
        <f t="shared" si="17"/>
        <v>0.97616622710900969</v>
      </c>
      <c r="AB8" s="20">
        <f t="shared" si="5"/>
        <v>0.63059067815721181</v>
      </c>
      <c r="AC8" s="20">
        <f t="shared" si="18"/>
        <v>0.808356742428328</v>
      </c>
      <c r="AD8" s="16">
        <f t="shared" si="19"/>
        <v>509.44695675300045</v>
      </c>
      <c r="AE8" s="16">
        <f>AD8/$R$14</f>
        <v>10.148345752051801</v>
      </c>
      <c r="AF8" s="7">
        <f>[16]syngas_streams_razryad!$E$10</f>
        <v>1.0811111111111109</v>
      </c>
      <c r="AG8" s="7">
        <f>[16]syngas_streams_razryad!$E$9</f>
        <v>2.2045624987878698</v>
      </c>
      <c r="AH8" s="17">
        <f>[16]accumulation_razryad!$E$3</f>
        <v>23.54273504191962</v>
      </c>
      <c r="AI8" s="17">
        <f>[16]electric_razryad!$E$5</f>
        <v>34.061064584346838</v>
      </c>
      <c r="AJ8" s="17">
        <f>[16]GTU_input_razryad!$B$3</f>
        <v>1</v>
      </c>
      <c r="AK8" s="17">
        <f>[16]electric_razryad!$C$5</f>
        <v>165.66</v>
      </c>
      <c r="AL8" s="17">
        <f>[16]electric_razryad!$B$7</f>
        <v>60.766636887789858</v>
      </c>
      <c r="AM8" s="17">
        <f>[16]electric_razryad!$C$12</f>
        <v>0.18284538810335749</v>
      </c>
      <c r="AN8" s="17">
        <f>[16]electric_razryad!$C$6</f>
        <v>6.3013810203264402</v>
      </c>
      <c r="AO8" s="17">
        <f>[16]electric_razryad!$C$2</f>
        <v>0.71664451309031973</v>
      </c>
      <c r="AP8" s="17">
        <f>[16]electric_razryad!$B$13</f>
        <v>31328.42233743042</v>
      </c>
      <c r="AQ8" s="17">
        <f>[16]electric_razryad!$B$14</f>
        <v>47004.269980704878</v>
      </c>
      <c r="AR8" s="17">
        <f>[16]heaters_razryad!$B$9</f>
        <v>74.794168396931624</v>
      </c>
      <c r="AS8" s="17">
        <f>[16]heaters_razryad!$B$8</f>
        <v>61.550260151949693</v>
      </c>
      <c r="AT8" s="17">
        <f>[16]heaters_razryad!$B$10</f>
        <v>6.6070341630856664</v>
      </c>
      <c r="AU8" s="17">
        <f t="shared" si="6"/>
        <v>142.951462711967</v>
      </c>
      <c r="AV8" s="17">
        <f>[16]heaters_razryad!$B$18/1000</f>
        <v>24.843686457817743</v>
      </c>
      <c r="AW8" s="18">
        <f t="shared" si="7"/>
        <v>217.35801465897421</v>
      </c>
      <c r="AX8" s="17">
        <f t="shared" si="8"/>
        <v>14.901688844598056</v>
      </c>
      <c r="AY8" s="19">
        <f t="shared" si="9"/>
        <v>232.25970350357227</v>
      </c>
      <c r="AZ8" s="19">
        <f t="shared" si="10"/>
        <v>167.79514916978474</v>
      </c>
      <c r="BA8" s="16">
        <f t="shared" si="21"/>
        <v>486.36178000182355</v>
      </c>
      <c r="BB8" s="16">
        <f t="shared" si="22"/>
        <v>51.901430792315061</v>
      </c>
      <c r="BC8" s="20">
        <f t="shared" si="11"/>
        <v>0.63293967512196936</v>
      </c>
      <c r="BD8" s="20">
        <f t="shared" si="23"/>
        <v>0.63293967512196936</v>
      </c>
      <c r="BE8" s="20">
        <f t="shared" si="24"/>
        <v>0.7408260520997153</v>
      </c>
      <c r="BF8" s="20">
        <f t="shared" si="25"/>
        <v>0.55073655292097357</v>
      </c>
      <c r="BG8" s="20">
        <f t="shared" si="26"/>
        <v>0.76578573452932264</v>
      </c>
      <c r="BH8" s="20">
        <f t="shared" si="27"/>
        <v>0.62693583486038351</v>
      </c>
      <c r="BI8" s="20">
        <f t="shared" si="28"/>
        <v>0.74323276168759</v>
      </c>
      <c r="BJ8" s="16">
        <f t="shared" si="29"/>
        <v>460.90946756205932</v>
      </c>
      <c r="BK8" s="16">
        <f>BJ8/$R$14</f>
        <v>9.181463497252178</v>
      </c>
      <c r="BL8" s="16">
        <f t="shared" si="12"/>
        <v>3.3787050342426604E-3</v>
      </c>
      <c r="BM8" s="18">
        <f>T8-'Без ПКМ'!B8</f>
        <v>-33.047889422432121</v>
      </c>
      <c r="BN8" s="19">
        <f>AY8-'Без ПКМ'!H8</f>
        <v>17.846297925422363</v>
      </c>
      <c r="BO8" s="17"/>
      <c r="BP8" s="17"/>
    </row>
    <row r="9" spans="1:70" x14ac:dyDescent="0.35">
      <c r="A9" s="16">
        <v>0</v>
      </c>
      <c r="B9" s="7">
        <f>0.151140511695727*[17]syngas_streams_zaryad!$E$2</f>
        <v>1.3573124221002641</v>
      </c>
      <c r="C9" s="7">
        <f>[17]gas_streams_zaryad!$E$13</f>
        <v>0.53323932108776773</v>
      </c>
      <c r="D9" s="17">
        <f>[17]electric_zaryad!$E$5</f>
        <v>31.730243943436889</v>
      </c>
      <c r="E9" s="17">
        <f>[17]GTU_input_zaryad!$B$3</f>
        <v>0.7928632681964034</v>
      </c>
      <c r="F9" s="17">
        <f>[17]electric_zaryad!$C$5</f>
        <v>130.27108213570281</v>
      </c>
      <c r="G9" s="17">
        <f>[17]electric_zaryad!$B$7</f>
        <v>45.779740206464197</v>
      </c>
      <c r="H9" s="17">
        <f>[17]electric_zaryad!$C$12</f>
        <v>4.5266200069153932E-2</v>
      </c>
      <c r="I9" s="17">
        <f>[17]electric_zaryad!$C$6</f>
        <v>6.226293538671567</v>
      </c>
      <c r="J9" s="17">
        <f>[17]electric_zaryad!$C$2</f>
        <v>1.903638603345444</v>
      </c>
      <c r="K9" s="17">
        <f>[17]heaters_zaryad!$B$9</f>
        <v>80.77802183946136</v>
      </c>
      <c r="L9" s="17">
        <f>[17]heaters_zaryad!$B$8</f>
        <v>50.741100796892212</v>
      </c>
      <c r="M9" s="17">
        <f>[17]heaters_zaryad!$B$10</f>
        <v>7.0306612930574666</v>
      </c>
      <c r="N9" s="17">
        <f t="shared" si="0"/>
        <v>138.54978392941106</v>
      </c>
      <c r="O9" s="17">
        <f>[17]heaters_zaryad!$B$17/1000</f>
        <v>29.043207016527717</v>
      </c>
      <c r="P9" s="18">
        <f>[17]heaters_zaryad!$B$11/1000</f>
        <v>25.948088825393182</v>
      </c>
      <c r="Q9" s="17">
        <f>[17]gas_streams_zaryad!$E$4</f>
        <v>10.236696615402829</v>
      </c>
      <c r="R9" s="17">
        <f>[2]!PropsSI("H","P",[17]gas_streams_zaryad!$C$4*10^6,"T",[17]gas_streams_zaryad!$B$4+273.15,"REFPROP::"&amp;[2]!MixtureString($R$16:$R$20,$S$16:$S$20))/1000-[2]!PropsSI("H","P",[17]gas_streams_zaryad!$C$4*10^6,"T",S19+273.15,"REFPROP::"&amp;[2]!MixtureString($R$16:$R$20,$S$16:$S$20))/1000</f>
        <v>1246.7478520836039</v>
      </c>
      <c r="S9" s="19">
        <f t="shared" si="13"/>
        <v>12.762579517684975</v>
      </c>
      <c r="T9" s="17">
        <f t="shared" si="1"/>
        <v>166.38809179742725</v>
      </c>
      <c r="U9" s="16">
        <f t="shared" si="14"/>
        <v>167.59299094593877</v>
      </c>
      <c r="V9" s="16">
        <f t="shared" si="15"/>
        <v>26.76861391860594</v>
      </c>
      <c r="W9" s="16">
        <f t="shared" si="2"/>
        <v>68.13708358943326</v>
      </c>
      <c r="X9" s="20">
        <f t="shared" si="3"/>
        <v>0.61170225573322023</v>
      </c>
      <c r="Y9" s="20">
        <f t="shared" si="16"/>
        <v>0.64286491226911502</v>
      </c>
      <c r="Z9" s="20">
        <f t="shared" si="4"/>
        <v>0.78164377906900984</v>
      </c>
      <c r="AA9" s="20">
        <f t="shared" si="17"/>
        <v>0.97856673702758079</v>
      </c>
      <c r="AB9" s="20">
        <f t="shared" si="5"/>
        <v>0.63868407994634624</v>
      </c>
      <c r="AC9" s="20">
        <f t="shared" si="18"/>
        <v>0.81377704912895521</v>
      </c>
      <c r="AD9" s="16">
        <f t="shared" si="19"/>
        <v>505.46378325086317</v>
      </c>
      <c r="AE9" s="16">
        <f t="shared" si="20"/>
        <v>10.068999666351855</v>
      </c>
      <c r="AF9" s="7">
        <f>[17]syngas_streams_razryad!$E$10</f>
        <v>1.0811111111111109</v>
      </c>
      <c r="AG9" s="7">
        <f>[17]syngas_streams_razryad!$E$9</f>
        <v>2.2045624987878698</v>
      </c>
      <c r="AH9" s="17">
        <f>[17]accumulation_razryad!$E$3</f>
        <v>23.54273504191962</v>
      </c>
      <c r="AI9" s="17">
        <f>[17]electric_razryad!$E$5</f>
        <v>34.012096926621403</v>
      </c>
      <c r="AJ9" s="17">
        <f>[17]GTU_input_razryad!$B$3</f>
        <v>1</v>
      </c>
      <c r="AK9" s="17">
        <f>[17]electric_razryad!$C$5</f>
        <v>164.30459999999999</v>
      </c>
      <c r="AL9" s="17">
        <f>[17]electric_razryad!$B$7</f>
        <v>61.775336376522837</v>
      </c>
      <c r="AM9" s="17">
        <f>[17]electric_razryad!$C$12</f>
        <v>0.19214843911084739</v>
      </c>
      <c r="AN9" s="17">
        <f>[17]electric_razryad!$C$6</f>
        <v>6.2985051603460569</v>
      </c>
      <c r="AO9" s="17">
        <f>[17]electric_razryad!$C$2</f>
        <v>0.7219097578747814</v>
      </c>
      <c r="AP9" s="17">
        <f>[17]electric_razryad!$B$13</f>
        <v>31352.515736200028</v>
      </c>
      <c r="AQ9" s="17">
        <f>[17]electric_razryad!$B$14</f>
        <v>47038.807270983983</v>
      </c>
      <c r="AR9" s="17">
        <f>[17]heaters_razryad!$B$9</f>
        <v>65.126349999839277</v>
      </c>
      <c r="AS9" s="17">
        <f>[17]heaters_razryad!$B$8</f>
        <v>71.40413581385728</v>
      </c>
      <c r="AT9" s="17">
        <f>[17]heaters_razryad!$B$10</f>
        <v>5.7058912184331376</v>
      </c>
      <c r="AU9" s="17">
        <f t="shared" si="6"/>
        <v>142.2363770321297</v>
      </c>
      <c r="AV9" s="17">
        <f>[17]heaters_razryad!$B$18/1000</f>
        <v>25.35422022616568</v>
      </c>
      <c r="AW9" s="18">
        <f t="shared" si="7"/>
        <v>216.96864081524453</v>
      </c>
      <c r="AX9" s="17">
        <f t="shared" si="8"/>
        <v>14.911585392832627</v>
      </c>
      <c r="AY9" s="19">
        <f t="shared" si="9"/>
        <v>231.88022620807715</v>
      </c>
      <c r="AZ9" s="19">
        <f t="shared" si="10"/>
        <v>167.59059725829536</v>
      </c>
      <c r="BA9" s="16">
        <f t="shared" si="21"/>
        <v>483.07694863529019</v>
      </c>
      <c r="BB9" s="16">
        <f t="shared" si="22"/>
        <v>51.901430792315061</v>
      </c>
      <c r="BC9" s="20">
        <f t="shared" si="11"/>
        <v>0.63656929043019084</v>
      </c>
      <c r="BD9" s="20">
        <f t="shared" si="23"/>
        <v>0.63656929043019084</v>
      </c>
      <c r="BE9" s="20">
        <f t="shared" si="24"/>
        <v>0.74357722690379113</v>
      </c>
      <c r="BF9" s="20">
        <f t="shared" si="25"/>
        <v>0.56170064857384838</v>
      </c>
      <c r="BG9" s="20">
        <f t="shared" si="26"/>
        <v>0.77581301718102891</v>
      </c>
      <c r="BH9" s="20">
        <f t="shared" si="27"/>
        <v>0.63115932935738095</v>
      </c>
      <c r="BI9" s="20">
        <f t="shared" si="28"/>
        <v>0.74670461242523922</v>
      </c>
      <c r="BJ9" s="16">
        <f t="shared" si="29"/>
        <v>457.62463619552597</v>
      </c>
      <c r="BK9" s="16">
        <f t="shared" si="30"/>
        <v>9.1160286094726288</v>
      </c>
      <c r="BL9" s="16">
        <f t="shared" si="12"/>
        <v>1.4282743149903662E-3</v>
      </c>
      <c r="BM9" s="18">
        <f>T9-'Без ПКМ'!B9</f>
        <v>-32.351387056671626</v>
      </c>
      <c r="BN9" s="19">
        <f>AY9-'Без ПКМ'!H9</f>
        <v>17.706629187736894</v>
      </c>
      <c r="BO9" s="17"/>
      <c r="BP9" s="17"/>
    </row>
    <row r="10" spans="1:70" x14ac:dyDescent="0.35">
      <c r="A10" s="16">
        <v>5</v>
      </c>
      <c r="B10" s="7">
        <f>0.151140511695727*[18]syngas_streams_zaryad!$E$2</f>
        <v>1.3573078591554109</v>
      </c>
      <c r="C10" s="7">
        <f>[18]gas_streams_zaryad!$E$13</f>
        <v>0.53236143119058477</v>
      </c>
      <c r="D10" s="17">
        <f>[18]electric_zaryad!$E$5</f>
        <v>31.63622292464288</v>
      </c>
      <c r="E10" s="17">
        <f>[18]GTU_input_zaryad!$B$3</f>
        <v>0.79807519453634856</v>
      </c>
      <c r="F10" s="17">
        <f>[18]electric_zaryad!$C$5</f>
        <v>127.52172187930169</v>
      </c>
      <c r="G10" s="17">
        <f>[18]electric_zaryad!$B$7</f>
        <v>46.395160701916673</v>
      </c>
      <c r="H10" s="17">
        <f>[18]electric_zaryad!$C$12</f>
        <v>4.5269193707751149E-2</v>
      </c>
      <c r="I10" s="17">
        <f>[18]electric_zaryad!$C$6</f>
        <v>6.2204600023479424</v>
      </c>
      <c r="J10" s="17">
        <f>[18]electric_zaryad!$C$2</f>
        <v>1.9610341347946221</v>
      </c>
      <c r="K10" s="17">
        <f>[18]heaters_zaryad!$B$9</f>
        <v>72.797290271148768</v>
      </c>
      <c r="L10" s="17">
        <f>[18]heaters_zaryad!$B$8</f>
        <v>59.071257249844081</v>
      </c>
      <c r="M10" s="17">
        <f>[18]heaters_zaryad!$B$10</f>
        <v>6.3008832627773197</v>
      </c>
      <c r="N10" s="17">
        <f t="shared" si="0"/>
        <v>138.16943078377017</v>
      </c>
      <c r="O10" s="17">
        <f>[18]heaters_zaryad!$B$17/1000</f>
        <v>29.218371473754541</v>
      </c>
      <c r="P10" s="18">
        <f>[18]heaters_zaryad!$B$11/1000</f>
        <v>25.975922634536339</v>
      </c>
      <c r="Q10" s="17">
        <f>[18]gas_streams_zaryad!$E$4</f>
        <v>10.219843596160249</v>
      </c>
      <c r="R10" s="17">
        <f>[2]!PropsSI("H","P",[18]gas_streams_zaryad!$C$4*10^6,"T",[18]gas_streams_zaryad!$B$4+273.15,"REFPROP::"&amp;[2]!MixtureString($R$16:$R$20,$S$16:$S$20))/1000-[2]!PropsSI("H","P",[18]gas_streams_zaryad!$C$4*10^6,"T",S20+273.15,"REFPROP::"&amp;[2]!MixtureString($R$16:$R$20,$S$16:$S$20))/1000</f>
        <v>1246.7504596517715</v>
      </c>
      <c r="S10" s="19">
        <f t="shared" si="13"/>
        <v>12.741594701082004</v>
      </c>
      <c r="T10" s="17">
        <f t="shared" si="1"/>
        <v>164.18061624396458</v>
      </c>
      <c r="U10" s="16">
        <f t="shared" si="14"/>
        <v>167.3878022575247</v>
      </c>
      <c r="V10" s="16">
        <f t="shared" si="15"/>
        <v>26.724543845767357</v>
      </c>
      <c r="W10" s="16">
        <f t="shared" si="2"/>
        <v>68.136854529601635</v>
      </c>
      <c r="X10" s="20">
        <f>T10/((100*F10)/D10-N10)</f>
        <v>0.61974064536285611</v>
      </c>
      <c r="Y10" s="20">
        <f t="shared" si="16"/>
        <v>0.65232854526821649</v>
      </c>
      <c r="Z10" s="20">
        <f t="shared" si="4"/>
        <v>0.78956912734670015</v>
      </c>
      <c r="AA10" s="20">
        <f t="shared" si="17"/>
        <v>0.98068378933122924</v>
      </c>
      <c r="AB10" s="20">
        <f t="shared" si="5"/>
        <v>0.64840332523627209</v>
      </c>
      <c r="AC10" s="20">
        <f t="shared" si="18"/>
        <v>0.82121278438956591</v>
      </c>
      <c r="AD10" s="16">
        <f t="shared" si="19"/>
        <v>497.94909371452809</v>
      </c>
      <c r="AE10" s="16">
        <f t="shared" si="20"/>
        <v>9.9193046556678901</v>
      </c>
      <c r="AF10" s="7">
        <f>[18]syngas_streams_razryad!$E$10</f>
        <v>1.0811111111111109</v>
      </c>
      <c r="AG10" s="7">
        <f>[18]syngas_streams_razryad!$E$9</f>
        <v>2.2058560438167678</v>
      </c>
      <c r="AH10" s="17">
        <f>[18]accumulation_razryad!$E$3</f>
        <v>23.533470091451669</v>
      </c>
      <c r="AI10" s="17">
        <f>[18]electric_razryad!$E$5</f>
        <v>33.830241541168107</v>
      </c>
      <c r="AJ10" s="17">
        <f>[18]GTU_input_razryad!$B$3</f>
        <v>1</v>
      </c>
      <c r="AK10" s="17">
        <f>[18]electric_razryad!$C$5</f>
        <v>159.78659999999999</v>
      </c>
      <c r="AL10" s="17">
        <f>[18]electric_razryad!$B$7</f>
        <v>61.492358298177081</v>
      </c>
      <c r="AM10" s="17">
        <f>[18]electric_razryad!$C$12</f>
        <v>0.1903455214161891</v>
      </c>
      <c r="AN10" s="17">
        <f>[18]electric_razryad!$C$6</f>
        <v>6.2889189604114444</v>
      </c>
      <c r="AO10" s="17">
        <f>[18]electric_razryad!$C$2</f>
        <v>0.71604745318508978</v>
      </c>
      <c r="AP10" s="17">
        <f>[18]electric_razryad!$B$13</f>
        <v>31381.683745781858</v>
      </c>
      <c r="AQ10" s="17">
        <f>[18]electric_razryad!$B$14</f>
        <v>47081.741869573241</v>
      </c>
      <c r="AR10" s="17">
        <f>[18]heaters_razryad!$B$9</f>
        <v>75.982885626581208</v>
      </c>
      <c r="AS10" s="17">
        <f>[18]heaters_razryad!$B$8</f>
        <v>58.913287969695297</v>
      </c>
      <c r="AT10" s="17">
        <f>[18]heaters_razryad!$B$10</f>
        <v>6.6216572091553871</v>
      </c>
      <c r="AU10" s="17">
        <f t="shared" si="6"/>
        <v>141.51783080543188</v>
      </c>
      <c r="AV10" s="17">
        <f>[18]heaters_razryad!$B$18/1000</f>
        <v>25.87003215293554</v>
      </c>
      <c r="AW10" s="18">
        <f t="shared" si="7"/>
        <v>212.19383184027657</v>
      </c>
      <c r="AX10" s="17">
        <f t="shared" si="8"/>
        <v>14.924655890993735</v>
      </c>
      <c r="AY10" s="19">
        <f t="shared" si="9"/>
        <v>227.11848773127031</v>
      </c>
      <c r="AZ10" s="19">
        <f t="shared" si="10"/>
        <v>167.38786295836744</v>
      </c>
      <c r="BA10" s="16">
        <f t="shared" si="21"/>
        <v>472.31882694527997</v>
      </c>
      <c r="BB10" s="16">
        <f t="shared" si="22"/>
        <v>51.911447233209806</v>
      </c>
      <c r="BC10" s="20">
        <f t="shared" si="11"/>
        <v>0.64145463380216183</v>
      </c>
      <c r="BD10" s="20">
        <f t="shared" si="23"/>
        <v>0.64145463380216183</v>
      </c>
      <c r="BE10" s="20">
        <f t="shared" si="24"/>
        <v>0.74888325949938761</v>
      </c>
      <c r="BF10" s="20">
        <f t="shared" si="25"/>
        <v>0.57311232300501203</v>
      </c>
      <c r="BG10" s="20">
        <f t="shared" si="26"/>
        <v>0.78585148783583325</v>
      </c>
      <c r="BH10" s="20">
        <f t="shared" si="27"/>
        <v>0.63646719277202068</v>
      </c>
      <c r="BI10" s="20">
        <f t="shared" si="28"/>
        <v>0.75254400617717154</v>
      </c>
      <c r="BJ10" s="16">
        <f t="shared" si="29"/>
        <v>446.87653094641053</v>
      </c>
      <c r="BK10" s="16">
        <f t="shared" si="30"/>
        <v>8.9019229272193332</v>
      </c>
      <c r="BL10" s="16">
        <f t="shared" si="12"/>
        <v>3.6263599807964142E-5</v>
      </c>
      <c r="BM10" s="18">
        <f>T10-'Без ПКМ'!B10</f>
        <v>-30.111828443605873</v>
      </c>
      <c r="BN10" s="19">
        <f>AY10-'Без ПКМ'!H10</f>
        <v>18.025016079914678</v>
      </c>
      <c r="BO10" s="17"/>
      <c r="BP10" s="17"/>
    </row>
    <row r="11" spans="1:70" x14ac:dyDescent="0.35">
      <c r="A11" s="16">
        <v>8</v>
      </c>
      <c r="B11" s="7">
        <f>0.151140511695727*[19]syngas_streams_zaryad!$E$2</f>
        <v>1.3573157306189925</v>
      </c>
      <c r="C11" s="7">
        <f>[19]gas_streams_zaryad!$E$13</f>
        <v>0.53172562570919679</v>
      </c>
      <c r="D11" s="17">
        <f>[19]electric_zaryad!$E$5</f>
        <v>31.514211171422851</v>
      </c>
      <c r="E11" s="17">
        <f>[19]GTU_input_zaryad!$B$3</f>
        <v>0.79798330030158648</v>
      </c>
      <c r="F11" s="17">
        <f>[19]electric_zaryad!$C$5</f>
        <v>125.3438652815119</v>
      </c>
      <c r="G11" s="17">
        <f>[19]electric_zaryad!$B$7</f>
        <v>46.25639417944317</v>
      </c>
      <c r="H11" s="17">
        <f>[19]electric_zaryad!$C$12</f>
        <v>4.5148322728830903E-2</v>
      </c>
      <c r="I11" s="17">
        <f>[19]electric_zaryad!$C$6</f>
        <v>6.215839070790766</v>
      </c>
      <c r="J11" s="17">
        <f>[19]electric_zaryad!$C$2</f>
        <v>2.0534303443732531</v>
      </c>
      <c r="K11" s="17">
        <f>[19]heaters_zaryad!$B$9</f>
        <v>70.726238954922835</v>
      </c>
      <c r="L11" s="17">
        <f>[19]heaters_zaryad!$B$8</f>
        <v>60.68033124113667</v>
      </c>
      <c r="M11" s="17">
        <f>[19]heaters_zaryad!$B$10</f>
        <v>6.0929460912947828</v>
      </c>
      <c r="N11" s="17">
        <f>K11+L11+M11</f>
        <v>137.49951628735428</v>
      </c>
      <c r="O11" s="17">
        <f>[19]heaters_zaryad!$B$17/1000</f>
        <v>29.233154586204442</v>
      </c>
      <c r="P11" s="18">
        <f>[19]heaters_zaryad!$B$11/1000</f>
        <v>25.996434659890568</v>
      </c>
      <c r="Q11" s="17">
        <f>[19]gas_streams_zaryad!$E$4</f>
        <v>10.2076379174678</v>
      </c>
      <c r="R11" s="17">
        <f>[2]!PropsSI("H","P",[19]gas_streams_zaryad!$C$4*10^6,"T",[19]gas_streams_zaryad!$B$4+273.15,"REFPROP::"&amp;[2]!MixtureString($R$16:$R$20,$S$16:$S$20))/1000-[2]!PropsSI("H","P",[19]gas_streams_zaryad!$C$4*10^6,"T",S21+273.15,"REFPROP::"&amp;[2]!MixtureString($R$16:$R$20,$S$16:$S$20))/1000</f>
        <v>896.4142916678345</v>
      </c>
      <c r="S11" s="19">
        <f>R11*Q11/1000</f>
        <v>9.1502725133886269</v>
      </c>
      <c r="T11" s="17">
        <f t="shared" si="1"/>
        <v>161.7746362315998</v>
      </c>
      <c r="U11" s="16">
        <f>N11+O11</f>
        <v>166.73267087355873</v>
      </c>
      <c r="V11" s="16">
        <f t="shared" si="15"/>
        <v>26.69262641060168</v>
      </c>
      <c r="W11" s="16">
        <f t="shared" si="2"/>
        <v>68.137249677073427</v>
      </c>
      <c r="X11" s="20">
        <f>T11/((100*F11)/D11-N11)</f>
        <v>0.6216409130173719</v>
      </c>
      <c r="Y11" s="20">
        <f t="shared" si="16"/>
        <v>0.66466725427115447</v>
      </c>
      <c r="Z11" s="20">
        <f>(T11+P11+N11)/((100*F11)/D11+S11)</f>
        <v>0.79941087937945454</v>
      </c>
      <c r="AA11" s="20">
        <f>(AF11+AG11)*AH11/(V11+W11-O11-S11+P11)</f>
        <v>0.93827071312032528</v>
      </c>
      <c r="AB11" s="20">
        <f>(T11)/((100*F11)/D11+$R$14*(B11+C11)-(AF11+AG11)*AH11-U11)</f>
        <v>0.65105420448168705</v>
      </c>
      <c r="AC11" s="20">
        <f>((AF11+AG11)*AH11+U11+T11)/((100*F11)/D11+$R$14*(B11+C11))</f>
        <v>0.82397047101878806</v>
      </c>
      <c r="AD11" s="16">
        <f t="shared" si="19"/>
        <v>492.56747008835873</v>
      </c>
      <c r="AE11" s="16">
        <f t="shared" si="20"/>
        <v>9.8121009977760689</v>
      </c>
      <c r="AF11" s="7">
        <f>[19]syngas_streams_razryad!$E$10</f>
        <v>1.0811111111111109</v>
      </c>
      <c r="AG11" s="7">
        <f>[19]syngas_streams_razryad!$E$9</f>
        <v>2.2069829412494109</v>
      </c>
      <c r="AH11" s="17">
        <f>[19]accumulation_razryad!$E$3</f>
        <v>23.525404687419758</v>
      </c>
      <c r="AI11" s="17">
        <f>[19]electric_razryad!$E$5</f>
        <v>33.701191319931901</v>
      </c>
      <c r="AJ11" s="17">
        <f>[19]GTU_input_razryad!$B$3</f>
        <v>1</v>
      </c>
      <c r="AK11" s="17">
        <f>[19]electric_razryad!$C$5</f>
        <v>157.07579999999999</v>
      </c>
      <c r="AL11" s="17">
        <f>[19]electric_razryad!$B$7</f>
        <v>61.210433656900342</v>
      </c>
      <c r="AM11" s="17">
        <f>[19]electric_razryad!$C$12</f>
        <v>0.1897780727547268</v>
      </c>
      <c r="AN11" s="17">
        <f>[19]electric_razryad!$C$6</f>
        <v>6.2831672404506769</v>
      </c>
      <c r="AO11" s="17">
        <f>[19]electric_razryad!$C$2</f>
        <v>0.71186783681697285</v>
      </c>
      <c r="AP11" s="17">
        <f>[19]electric_razryad!$B$13</f>
        <v>31400.577646319471</v>
      </c>
      <c r="AQ11" s="17">
        <f>[19]electric_razryad!$B$14</f>
        <v>47109.804080313108</v>
      </c>
      <c r="AR11" s="17">
        <f>[19]heaters_razryad!$B$9</f>
        <v>78.089921315176554</v>
      </c>
      <c r="AS11" s="17">
        <f>[19]heaters_razryad!$B$8</f>
        <v>55.883354869430043</v>
      </c>
      <c r="AT11" s="17">
        <f>[19]heaters_razryad!$B$10</f>
        <v>6.7763577619672679</v>
      </c>
      <c r="AU11" s="17">
        <f>AT11+AS11+AR11</f>
        <v>140.74963394657385</v>
      </c>
      <c r="AV11" s="17">
        <f>[19]heaters_razryad!$B$18/1000</f>
        <v>25.983537103332829</v>
      </c>
      <c r="AW11" s="18">
        <f t="shared" si="7"/>
        <v>209.22030765767209</v>
      </c>
      <c r="AX11" s="17">
        <f t="shared" si="8"/>
        <v>14.9333658253267</v>
      </c>
      <c r="AY11" s="19">
        <f t="shared" si="9"/>
        <v>224.15367348299878</v>
      </c>
      <c r="AZ11" s="19">
        <f>AU11+AV11</f>
        <v>166.73317104990667</v>
      </c>
      <c r="BA11" s="16">
        <f t="shared" si="21"/>
        <v>466.08382032803871</v>
      </c>
      <c r="BB11" s="16">
        <f t="shared" si="22"/>
        <v>51.920166831124334</v>
      </c>
      <c r="BC11" s="20">
        <f t="shared" si="11"/>
        <v>0.6430935217252407</v>
      </c>
      <c r="BD11" s="20">
        <f t="shared" si="23"/>
        <v>0.6430935217252407</v>
      </c>
      <c r="BE11" s="20">
        <f t="shared" si="24"/>
        <v>0.75087339731709712</v>
      </c>
      <c r="BF11" s="20">
        <f t="shared" si="25"/>
        <v>0.5757635429912995</v>
      </c>
      <c r="BG11" s="20">
        <f t="shared" si="26"/>
        <v>0.78807341012107968</v>
      </c>
      <c r="BH11" s="20">
        <f t="shared" si="27"/>
        <v>0.63812210751171516</v>
      </c>
      <c r="BI11" s="20">
        <f t="shared" si="28"/>
        <v>0.75460199964213936</v>
      </c>
      <c r="BJ11" s="16">
        <f t="shared" si="29"/>
        <v>440.65024392708381</v>
      </c>
      <c r="BK11" s="16">
        <f t="shared" si="30"/>
        <v>8.7778933053203936</v>
      </c>
      <c r="BL11" s="16">
        <f t="shared" si="12"/>
        <v>2.999870063381958E-4</v>
      </c>
      <c r="BM11" s="18">
        <f>T11-'Без ПКМ'!B11</f>
        <v>-29.397825304136518</v>
      </c>
      <c r="BN11" s="19">
        <f>AY11-'Без ПКМ'!H11</f>
        <v>18.200590556225819</v>
      </c>
      <c r="BO11" s="17"/>
      <c r="BP11" s="17"/>
    </row>
    <row r="14" spans="1:70" x14ac:dyDescent="0.35">
      <c r="Q14" s="1" t="s">
        <v>54</v>
      </c>
      <c r="R14" s="17">
        <f>BP4</f>
        <v>50.2</v>
      </c>
      <c r="S14" s="3" t="s">
        <v>53</v>
      </c>
    </row>
    <row r="15" spans="1:70" x14ac:dyDescent="0.35">
      <c r="R15" s="1" t="s">
        <v>40</v>
      </c>
    </row>
    <row r="16" spans="1:70" x14ac:dyDescent="0.35">
      <c r="R16" s="1" t="s">
        <v>41</v>
      </c>
      <c r="S16" s="3">
        <v>0.71032059101601497</v>
      </c>
      <c r="BL16" s="16">
        <f>(BM16-BN16)*100</f>
        <v>-5.6785691057843257</v>
      </c>
      <c r="BM16" s="18">
        <v>0.57372723211363552</v>
      </c>
      <c r="BN16" s="16">
        <v>0.63051292317147878</v>
      </c>
    </row>
    <row r="17" spans="18:66" x14ac:dyDescent="0.35">
      <c r="R17" s="6" t="s">
        <v>44</v>
      </c>
      <c r="S17" s="3">
        <v>0.18053127301225799</v>
      </c>
      <c r="BL17" s="16">
        <f t="shared" ref="BL17:BL24" si="31">(BM17-BN17)*100</f>
        <v>-5.7944360366847025</v>
      </c>
      <c r="BM17" s="18">
        <v>0.58907277548209014</v>
      </c>
      <c r="BN17" s="16">
        <v>0.64701713584893716</v>
      </c>
    </row>
    <row r="18" spans="18:66" x14ac:dyDescent="0.35">
      <c r="R18" s="6" t="s">
        <v>43</v>
      </c>
      <c r="S18" s="3">
        <v>9.0538556815177001E-2</v>
      </c>
      <c r="BL18" s="16">
        <f t="shared" si="31"/>
        <v>-5.3871590582914681</v>
      </c>
      <c r="BM18" s="18">
        <v>0.60735037102610789</v>
      </c>
      <c r="BN18" s="16">
        <v>0.66122196160902258</v>
      </c>
    </row>
    <row r="19" spans="18:66" x14ac:dyDescent="0.35">
      <c r="R19" s="6" t="s">
        <v>42</v>
      </c>
      <c r="S19" s="3">
        <v>9.9671027033589304E-3</v>
      </c>
      <c r="BL19" s="16">
        <f t="shared" si="31"/>
        <v>-5.598567695477275</v>
      </c>
      <c r="BM19" s="18">
        <v>0.61531562954158259</v>
      </c>
      <c r="BN19" s="16">
        <v>0.67130130649635533</v>
      </c>
    </row>
    <row r="20" spans="18:66" x14ac:dyDescent="0.35">
      <c r="R20" s="1" t="s">
        <v>45</v>
      </c>
      <c r="S20" s="3">
        <v>8.6424764531917806E-3</v>
      </c>
      <c r="BL20" s="16">
        <f t="shared" si="31"/>
        <v>-5.7437788068307789</v>
      </c>
      <c r="BM20" s="18">
        <v>0.62330147991337359</v>
      </c>
      <c r="BN20" s="16">
        <v>0.68073926798168138</v>
      </c>
    </row>
    <row r="21" spans="18:66" x14ac:dyDescent="0.35">
      <c r="R21" s="1" t="s">
        <v>46</v>
      </c>
      <c r="S21" s="3">
        <v>60</v>
      </c>
      <c r="BL21" s="16">
        <f t="shared" si="31"/>
        <v>-5.7429762362583014</v>
      </c>
      <c r="BM21" s="18">
        <v>0.63059067815721181</v>
      </c>
      <c r="BN21" s="16">
        <v>0.68802044051979483</v>
      </c>
    </row>
    <row r="22" spans="18:66" x14ac:dyDescent="0.35">
      <c r="BL22" s="16">
        <f t="shared" si="31"/>
        <v>-5.6863535660444224</v>
      </c>
      <c r="BM22" s="18">
        <v>0.63868094904344286</v>
      </c>
      <c r="BN22" s="16">
        <v>0.69554448470388708</v>
      </c>
    </row>
    <row r="23" spans="18:66" x14ac:dyDescent="0.35">
      <c r="R23" s="1" t="s">
        <v>47</v>
      </c>
      <c r="S23" s="3">
        <f>[2]!PropsSI("Q","P",0.1*10^6,"T",S21+273.15,"REFPROP::"&amp;[2]!MixtureString($R$16:$R$20,$S$16:$S$20))</f>
        <v>998</v>
      </c>
      <c r="BL23" s="16">
        <f t="shared" si="31"/>
        <v>-5.5858020147443348</v>
      </c>
      <c r="BM23" s="18">
        <v>0.64840450486812495</v>
      </c>
      <c r="BN23" s="16">
        <v>0.7042625250155683</v>
      </c>
    </row>
    <row r="24" spans="18:66" x14ac:dyDescent="0.35">
      <c r="BL24" s="16">
        <f t="shared" si="31"/>
        <v>-5.6168002901386238</v>
      </c>
      <c r="BM24" s="18">
        <v>0.65106118721528183</v>
      </c>
      <c r="BN24" s="16">
        <v>0.70722919011666807</v>
      </c>
    </row>
    <row r="25" spans="18:66" x14ac:dyDescent="0.35">
      <c r="BL25" s="16">
        <f>AVERAGE(BL16:BL24)</f>
        <v>-5.6482714233615816</v>
      </c>
    </row>
    <row r="39" spans="18:20" x14ac:dyDescent="0.35">
      <c r="R39" s="6"/>
      <c r="S39" s="5"/>
      <c r="T39" s="6"/>
    </row>
  </sheetData>
  <mergeCells count="33"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BL1:BL2"/>
    <mergeCell ref="BM1:BM2"/>
    <mergeCell ref="BN1:BN2"/>
    <mergeCell ref="BG1:BG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AD1:AD2"/>
    <mergeCell ref="AE1:AE2"/>
    <mergeCell ref="BJ1:BJ2"/>
    <mergeCell ref="BK1:BK2"/>
    <mergeCell ref="BH1:BH2"/>
    <mergeCell ref="BI1:B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CB39"/>
  <sheetViews>
    <sheetView topLeftCell="BG7" zoomScale="85" zoomScaleNormal="85" workbookViewId="0">
      <selection activeCell="CH27" sqref="CH27"/>
    </sheetView>
  </sheetViews>
  <sheetFormatPr defaultColWidth="9.1796875" defaultRowHeight="15.5" x14ac:dyDescent="0.35"/>
  <cols>
    <col min="1" max="1" width="7.1796875" style="4" bestFit="1" customWidth="1"/>
    <col min="2" max="3" width="16.1796875" style="1" bestFit="1" customWidth="1"/>
    <col min="4" max="4" width="10.453125" style="1" bestFit="1" customWidth="1"/>
    <col min="5" max="5" width="7.54296875" style="1" bestFit="1" customWidth="1"/>
    <col min="6" max="6" width="7.453125" style="1" bestFit="1" customWidth="1"/>
    <col min="7" max="7" width="7.81640625" style="1" bestFit="1" customWidth="1"/>
    <col min="8" max="9" width="5.1796875" style="1" bestFit="1" customWidth="1"/>
    <col min="10" max="10" width="5.26953125" style="1" bestFit="1" customWidth="1"/>
    <col min="11" max="12" width="7.453125" style="1" bestFit="1" customWidth="1"/>
    <col min="13" max="13" width="6.453125" style="1" bestFit="1" customWidth="1"/>
    <col min="14" max="14" width="10.81640625" style="1" bestFit="1" customWidth="1"/>
    <col min="15" max="15" width="10.7265625" style="1" bestFit="1" customWidth="1"/>
    <col min="16" max="16" width="6.453125" style="2" bestFit="1" customWidth="1"/>
    <col min="17" max="17" width="11.453125" style="1" bestFit="1" customWidth="1"/>
    <col min="18" max="18" width="12.54296875" style="1" bestFit="1" customWidth="1"/>
    <col min="19" max="19" width="11.453125" style="3" bestFit="1" customWidth="1"/>
    <col min="20" max="20" width="13.453125" style="1" bestFit="1" customWidth="1"/>
    <col min="21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1796875" style="4" bestFit="1" customWidth="1"/>
    <col min="26" max="26" width="11.453125" style="4" bestFit="1" customWidth="1"/>
    <col min="27" max="27" width="21.5429687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1796875" style="1" bestFit="1" customWidth="1"/>
    <col min="33" max="33" width="11.453125" style="1" bestFit="1" customWidth="1"/>
    <col min="34" max="34" width="7" style="1" bestFit="1" customWidth="1"/>
    <col min="35" max="35" width="10.453125" style="1" bestFit="1" customWidth="1"/>
    <col min="36" max="36" width="7.54296875" style="1" bestFit="1" customWidth="1"/>
    <col min="37" max="37" width="7.453125" style="1" bestFit="1" customWidth="1"/>
    <col min="38" max="38" width="7.8164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453125" style="1" bestFit="1" customWidth="1"/>
    <col min="46" max="46" width="6.453125" style="1" bestFit="1" customWidth="1"/>
    <col min="47" max="47" width="10.81640625" style="1" bestFit="1" customWidth="1"/>
    <col min="48" max="48" width="8.54296875" style="1" bestFit="1" customWidth="1"/>
    <col min="49" max="49" width="14.453125" style="2" bestFit="1" customWidth="1"/>
    <col min="50" max="50" width="15.453125" style="1" bestFit="1" customWidth="1"/>
    <col min="51" max="51" width="14.81640625" style="3" bestFit="1" customWidth="1"/>
    <col min="52" max="52" width="11.81640625" style="3" bestFit="1" customWidth="1"/>
    <col min="53" max="54" width="11" style="4" bestFit="1" customWidth="1"/>
    <col min="55" max="55" width="18.81640625" style="4" bestFit="1" customWidth="1"/>
    <col min="56" max="56" width="21.1796875" style="4" bestFit="1" customWidth="1"/>
    <col min="57" max="57" width="11.453125" style="4" bestFit="1" customWidth="1"/>
    <col min="58" max="58" width="24.54296875" style="4" bestFit="1" customWidth="1"/>
    <col min="59" max="59" width="15.17968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17968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453125" style="1" bestFit="1" customWidth="1"/>
    <col min="69" max="16384" width="9.1796875" style="1"/>
  </cols>
  <sheetData>
    <row r="1" spans="1:80" ht="15.65" customHeight="1" x14ac:dyDescent="0.35">
      <c r="A1" s="48" t="s">
        <v>0</v>
      </c>
      <c r="B1" s="50" t="s">
        <v>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8"/>
      <c r="Q1" s="9"/>
      <c r="R1" s="9"/>
      <c r="S1" s="10"/>
      <c r="T1" s="52" t="s">
        <v>14</v>
      </c>
      <c r="U1" s="48" t="s">
        <v>17</v>
      </c>
      <c r="V1" s="48" t="s">
        <v>58</v>
      </c>
      <c r="W1" s="48" t="s">
        <v>59</v>
      </c>
      <c r="X1" s="48" t="s">
        <v>49</v>
      </c>
      <c r="Y1" s="48" t="s">
        <v>50</v>
      </c>
      <c r="Z1" s="48" t="s">
        <v>52</v>
      </c>
      <c r="AA1" s="48" t="s">
        <v>55</v>
      </c>
      <c r="AB1" s="48" t="s">
        <v>68</v>
      </c>
      <c r="AC1" s="48" t="s">
        <v>60</v>
      </c>
      <c r="AD1" s="46" t="s">
        <v>88</v>
      </c>
      <c r="AE1" s="46" t="s">
        <v>87</v>
      </c>
      <c r="AF1" s="50" t="s">
        <v>8</v>
      </c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2"/>
      <c r="AW1" s="50" t="s">
        <v>15</v>
      </c>
      <c r="AX1" s="51" t="s">
        <v>16</v>
      </c>
      <c r="AY1" s="52" t="s">
        <v>22</v>
      </c>
      <c r="AZ1" s="52" t="s">
        <v>17</v>
      </c>
      <c r="BA1" s="48" t="s">
        <v>62</v>
      </c>
      <c r="BB1" s="48" t="s">
        <v>61</v>
      </c>
      <c r="BC1" s="48" t="s">
        <v>49</v>
      </c>
      <c r="BD1" s="48" t="s">
        <v>50</v>
      </c>
      <c r="BE1" s="48" t="s">
        <v>52</v>
      </c>
      <c r="BF1" s="48" t="s">
        <v>63</v>
      </c>
      <c r="BG1" s="48" t="s">
        <v>64</v>
      </c>
      <c r="BH1" s="48" t="s">
        <v>68</v>
      </c>
      <c r="BI1" s="48" t="s">
        <v>60</v>
      </c>
      <c r="BJ1" s="46" t="s">
        <v>88</v>
      </c>
      <c r="BK1" s="46" t="s">
        <v>87</v>
      </c>
      <c r="BL1" s="48" t="s">
        <v>23</v>
      </c>
      <c r="BM1" s="50" t="s">
        <v>33</v>
      </c>
      <c r="BN1" s="52" t="s">
        <v>34</v>
      </c>
      <c r="BO1" s="11" t="s">
        <v>11</v>
      </c>
      <c r="BP1" s="11">
        <v>0.95</v>
      </c>
      <c r="BR1" s="1" t="s">
        <v>66</v>
      </c>
    </row>
    <row r="2" spans="1:80" ht="16" thickBot="1" x14ac:dyDescent="0.4">
      <c r="A2" s="49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5"/>
      <c r="U2" s="49"/>
      <c r="V2" s="49"/>
      <c r="W2" s="49"/>
      <c r="X2" s="49"/>
      <c r="Y2" s="49"/>
      <c r="Z2" s="49"/>
      <c r="AA2" s="49"/>
      <c r="AB2" s="49"/>
      <c r="AC2" s="49"/>
      <c r="AD2" s="47" t="s">
        <v>86</v>
      </c>
      <c r="AE2" s="47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3"/>
      <c r="AX2" s="54"/>
      <c r="AY2" s="55"/>
      <c r="AZ2" s="55"/>
      <c r="BA2" s="49"/>
      <c r="BB2" s="49"/>
      <c r="BC2" s="49"/>
      <c r="BD2" s="49"/>
      <c r="BE2" s="49"/>
      <c r="BF2" s="49"/>
      <c r="BG2" s="49"/>
      <c r="BH2" s="49"/>
      <c r="BI2" s="49"/>
      <c r="BJ2" s="47" t="s">
        <v>86</v>
      </c>
      <c r="BK2" s="47"/>
      <c r="BL2" s="49"/>
      <c r="BM2" s="53"/>
      <c r="BN2" s="55"/>
      <c r="BO2" s="11" t="s">
        <v>12</v>
      </c>
      <c r="BP2" s="11">
        <v>0.99</v>
      </c>
      <c r="BR2" s="1" t="s">
        <v>67</v>
      </c>
    </row>
    <row r="3" spans="1:80" x14ac:dyDescent="0.35">
      <c r="A3" s="16">
        <v>-29</v>
      </c>
      <c r="B3" s="7">
        <f>0.151140511695727*[20]syngas_streams_zaryad!$E$2</f>
        <v>1.80975235680886</v>
      </c>
      <c r="C3" s="7">
        <f>[20]gas_streams_zaryad!$E$13</f>
        <v>0.71119697718562724</v>
      </c>
      <c r="D3" s="17">
        <f>[20]electric_zaryad!$E$5</f>
        <v>30.47714394085261</v>
      </c>
      <c r="E3" s="17">
        <f>[20]GTU_input_zaryad!$B$3</f>
        <v>0.69675929966999617</v>
      </c>
      <c r="F3" s="17">
        <f>[20]electric_zaryad!$C$5</f>
        <v>115.4251455833316</v>
      </c>
      <c r="G3" s="17">
        <f>[20]electric_zaryad!$B$7</f>
        <v>31.0026061532459</v>
      </c>
      <c r="H3" s="17">
        <f>[20]electric_zaryad!$C$12</f>
        <v>4.5471052768506118E-2</v>
      </c>
      <c r="I3" s="17">
        <f>[20]electric_zaryad!$C$6</f>
        <v>6.1947937343316832</v>
      </c>
      <c r="J3" s="17">
        <f>[20]electric_zaryad!$C$2</f>
        <v>2.5903467147276968</v>
      </c>
      <c r="K3" s="17">
        <f>[20]heaters_zaryad!$B$9</f>
        <v>95.690187064317669</v>
      </c>
      <c r="L3" s="17">
        <f>[20]heaters_zaryad!$B$8</f>
        <v>17.247831977501018</v>
      </c>
      <c r="M3" s="17">
        <f>[20]heaters_zaryad!$B$10</f>
        <v>7.8354259874629522</v>
      </c>
      <c r="N3" s="17">
        <f t="shared" ref="N3:N10" si="0">K3+L3+M3</f>
        <v>120.77344502928165</v>
      </c>
      <c r="O3" s="17">
        <f>[20]heaters_zaryad!$B$17/1000</f>
        <v>36.441166432105838</v>
      </c>
      <c r="P3" s="18">
        <f>[20]heaters_zaryad!$B$11/1000</f>
        <v>34.590798215383657</v>
      </c>
      <c r="Q3" s="17">
        <f>[20]gas_streams_zaryad!$E$4</f>
        <v>13.652983569159071</v>
      </c>
      <c r="R3" s="17">
        <f>[2]!PropsSI("H","P",[20]gas_streams_zaryad!$C$4*10^6,"T",[20]gas_streams_zaryad!$B$4+273.15,"REFPROP::"&amp;[2]!MixtureString($R$16:$R$20,$S$16:$S$20))/1000-[2]!PropsSI("H","P",[20]gas_streams_zaryad!$C$4*10^6,"T",S13+273.15,"REFPROP::"&amp;[2]!MixtureString($R$16:$R$20,$S$16:$S$20))/1000</f>
        <v>1246.7674708223194</v>
      </c>
      <c r="S3" s="19">
        <f t="shared" ref="S3:S10" si="1">R3*Q3/1000</f>
        <v>17.02209579369914</v>
      </c>
      <c r="T3" s="17">
        <f t="shared" ref="T3:T11" si="2">F3+G3*$BP$2*$BP$3-H3/$BP$1/$BP$2-I3-J3/$BP$1/$BP$2</f>
        <v>136.50650961320528</v>
      </c>
      <c r="U3" s="16">
        <f>N3+O3</f>
        <v>157.21461146138748</v>
      </c>
      <c r="V3" s="16">
        <f>C3*$R$14</f>
        <v>35.70208825471849</v>
      </c>
      <c r="W3" s="16">
        <f t="shared" ref="W3:W10" si="3">B3*$R$14</f>
        <v>90.849568311804774</v>
      </c>
      <c r="X3" s="20">
        <f t="shared" ref="X3:X9" si="4">T3/((100*F3)/D3-N3)</f>
        <v>0.52919044716064079</v>
      </c>
      <c r="Y3" s="20">
        <f t="shared" ref="Y3:Y11" si="5">T3/((100*F3)/D3-N3-P3+S3)</f>
        <v>0.5678667317214352</v>
      </c>
      <c r="Z3" s="20">
        <f t="shared" ref="Z3:Z10" si="6">(T3+P3+N3)/((100*F3)/D3+S3)</f>
        <v>0.737514809618244</v>
      </c>
      <c r="AA3" s="20">
        <f t="shared" ref="AA3:AA11" si="7">(AF3+AG3)*AH3/(V3+W3-O3-S3+P3)</f>
        <v>0.95782965920461294</v>
      </c>
      <c r="AB3" s="20">
        <f t="shared" ref="AB3:AB11" si="8">(T3)/((100*F3)/D3+$R$14*(B3+C3)-(AF3+AG3)*AH3-U3)</f>
        <v>0.55733860528863499</v>
      </c>
      <c r="AC3" s="20">
        <f t="shared" ref="AC3:AC11" si="9">((AF3+AG3)*AH3+U3+T3)/((100*F3)/D3+$R$14*(B3+C3))</f>
        <v>0.78542703260677971</v>
      </c>
      <c r="AD3" s="16">
        <f>(100*F3)/D3+$R$14*(B3+C3)</f>
        <v>505.27856682864848</v>
      </c>
      <c r="AE3" s="16">
        <f>AD3/$R$14</f>
        <v>10.065310096188217</v>
      </c>
      <c r="AF3" s="7">
        <f>[20]syngas_streams_razryad!$E$10</f>
        <v>1.0811111111111109</v>
      </c>
      <c r="AG3" s="7">
        <f>[20]syngas_streams_razryad!$E$9</f>
        <v>3.2997870354208629</v>
      </c>
      <c r="AH3" s="17">
        <f>[20]accumulation_razryad!$E$3</f>
        <v>23.54273504191962</v>
      </c>
      <c r="AI3" s="17">
        <f>[20]electric_razryad!$E$5</f>
        <v>34.07583168780608</v>
      </c>
      <c r="AJ3" s="17">
        <f>[20]GTU_input_razryad!$B$3</f>
        <v>1</v>
      </c>
      <c r="AK3" s="17">
        <f>[20]electric_razryad!$C$5</f>
        <v>165.66</v>
      </c>
      <c r="AL3" s="17">
        <f>[20]electric_razryad!$B$7</f>
        <v>54.336217415950678</v>
      </c>
      <c r="AM3" s="17">
        <f>[20]electric_razryad!$C$12</f>
        <v>0.24566596349945991</v>
      </c>
      <c r="AN3" s="17">
        <f>[20]electric_razryad!$C$6</f>
        <v>6.3013810203264402</v>
      </c>
      <c r="AO3" s="17">
        <f>[20]electric_razryad!$C$2</f>
        <v>1.175930534514412</v>
      </c>
      <c r="AP3" s="17">
        <f>[20]electric_razryad!$B$13</f>
        <v>46778.792791445863</v>
      </c>
      <c r="AQ3" s="17">
        <f>[20]electric_razryad!$B$14</f>
        <v>70193.160472000105</v>
      </c>
      <c r="AR3" s="17">
        <f>[20]heaters_razryad!$B$9</f>
        <v>87.768446094812475</v>
      </c>
      <c r="AS3" s="17">
        <f>[20]heaters_razryad!$B$8</f>
        <v>28.210242700696661</v>
      </c>
      <c r="AT3" s="17">
        <f>[20]heaters_razryad!$B$10</f>
        <v>7.374022736010188</v>
      </c>
      <c r="AU3" s="17">
        <f t="shared" ref="AU3:AU10" si="10">AT3+AS3+AR3</f>
        <v>123.35271153151933</v>
      </c>
      <c r="AV3" s="17">
        <f>[20]heaters_razryad!$B$18/1000</f>
        <v>33.847514915620501</v>
      </c>
      <c r="AW3" s="18">
        <f>AK3+AL3*$BP$2*$BP$3-AM3/$BP$1/$BP$2-AN3-AO3/$BP$1/$BP$2</f>
        <v>210.56408442336587</v>
      </c>
      <c r="AX3" s="17">
        <f t="shared" ref="AX3:AX11" si="11">(-AP3/1000/$BP$2+AQ3/1000)*$BP$2*$BP$3</f>
        <v>22.258187354317553</v>
      </c>
      <c r="AY3" s="19">
        <f t="shared" ref="AY3:AY10" si="12">AW3+AX3</f>
        <v>232.82227177768343</v>
      </c>
      <c r="AZ3" s="19">
        <f t="shared" ref="AZ3:AZ10" si="13">AU3+AV3</f>
        <v>157.20022644713984</v>
      </c>
      <c r="BA3" s="16">
        <f>(100*AK3)/AI3</f>
        <v>486.15101024601216</v>
      </c>
      <c r="BB3" s="16">
        <f>AG3*AH3</f>
        <v>77.686011869674815</v>
      </c>
      <c r="BC3" s="20">
        <f t="shared" ref="BC3:BC11" si="14">AW3/((100*AK3)/AI3-AU3)</f>
        <v>0.58038884187015183</v>
      </c>
      <c r="BD3" s="20">
        <f>AW3/(BA3-AU3)</f>
        <v>0.58038884187015183</v>
      </c>
      <c r="BE3" s="20">
        <f>(AW3+AU3)/(BA3)</f>
        <v>0.68685817558192408</v>
      </c>
      <c r="BF3" s="20">
        <f>AX3/(BB3-AV3)</f>
        <v>0.5077315350853755</v>
      </c>
      <c r="BG3" s="20">
        <f>(AX3+AV3)/(BB3)</f>
        <v>0.72221112809935906</v>
      </c>
      <c r="BH3" s="20">
        <f>AY3/(BB3+BA3-AZ3)</f>
        <v>0.57255583916084829</v>
      </c>
      <c r="BI3" s="20">
        <f>(AY3+AZ3)/(BA3+BB3)</f>
        <v>0.69172913967468996</v>
      </c>
      <c r="BJ3" s="16">
        <f>BA3-AF3*AH3</f>
        <v>460.69869780624794</v>
      </c>
      <c r="BK3" s="16">
        <f>BJ3/$R$14</f>
        <v>9.1772648965388033</v>
      </c>
      <c r="BL3" s="16">
        <f t="shared" ref="BL3:BL11" si="15">ABS(AZ3-U3)/U3*100</f>
        <v>9.14992195313203E-3</v>
      </c>
      <c r="BM3" s="18">
        <f>T3-'Без ПКМ'!B3</f>
        <v>-38.557745891908979</v>
      </c>
      <c r="BN3" s="19">
        <f>AY3-'Без ПКМ'!H3</f>
        <v>27.684582188773248</v>
      </c>
      <c r="BO3" s="11" t="s">
        <v>13</v>
      </c>
      <c r="BP3" s="11">
        <v>0.98</v>
      </c>
      <c r="BR3" s="1" t="s">
        <v>65</v>
      </c>
    </row>
    <row r="4" spans="1:80" x14ac:dyDescent="0.35">
      <c r="A4" s="16">
        <v>-25</v>
      </c>
      <c r="B4" s="7">
        <f>0.151140511695727*[21]syngas_streams_zaryad!$E$2</f>
        <v>1.8097478355340479</v>
      </c>
      <c r="C4" s="7">
        <f>[21]gas_streams_zaryad!$E$13</f>
        <v>0.71179635712151301</v>
      </c>
      <c r="D4" s="17">
        <f>[21]electric_zaryad!$E$5</f>
        <v>31.138984395053079</v>
      </c>
      <c r="E4" s="17">
        <f>[21]GTU_input_zaryad!$B$3</f>
        <v>0.7466406630312914</v>
      </c>
      <c r="F4" s="17">
        <f>[21]electric_zaryad!$C$5</f>
        <v>123.6884922377637</v>
      </c>
      <c r="G4" s="17">
        <f>[21]electric_zaryad!$B$7</f>
        <v>32.8827487516646</v>
      </c>
      <c r="H4" s="17">
        <f>[21]electric_zaryad!$C$12</f>
        <v>4.5370607446721938E-2</v>
      </c>
      <c r="I4" s="17">
        <f>[21]electric_zaryad!$C$6</f>
        <v>6.2123267341454058</v>
      </c>
      <c r="J4" s="17">
        <f>[21]electric_zaryad!$C$2</f>
        <v>2.5704854406649602</v>
      </c>
      <c r="K4" s="17">
        <f>[21]heaters_zaryad!$B$9</f>
        <v>99.914308030773768</v>
      </c>
      <c r="L4" s="17">
        <f>[21]heaters_zaryad!$B$8</f>
        <v>18.64256111232886</v>
      </c>
      <c r="M4" s="17">
        <f>[21]heaters_zaryad!$B$10</f>
        <v>8.4419812946116082</v>
      </c>
      <c r="N4" s="17">
        <f t="shared" si="0"/>
        <v>126.99885043771424</v>
      </c>
      <c r="O4" s="17">
        <f>[21]heaters_zaryad!$B$17/1000</f>
        <v>36.804291931202975</v>
      </c>
      <c r="P4" s="18">
        <f>[21]heaters_zaryad!$B$11/1000</f>
        <v>34.571553057120674</v>
      </c>
      <c r="Q4" s="17">
        <f>[21]gas_streams_zaryad!$E$4</f>
        <v>13.66448997973005</v>
      </c>
      <c r="R4" s="17">
        <f>[2]!PropsSI("H","P",[21]gas_streams_zaryad!$C$4*10^6,"T",[21]gas_streams_zaryad!$B$4+273.15,"REFPROP::"&amp;[2]!MixtureString($R$16:$R$20,$S$16:$S$20))/1000-[2]!PropsSI("H","P",[21]gas_streams_zaryad!$C$4*10^6,"T",R14+273.15,"REFPROP::"&amp;[2]!MixtureString($R$16:$R$20,$S$16:$S$20))/1000</f>
        <v>1005.1820610676375</v>
      </c>
      <c r="S4" s="19">
        <f t="shared" si="1"/>
        <v>13.735300201263131</v>
      </c>
      <c r="T4" s="17">
        <f t="shared" si="2"/>
        <v>146.59766219882388</v>
      </c>
      <c r="U4" s="16">
        <f t="shared" ref="U4:U10" si="16">N4+O4</f>
        <v>163.80314236891721</v>
      </c>
      <c r="V4" s="16">
        <f t="shared" ref="V4:V11" si="17">C4*$R$14</f>
        <v>35.732177127499952</v>
      </c>
      <c r="W4" s="16">
        <f t="shared" si="3"/>
        <v>90.849341343809215</v>
      </c>
      <c r="X4" s="20">
        <f t="shared" si="4"/>
        <v>0.54252143624485161</v>
      </c>
      <c r="Y4" s="20">
        <f t="shared" si="5"/>
        <v>0.58785045704233818</v>
      </c>
      <c r="Z4" s="20">
        <f t="shared" si="6"/>
        <v>0.74989264271664446</v>
      </c>
      <c r="AA4" s="20">
        <f t="shared" si="7"/>
        <v>0.93242093886436883</v>
      </c>
      <c r="AB4" s="20">
        <f t="shared" si="8"/>
        <v>0.57074242025422373</v>
      </c>
      <c r="AC4" s="20">
        <f t="shared" si="9"/>
        <v>0.78950448087802061</v>
      </c>
      <c r="AD4" s="16">
        <f t="shared" ref="AD4:AD11" si="18">(100*F4)/D4+$R$14*(B4+C4)</f>
        <v>523.79579710209703</v>
      </c>
      <c r="AE4" s="16">
        <f t="shared" ref="AE4:AE11" si="19">AD4/$R$14</f>
        <v>10.434179225141374</v>
      </c>
      <c r="AF4" s="7">
        <f>[21]syngas_streams_razryad!$E$10</f>
        <v>1.0811111111111109</v>
      </c>
      <c r="AG4" s="7">
        <f>[21]syngas_streams_razryad!$E$9</f>
        <v>3.2997870354208629</v>
      </c>
      <c r="AH4" s="17">
        <f>[21]accumulation_razryad!$E$3</f>
        <v>23.54273504191962</v>
      </c>
      <c r="AI4" s="17">
        <f>[21]electric_razryad!$E$5</f>
        <v>34.082383064645562</v>
      </c>
      <c r="AJ4" s="17">
        <f>[21]GTU_input_razryad!$B$3</f>
        <v>1</v>
      </c>
      <c r="AK4" s="17">
        <f>[21]electric_razryad!$C$5</f>
        <v>165.66</v>
      </c>
      <c r="AL4" s="17">
        <f>[21]electric_razryad!$B$7</f>
        <v>53.549315364904551</v>
      </c>
      <c r="AM4" s="17">
        <f>[21]electric_razryad!$C$12</f>
        <v>0.22338845464516821</v>
      </c>
      <c r="AN4" s="17">
        <f>[21]electric_razryad!$C$6</f>
        <v>6.3013810203264402</v>
      </c>
      <c r="AO4" s="17">
        <f>[21]electric_razryad!$C$2</f>
        <v>1.0795783612802781</v>
      </c>
      <c r="AP4" s="17">
        <f>[21]electric_razryad!$B$13</f>
        <v>46805.650471372763</v>
      </c>
      <c r="AQ4" s="17">
        <f>[21]electric_razryad!$B$14</f>
        <v>70231.660312158536</v>
      </c>
      <c r="AR4" s="17">
        <f>[21]heaters_razryad!$B$9</f>
        <v>92.856301362340346</v>
      </c>
      <c r="AS4" s="17">
        <f>[21]heaters_razryad!$B$8</f>
        <v>28.730221920396581</v>
      </c>
      <c r="AT4" s="17">
        <f>[21]heaters_razryad!$B$10</f>
        <v>8.0274256737265688</v>
      </c>
      <c r="AU4" s="17">
        <f t="shared" si="10"/>
        <v>129.6139489564635</v>
      </c>
      <c r="AV4" s="17">
        <f>[21]heaters_razryad!$B$18/1000</f>
        <v>34.175183802657841</v>
      </c>
      <c r="AW4" s="18">
        <f t="shared" ref="AW4:AW11" si="20">AK4+AL4*$BP$2*$BP$3-AM4/$BP$1/$BP$2-AN4-AO4/$BP$1/$BP$2</f>
        <v>209.92676674997301</v>
      </c>
      <c r="AX4" s="17">
        <f t="shared" si="11"/>
        <v>22.269219372910904</v>
      </c>
      <c r="AY4" s="19">
        <f t="shared" si="12"/>
        <v>232.19598612288391</v>
      </c>
      <c r="AZ4" s="19">
        <f t="shared" si="13"/>
        <v>163.78913275912134</v>
      </c>
      <c r="BA4" s="16">
        <f t="shared" ref="BA4:BA11" si="21">(100*AK4)/AI4</f>
        <v>486.0575614263397</v>
      </c>
      <c r="BB4" s="16">
        <f t="shared" ref="BB4:BB11" si="22">AG4*AH4</f>
        <v>77.686011869674815</v>
      </c>
      <c r="BC4" s="20">
        <f t="shared" si="14"/>
        <v>0.58894803948188124</v>
      </c>
      <c r="BD4" s="20">
        <f t="shared" ref="BD4:BD11" si="23">AW4/(BA4-AU4)</f>
        <v>0.58894803948188124</v>
      </c>
      <c r="BE4" s="20">
        <f t="shared" ref="BE4:BE11" si="24">(AW4+AU4)/(BA4)</f>
        <v>0.69856071101959949</v>
      </c>
      <c r="BF4" s="20">
        <f t="shared" ref="BF4:BF11" si="25">AX4/(BB4-AV4)</f>
        <v>0.51180867756897286</v>
      </c>
      <c r="BG4" s="20">
        <f t="shared" ref="BG4:BG11" si="26">(AX4+AV4)/(BB4)</f>
        <v>0.726570998010031</v>
      </c>
      <c r="BH4" s="20">
        <f t="shared" ref="BH4:BH11" si="27">AY4/(BB4+BA4-AZ4)</f>
        <v>0.58055608986660401</v>
      </c>
      <c r="BI4" s="20">
        <f t="shared" ref="BI4:BI11" si="28">(AY4+AZ4)/(BA4+BB4)</f>
        <v>0.70242063526652132</v>
      </c>
      <c r="BJ4" s="16">
        <f t="shared" ref="BJ4:BJ11" si="29">BA4-AF4*AH4</f>
        <v>460.60524898657548</v>
      </c>
      <c r="BK4" s="16">
        <f t="shared" ref="BK4:BK11" si="30">BJ4/$R$14</f>
        <v>9.175403366266444</v>
      </c>
      <c r="BL4" s="16">
        <f t="shared" si="15"/>
        <v>8.5527112564854676E-3</v>
      </c>
      <c r="BM4" s="18">
        <f>T4-'Без ПКМ'!B4</f>
        <v>-40.859558472925187</v>
      </c>
      <c r="BN4" s="19">
        <f>AY4-'Без ПКМ'!H4</f>
        <v>27.067874118269373</v>
      </c>
      <c r="BO4" s="17" t="s">
        <v>28</v>
      </c>
      <c r="BP4" s="17">
        <v>50.2</v>
      </c>
      <c r="BR4" s="1" t="s">
        <v>31</v>
      </c>
    </row>
    <row r="5" spans="1:80" x14ac:dyDescent="0.35">
      <c r="A5" s="16">
        <v>-20</v>
      </c>
      <c r="B5" s="7">
        <f>0.151140511695727*[22]syngas_streams_zaryad!$E$2</f>
        <v>1.8097467594850216</v>
      </c>
      <c r="C5" s="7">
        <f>[22]gas_streams_zaryad!$E$13</f>
        <v>0.71196943258744461</v>
      </c>
      <c r="D5" s="17">
        <f>[22]electric_zaryad!$E$5</f>
        <v>31.60833630360203</v>
      </c>
      <c r="E5" s="17">
        <f>[22]GTU_input_zaryad!$B$3</f>
        <v>0.77936866286876294</v>
      </c>
      <c r="F5" s="17">
        <f>[22]electric_zaryad!$C$5</f>
        <v>129.11021269083929</v>
      </c>
      <c r="G5" s="17">
        <f>[22]electric_zaryad!$B$7</f>
        <v>35.45395799005653</v>
      </c>
      <c r="H5" s="17">
        <f>[22]electric_zaryad!$C$12</f>
        <v>4.5141605718147293E-2</v>
      </c>
      <c r="I5" s="17">
        <f>[22]electric_zaryad!$C$6</f>
        <v>6.2238304296418097</v>
      </c>
      <c r="J5" s="17">
        <f>[22]electric_zaryad!$C$2</f>
        <v>2.2797799773862408</v>
      </c>
      <c r="K5" s="17">
        <f>[22]heaters_zaryad!$B$9</f>
        <v>100.56379823483459</v>
      </c>
      <c r="L5" s="17">
        <f>[22]heaters_zaryad!$B$8</f>
        <v>21.980273923143599</v>
      </c>
      <c r="M5" s="17">
        <f>[22]heaters_zaryad!$B$10</f>
        <v>8.6886914567165707</v>
      </c>
      <c r="N5" s="17">
        <f t="shared" si="0"/>
        <v>131.23276361469476</v>
      </c>
      <c r="O5" s="17">
        <f>[22]heaters_zaryad!$B$17/1000</f>
        <v>37.246713942470322</v>
      </c>
      <c r="P5" s="18">
        <f>[22]heaters_zaryad!$B$11/1000</f>
        <v>34.566003133843296</v>
      </c>
      <c r="Q5" s="17">
        <f>[22]gas_streams_zaryad!$E$4</f>
        <v>13.667812542351079</v>
      </c>
      <c r="R5" s="17">
        <f>[2]!PropsSI("H","P",[22]gas_streams_zaryad!$C$4*10^6,"T",[22]gas_streams_zaryad!$B$4+273.15,"REFPROP::"&amp;[2]!MixtureString($R$16:$R$20,$S$16:$S$20))/1000-[2]!PropsSI("H","P",[22]gas_streams_zaryad!$C$4*10^6,"T",S15+273.15,"REFPROP::"&amp;[2]!MixtureString($R$16:$R$20,$S$16:$S$20))/1000</f>
        <v>1246.7674708223194</v>
      </c>
      <c r="S5" s="19">
        <f t="shared" si="1"/>
        <v>17.040584075100629</v>
      </c>
      <c r="T5" s="17">
        <f t="shared" si="2"/>
        <v>154.81180636683516</v>
      </c>
      <c r="U5" s="16">
        <f t="shared" si="16"/>
        <v>168.47947755716507</v>
      </c>
      <c r="V5" s="16">
        <f t="shared" si="17"/>
        <v>35.740865515889723</v>
      </c>
      <c r="W5" s="16">
        <f t="shared" si="3"/>
        <v>90.849287326148087</v>
      </c>
      <c r="X5" s="20">
        <f t="shared" si="4"/>
        <v>0.55841142381925557</v>
      </c>
      <c r="Y5" s="20">
        <f t="shared" si="5"/>
        <v>0.59609333241281448</v>
      </c>
      <c r="Z5" s="20">
        <f t="shared" si="6"/>
        <v>0.75347462544935606</v>
      </c>
      <c r="AA5" s="20">
        <f t="shared" si="7"/>
        <v>0.96509241588109396</v>
      </c>
      <c r="AB5" s="20">
        <f t="shared" si="8"/>
        <v>0.58765218465126401</v>
      </c>
      <c r="AC5" s="20">
        <f t="shared" si="9"/>
        <v>0.79697677012308477</v>
      </c>
      <c r="AD5" s="16">
        <f t="shared" si="18"/>
        <v>535.05901830436244</v>
      </c>
      <c r="AE5" s="16">
        <f t="shared" si="19"/>
        <v>10.658546181361801</v>
      </c>
      <c r="AF5" s="7">
        <f>[22]syngas_streams_razryad!$E$10</f>
        <v>1.0811111111111109</v>
      </c>
      <c r="AG5" s="7">
        <f>[22]syngas_streams_razryad!$E$9</f>
        <v>3.2997870354208629</v>
      </c>
      <c r="AH5" s="17">
        <f>[22]accumulation_razryad!$E$3</f>
        <v>23.54273504191962</v>
      </c>
      <c r="AI5" s="17">
        <f>[22]electric_razryad!$E$5</f>
        <v>34.091218921592109</v>
      </c>
      <c r="AJ5" s="17">
        <f>[22]GTU_input_razryad!$B$3</f>
        <v>1</v>
      </c>
      <c r="AK5" s="17">
        <f>[22]electric_razryad!$C$5</f>
        <v>165.66</v>
      </c>
      <c r="AL5" s="17">
        <f>[22]electric_razryad!$B$7</f>
        <v>54.972306112825763</v>
      </c>
      <c r="AM5" s="17">
        <f>[22]electric_razryad!$C$12</f>
        <v>0.21123383913301461</v>
      </c>
      <c r="AN5" s="17">
        <f>[22]electric_razryad!$C$6</f>
        <v>6.3013810203264402</v>
      </c>
      <c r="AO5" s="17">
        <f>[22]electric_razryad!$C$2</f>
        <v>0.9546950663174909</v>
      </c>
      <c r="AP5" s="17">
        <f>[22]electric_razryad!$B$13</f>
        <v>46839.268921184201</v>
      </c>
      <c r="AQ5" s="17">
        <f>[22]electric_razryad!$B$14</f>
        <v>70279.851547881801</v>
      </c>
      <c r="AR5" s="17">
        <f>[22]heaters_razryad!$B$9</f>
        <v>92.105843728354003</v>
      </c>
      <c r="AS5" s="17">
        <f>[22]heaters_razryad!$B$8</f>
        <v>33.303346936602303</v>
      </c>
      <c r="AT5" s="17">
        <f>[22]heaters_razryad!$B$10</f>
        <v>8.124579308691855</v>
      </c>
      <c r="AU5" s="17">
        <f t="shared" si="10"/>
        <v>133.53376997364816</v>
      </c>
      <c r="AV5" s="17">
        <f>[22]heaters_razryad!$B$18/1000</f>
        <v>34.93565108968393</v>
      </c>
      <c r="AW5" s="18">
        <f t="shared" si="20"/>
        <v>211.45305988075657</v>
      </c>
      <c r="AX5" s="17">
        <f t="shared" si="11"/>
        <v>22.28302842899441</v>
      </c>
      <c r="AY5" s="19">
        <f t="shared" si="12"/>
        <v>233.73608830975098</v>
      </c>
      <c r="AZ5" s="19">
        <f t="shared" si="13"/>
        <v>168.46942106333211</v>
      </c>
      <c r="BA5" s="16">
        <f t="shared" si="21"/>
        <v>485.93158367557555</v>
      </c>
      <c r="BB5" s="16">
        <f t="shared" si="22"/>
        <v>77.686011869674815</v>
      </c>
      <c r="BC5" s="20">
        <f t="shared" si="14"/>
        <v>0.60004078248797621</v>
      </c>
      <c r="BD5" s="20">
        <f t="shared" si="23"/>
        <v>0.60004078248797621</v>
      </c>
      <c r="BE5" s="20">
        <f t="shared" si="24"/>
        <v>0.70994938679419051</v>
      </c>
      <c r="BF5" s="20">
        <f t="shared" si="25"/>
        <v>0.52123603222136738</v>
      </c>
      <c r="BG5" s="20">
        <f t="shared" si="26"/>
        <v>0.73653773879740103</v>
      </c>
      <c r="BH5" s="20">
        <f t="shared" si="27"/>
        <v>0.59151504019018708</v>
      </c>
      <c r="BI5" s="20">
        <f t="shared" si="28"/>
        <v>0.71361418194189741</v>
      </c>
      <c r="BJ5" s="16">
        <f t="shared" si="29"/>
        <v>460.47927123581132</v>
      </c>
      <c r="BK5" s="16">
        <f t="shared" si="30"/>
        <v>9.1728938493189496</v>
      </c>
      <c r="BL5" s="16">
        <f t="shared" si="15"/>
        <v>5.9689725886943237E-3</v>
      </c>
      <c r="BM5" s="18">
        <f>T5-'Без ПКМ'!B5</f>
        <v>-43.040220632537483</v>
      </c>
      <c r="BN5" s="19">
        <f>AY5-'Без ПКМ'!H5</f>
        <v>26.78672879840596</v>
      </c>
      <c r="BO5" s="17"/>
      <c r="BP5" s="17"/>
      <c r="BT5" s="44"/>
      <c r="CB5" s="44"/>
    </row>
    <row r="6" spans="1:80" x14ac:dyDescent="0.35">
      <c r="A6" s="16">
        <v>-15</v>
      </c>
      <c r="B6" s="7">
        <f>0.151140511695727*[23]syngas_streams_zaryad!$E$2</f>
        <v>1.8097559656244049</v>
      </c>
      <c r="C6" s="7">
        <f>[23]gas_streams_zaryad!$E$13</f>
        <v>0.71133673718148671</v>
      </c>
      <c r="D6" s="17">
        <f>[23]electric_zaryad!$E$5</f>
        <v>31.457545388526508</v>
      </c>
      <c r="E6" s="17">
        <f>[23]GTU_input_zaryad!$B$3</f>
        <v>0.76859790273171669</v>
      </c>
      <c r="F6" s="17">
        <f>[23]electric_zaryad!$C$5</f>
        <v>127.32592856653621</v>
      </c>
      <c r="G6" s="17">
        <f>[23]electric_zaryad!$B$7</f>
        <v>37.238274091301378</v>
      </c>
      <c r="H6" s="17">
        <f>[23]electric_zaryad!$C$12</f>
        <v>4.5516453455480492E-2</v>
      </c>
      <c r="I6" s="17">
        <f>[23]electric_zaryad!$C$6</f>
        <v>6.2200445721040234</v>
      </c>
      <c r="J6" s="17">
        <f>[23]electric_zaryad!$C$2</f>
        <v>2.270579670987273</v>
      </c>
      <c r="K6" s="17">
        <f>[23]heaters_zaryad!$B$9</f>
        <v>96.345206919416043</v>
      </c>
      <c r="L6" s="17">
        <f>[23]heaters_zaryad!$B$8</f>
        <v>26.079372311913389</v>
      </c>
      <c r="M6" s="17">
        <f>[23]heaters_zaryad!$B$10</f>
        <v>8.3288049713219294</v>
      </c>
      <c r="N6" s="17">
        <f t="shared" si="0"/>
        <v>130.75338420265138</v>
      </c>
      <c r="O6" s="17">
        <f>[23]heaters_zaryad!$B$17/1000</f>
        <v>37.500573634693794</v>
      </c>
      <c r="P6" s="18">
        <f>[23]heaters_zaryad!$B$11/1000</f>
        <v>34.586458267877738</v>
      </c>
      <c r="Q6" s="17">
        <f>[23]gas_streams_zaryad!$E$4</f>
        <v>13.655666568367881</v>
      </c>
      <c r="R6" s="17">
        <f>[2]!PropsSI("H","P",[23]gas_streams_zaryad!$C$4*10^6,"T",[23]gas_streams_zaryad!$B$4+273.15,"REFPROP::"&amp;[2]!MixtureString($R$16:$R$20,$S$16:$S$20))/1000-[2]!PropsSI("H","P",[23]gas_streams_zaryad!$C$4*10^6,"T",S16+273.15,"REFPROP::"&amp;[2]!MixtureString($R$16:$R$20,$S$16:$S$20))/1000</f>
        <v>1245.3598293915852</v>
      </c>
      <c r="S6" s="19">
        <f t="shared" si="1"/>
        <v>17.006218587810999</v>
      </c>
      <c r="T6" s="17">
        <f t="shared" si="2"/>
        <v>154.77183537592788</v>
      </c>
      <c r="U6" s="16">
        <f t="shared" si="16"/>
        <v>168.25395783734518</v>
      </c>
      <c r="V6" s="16">
        <f t="shared" si="17"/>
        <v>35.709104206510638</v>
      </c>
      <c r="W6" s="16">
        <f t="shared" si="3"/>
        <v>90.849749474345131</v>
      </c>
      <c r="X6" s="20">
        <f t="shared" si="4"/>
        <v>0.56485777046724372</v>
      </c>
      <c r="Y6" s="20">
        <f t="shared" si="5"/>
        <v>0.60358442593184325</v>
      </c>
      <c r="Z6" s="20">
        <f t="shared" si="6"/>
        <v>0.75898827759274134</v>
      </c>
      <c r="AA6" s="20">
        <f t="shared" si="7"/>
        <v>0.96717700671600026</v>
      </c>
      <c r="AB6" s="20">
        <f t="shared" si="8"/>
        <v>0.59545633960073141</v>
      </c>
      <c r="AC6" s="20">
        <f t="shared" si="9"/>
        <v>0.80209515655808283</v>
      </c>
      <c r="AD6" s="16">
        <f t="shared" si="18"/>
        <v>531.31366526566467</v>
      </c>
      <c r="AE6" s="16">
        <f t="shared" si="19"/>
        <v>10.583937555092922</v>
      </c>
      <c r="AF6" s="7">
        <f>[23]syngas_streams_razryad!$E$10</f>
        <v>1.0811111111111109</v>
      </c>
      <c r="AG6" s="7">
        <f>[23]syngas_streams_razryad!$E$9</f>
        <v>3.2997870354208629</v>
      </c>
      <c r="AH6" s="17">
        <f>[23]accumulation_razryad!$E$3</f>
        <v>23.54273504191962</v>
      </c>
      <c r="AI6" s="17">
        <f>[23]electric_razryad!$E$5</f>
        <v>34.094845350390223</v>
      </c>
      <c r="AJ6" s="17">
        <f>[23]GTU_input_razryad!$B$3</f>
        <v>1</v>
      </c>
      <c r="AK6" s="17">
        <f>[23]electric_razryad!$C$5</f>
        <v>165.66</v>
      </c>
      <c r="AL6" s="17">
        <f>[23]electric_razryad!$B$7</f>
        <v>57.810217090493673</v>
      </c>
      <c r="AM6" s="17">
        <f>[23]electric_razryad!$C$12</f>
        <v>0.21634427101629969</v>
      </c>
      <c r="AN6" s="17">
        <f>[23]electric_razryad!$C$6</f>
        <v>6.3013810203264402</v>
      </c>
      <c r="AO6" s="17">
        <f>[23]electric_razryad!$C$2</f>
        <v>0.83102874182279696</v>
      </c>
      <c r="AP6" s="17">
        <f>[23]electric_razryad!$B$13</f>
        <v>46872.93802369092</v>
      </c>
      <c r="AQ6" s="17">
        <f>[23]electric_razryad!$B$14</f>
        <v>70328.115386403413</v>
      </c>
      <c r="AR6" s="17">
        <f>[23]heaters_razryad!$B$9</f>
        <v>84.521282039843072</v>
      </c>
      <c r="AS6" s="17">
        <f>[23]heaters_razryad!$B$8</f>
        <v>40.576436119035399</v>
      </c>
      <c r="AT6" s="17">
        <f>[23]heaters_razryad!$B$10</f>
        <v>7.4535732001236452</v>
      </c>
      <c r="AU6" s="17">
        <f t="shared" si="10"/>
        <v>132.55129135900211</v>
      </c>
      <c r="AV6" s="17">
        <f>[23]heaters_razryad!$B$18/1000</f>
        <v>35.696780361733843</v>
      </c>
      <c r="AW6" s="18">
        <f t="shared" si="20"/>
        <v>214.33245735011124</v>
      </c>
      <c r="AX6" s="17">
        <f t="shared" si="11"/>
        <v>22.296858284671487</v>
      </c>
      <c r="AY6" s="19">
        <f t="shared" si="12"/>
        <v>236.62931563478273</v>
      </c>
      <c r="AZ6" s="19">
        <f t="shared" si="13"/>
        <v>168.24807172073594</v>
      </c>
      <c r="BA6" s="16">
        <f t="shared" si="21"/>
        <v>485.87989855218387</v>
      </c>
      <c r="BB6" s="16">
        <f t="shared" si="22"/>
        <v>77.686011869674815</v>
      </c>
      <c r="BC6" s="20">
        <f t="shared" si="14"/>
        <v>0.6066094083146949</v>
      </c>
      <c r="BD6" s="20">
        <f t="shared" si="23"/>
        <v>0.6066094083146949</v>
      </c>
      <c r="BE6" s="20">
        <f t="shared" si="24"/>
        <v>0.71392899715084168</v>
      </c>
      <c r="BF6" s="20">
        <f t="shared" si="25"/>
        <v>0.53101372623251564</v>
      </c>
      <c r="BG6" s="20">
        <f t="shared" si="26"/>
        <v>0.74651326861385048</v>
      </c>
      <c r="BH6" s="20">
        <f t="shared" si="27"/>
        <v>0.5985799082891492</v>
      </c>
      <c r="BI6" s="20">
        <f t="shared" si="28"/>
        <v>0.71842064941871064</v>
      </c>
      <c r="BJ6" s="16">
        <f t="shared" si="29"/>
        <v>460.42758611241965</v>
      </c>
      <c r="BK6" s="16">
        <f t="shared" si="30"/>
        <v>9.1718642651876419</v>
      </c>
      <c r="BL6" s="16">
        <f t="shared" si="15"/>
        <v>3.4983525409471926E-3</v>
      </c>
      <c r="BM6" s="18">
        <f>T6-'Без ПКМ'!B6</f>
        <v>-43.714649777437359</v>
      </c>
      <c r="BN6" s="19">
        <f>AY6-'Без ПКМ'!H6</f>
        <v>26.934432804245773</v>
      </c>
      <c r="BO6" s="17"/>
      <c r="BP6" s="17"/>
    </row>
    <row r="7" spans="1:80" x14ac:dyDescent="0.35">
      <c r="A7" s="16">
        <v>-10</v>
      </c>
      <c r="B7" s="7">
        <f>0.151140511695727*[24]syngas_streams_zaryad!$E$2</f>
        <v>1.8097523998292475</v>
      </c>
      <c r="C7" s="7">
        <f>[24]gas_streams_zaryad!$E$13</f>
        <v>0.71062674817683169</v>
      </c>
      <c r="D7" s="17">
        <f>[24]electric_zaryad!$E$5</f>
        <v>31.298009506417241</v>
      </c>
      <c r="E7" s="17">
        <f>[24]GTU_input_zaryad!$B$3</f>
        <v>0.75780595455992827</v>
      </c>
      <c r="F7" s="17">
        <f>[24]electric_zaryad!$C$5</f>
        <v>125.5381344323977</v>
      </c>
      <c r="G7" s="17">
        <f>[24]electric_zaryad!$B$7</f>
        <v>39.052931109737493</v>
      </c>
      <c r="H7" s="17">
        <f>[24]electric_zaryad!$C$12</f>
        <v>4.5263573194534369E-2</v>
      </c>
      <c r="I7" s="17">
        <f>[24]electric_zaryad!$C$6</f>
        <v>6.2162512670992029</v>
      </c>
      <c r="J7" s="17">
        <f>[24]electric_zaryad!$C$2</f>
        <v>2.2477866516648</v>
      </c>
      <c r="K7" s="17">
        <f>[24]heaters_zaryad!$B$9</f>
        <v>91.212708112827315</v>
      </c>
      <c r="L7" s="17">
        <f>[24]heaters_zaryad!$B$8</f>
        <v>31.171616358570549</v>
      </c>
      <c r="M7" s="17">
        <f>[24]heaters_zaryad!$B$10</f>
        <v>7.8877691870793161</v>
      </c>
      <c r="N7" s="17">
        <f t="shared" si="0"/>
        <v>130.27209365847719</v>
      </c>
      <c r="O7" s="17">
        <f>[24]heaters_zaryad!$B$17/1000</f>
        <v>37.760020920988744</v>
      </c>
      <c r="P7" s="18">
        <f>[24]heaters_zaryad!$B$11/1000</f>
        <v>34.60897265768449</v>
      </c>
      <c r="Q7" s="17">
        <f>[24]gas_streams_zaryad!$E$4</f>
        <v>13.642036774477029</v>
      </c>
      <c r="R7" s="17">
        <f>[2]!PropsSI("H","P",[24]gas_streams_zaryad!$C$4*10^6,"T",[24]gas_streams_zaryad!$B$4+273.15,"REFPROP::"&amp;[2]!MixtureString($R$16:$R$20,$S$16:$S$20))/1000-[2]!PropsSI("H","P",[24]gas_streams_zaryad!$C$4*10^6,"T",S17+273.15,"REFPROP::"&amp;[2]!MixtureString($R$16:$R$20,$S$16:$S$20))/1000</f>
        <v>1246.4115417513406</v>
      </c>
      <c r="S7" s="19">
        <f t="shared" si="1"/>
        <v>17.003592088704398</v>
      </c>
      <c r="T7" s="17">
        <f t="shared" si="2"/>
        <v>154.77291866655236</v>
      </c>
      <c r="U7" s="16">
        <f t="shared" si="16"/>
        <v>168.03211457946594</v>
      </c>
      <c r="V7" s="16">
        <f t="shared" si="17"/>
        <v>35.673462758476951</v>
      </c>
      <c r="W7" s="16">
        <f t="shared" si="3"/>
        <v>90.849570471428237</v>
      </c>
      <c r="X7" s="20">
        <f t="shared" si="4"/>
        <v>0.57146843074825127</v>
      </c>
      <c r="Y7" s="20">
        <f t="shared" si="5"/>
        <v>0.61119905248151607</v>
      </c>
      <c r="Z7" s="20">
        <f t="shared" si="6"/>
        <v>0.76452235625391751</v>
      </c>
      <c r="AA7" s="20">
        <f t="shared" si="7"/>
        <v>0.96963319195613495</v>
      </c>
      <c r="AB7" s="20">
        <f t="shared" si="8"/>
        <v>0.60350106006701898</v>
      </c>
      <c r="AC7" s="20">
        <f t="shared" si="9"/>
        <v>0.80727838007757569</v>
      </c>
      <c r="AD7" s="16">
        <f t="shared" si="18"/>
        <v>527.62884287143447</v>
      </c>
      <c r="AE7" s="16">
        <f t="shared" si="19"/>
        <v>10.510534718554471</v>
      </c>
      <c r="AF7" s="7">
        <f>[24]syngas_streams_razryad!$E$10</f>
        <v>1.0811111111111109</v>
      </c>
      <c r="AG7" s="7">
        <f>[24]syngas_streams_razryad!$E$9</f>
        <v>3.2997870354208629</v>
      </c>
      <c r="AH7" s="17">
        <f>[24]accumulation_razryad!$E$3</f>
        <v>23.54273504191962</v>
      </c>
      <c r="AI7" s="17">
        <f>[24]electric_razryad!$E$5</f>
        <v>34.086911016241331</v>
      </c>
      <c r="AJ7" s="17">
        <f>[24]GTU_input_razryad!$B$3</f>
        <v>1</v>
      </c>
      <c r="AK7" s="17">
        <f>[24]electric_razryad!$C$5</f>
        <v>165.66</v>
      </c>
      <c r="AL7" s="17">
        <f>[24]electric_razryad!$B$7</f>
        <v>60.557028515570018</v>
      </c>
      <c r="AM7" s="17">
        <f>[24]electric_razryad!$C$12</f>
        <v>0.2230652512469096</v>
      </c>
      <c r="AN7" s="17">
        <f>[24]electric_razryad!$C$6</f>
        <v>6.3013810203264402</v>
      </c>
      <c r="AO7" s="17">
        <f>[24]electric_razryad!$C$2</f>
        <v>0.71092456126305648</v>
      </c>
      <c r="AP7" s="17">
        <f>[24]electric_razryad!$B$13</f>
        <v>46906.656904943753</v>
      </c>
      <c r="AQ7" s="17">
        <f>[24]electric_razryad!$B$14</f>
        <v>70376.450574922987</v>
      </c>
      <c r="AR7" s="17">
        <f>[24]heaters_razryad!$B$9</f>
        <v>75.447959019205442</v>
      </c>
      <c r="AS7" s="17">
        <f>[24]heaters_razryad!$B$8</f>
        <v>49.481995717776613</v>
      </c>
      <c r="AT7" s="17">
        <f>[24]heaters_razryad!$B$10</f>
        <v>6.6405966738944402</v>
      </c>
      <c r="AU7" s="17">
        <f t="shared" si="10"/>
        <v>131.5705514108765</v>
      </c>
      <c r="AV7" s="17">
        <f>[24]heaters_razryad!$B$18/1000</f>
        <v>36.458587320236468</v>
      </c>
      <c r="AW7" s="18">
        <f t="shared" si="20"/>
        <v>217.11797009491076</v>
      </c>
      <c r="AX7" s="17">
        <f t="shared" si="11"/>
        <v>22.310708580945402</v>
      </c>
      <c r="AY7" s="19">
        <f t="shared" si="12"/>
        <v>239.42867867585616</v>
      </c>
      <c r="AZ7" s="19">
        <f t="shared" si="13"/>
        <v>168.02913873111297</v>
      </c>
      <c r="BA7" s="16">
        <f t="shared" si="21"/>
        <v>485.99299573102496</v>
      </c>
      <c r="BB7" s="16">
        <f t="shared" si="22"/>
        <v>77.686011869674815</v>
      </c>
      <c r="BC7" s="20">
        <f t="shared" si="14"/>
        <v>0.61259655976749861</v>
      </c>
      <c r="BD7" s="20">
        <f t="shared" si="23"/>
        <v>0.61259655976749861</v>
      </c>
      <c r="BE7" s="20">
        <f t="shared" si="24"/>
        <v>0.71747643395825922</v>
      </c>
      <c r="BF7" s="20">
        <f t="shared" si="25"/>
        <v>0.54116183159079601</v>
      </c>
      <c r="BG7" s="20">
        <f t="shared" si="26"/>
        <v>0.75649778495223285</v>
      </c>
      <c r="BH7" s="20">
        <f t="shared" si="27"/>
        <v>0.60515293322332953</v>
      </c>
      <c r="BI7" s="20">
        <f t="shared" si="28"/>
        <v>0.72285434070236831</v>
      </c>
      <c r="BJ7" s="16">
        <f t="shared" si="29"/>
        <v>460.54068329126073</v>
      </c>
      <c r="BK7" s="16">
        <f t="shared" si="30"/>
        <v>9.1741171970370665</v>
      </c>
      <c r="BL7" s="16">
        <f t="shared" si="15"/>
        <v>1.7709997641952942E-3</v>
      </c>
      <c r="BM7" s="18">
        <f>T7-'Без ПКМ'!B7</f>
        <v>-44.059936656222732</v>
      </c>
      <c r="BN7" s="19">
        <f>AY7-'Без ПКМ'!H7</f>
        <v>27.128103704479258</v>
      </c>
      <c r="BO7" s="17"/>
      <c r="BP7" s="17"/>
    </row>
    <row r="8" spans="1:80" x14ac:dyDescent="0.35">
      <c r="A8" s="16">
        <v>-5</v>
      </c>
      <c r="B8" s="7">
        <f>0.151140511695727*[25]syngas_streams_zaryad!$E$2</f>
        <v>1.8097516321512293</v>
      </c>
      <c r="C8" s="7">
        <f>[25]gas_streams_zaryad!$E$13</f>
        <v>0.70994575489252043</v>
      </c>
      <c r="D8" s="17">
        <f>[25]electric_zaryad!$E$5</f>
        <v>31.204228437875301</v>
      </c>
      <c r="E8" s="17">
        <f>[25]GTU_input_zaryad!$B$3</f>
        <v>0.75277705278759055</v>
      </c>
      <c r="F8" s="17">
        <f>[25]electric_zaryad!$C$5</f>
        <v>124.7050465647923</v>
      </c>
      <c r="G8" s="17">
        <f>[25]electric_zaryad!$B$7</f>
        <v>40.959891939828942</v>
      </c>
      <c r="H8" s="17">
        <f>[25]electric_zaryad!$C$12</f>
        <v>4.5213557957265602E-2</v>
      </c>
      <c r="I8" s="17">
        <f>[25]electric_zaryad!$C$6</f>
        <v>6.2144836383116937</v>
      </c>
      <c r="J8" s="17">
        <f>[25]electric_zaryad!$C$2</f>
        <v>2.1418986741317489</v>
      </c>
      <c r="K8" s="17">
        <f>[25]heaters_zaryad!$B$9</f>
        <v>84.903064664680002</v>
      </c>
      <c r="L8" s="17">
        <f>[25]heaters_zaryad!$B$8</f>
        <v>37.515596077873823</v>
      </c>
      <c r="M8" s="17">
        <f>[25]heaters_zaryad!$B$10</f>
        <v>7.3413838469779167</v>
      </c>
      <c r="N8" s="17">
        <f t="shared" si="0"/>
        <v>129.76004458953173</v>
      </c>
      <c r="O8" s="17">
        <f>[25]heaters_zaryad!$B$17/1000</f>
        <v>38.05381614789242</v>
      </c>
      <c r="P8" s="18">
        <f>[25]heaters_zaryad!$B$11/1000</f>
        <v>34.630651485988771</v>
      </c>
      <c r="Q8" s="17">
        <f>[25]gas_streams_zaryad!$E$4</f>
        <v>13.628963616941681</v>
      </c>
      <c r="R8" s="17">
        <f>[2]!PropsSI("H","P",[25]gas_streams_zaryad!$C$4*10^6,"T",[25]gas_streams_zaryad!$B$4+273.15,"REFPROP::"&amp;[2]!MixtureString($R$16:$R$20,$S$16:$S$20))/1000-[2]!PropsSI("H","P",[25]gas_streams_zaryad!$C$4*10^6,"T",S18+273.15,"REFPROP::"&amp;[2]!MixtureString($R$16:$R$20,$S$16:$S$20))/1000</f>
        <v>1246.5891221948264</v>
      </c>
      <c r="S8" s="19">
        <f t="shared" si="1"/>
        <v>16.989717791668554</v>
      </c>
      <c r="T8" s="17">
        <f t="shared" si="2"/>
        <v>155.90437190246328</v>
      </c>
      <c r="U8" s="16">
        <f t="shared" si="16"/>
        <v>167.81386073742414</v>
      </c>
      <c r="V8" s="16">
        <f t="shared" si="17"/>
        <v>35.639276895604524</v>
      </c>
      <c r="W8" s="16">
        <f t="shared" si="3"/>
        <v>90.849531933991713</v>
      </c>
      <c r="X8" s="20">
        <f t="shared" si="4"/>
        <v>0.57767723134861182</v>
      </c>
      <c r="Y8" s="20">
        <f t="shared" si="5"/>
        <v>0.61807821715850197</v>
      </c>
      <c r="Z8" s="20">
        <f t="shared" si="6"/>
        <v>0.76877356849081135</v>
      </c>
      <c r="AA8" s="20">
        <f t="shared" si="7"/>
        <v>0.97230660936043456</v>
      </c>
      <c r="AB8" s="20">
        <f t="shared" si="8"/>
        <v>0.61096292129475882</v>
      </c>
      <c r="AC8" s="20">
        <f t="shared" si="9"/>
        <v>0.81131337590313823</v>
      </c>
      <c r="AD8" s="16">
        <f t="shared" si="18"/>
        <v>526.13030874063679</v>
      </c>
      <c r="AE8" s="16">
        <f>AD8/$R$14</f>
        <v>10.480683441048541</v>
      </c>
      <c r="AF8" s="7">
        <f>[25]syngas_streams_razryad!$E$10</f>
        <v>1.0811111111111109</v>
      </c>
      <c r="AG8" s="7">
        <f>[25]syngas_streams_razryad!$E$9</f>
        <v>3.299969266969438</v>
      </c>
      <c r="AH8" s="17">
        <f>[25]accumulation_razryad!$E$3</f>
        <v>23.541755779113611</v>
      </c>
      <c r="AI8" s="17">
        <f>[25]electric_razryad!$E$5</f>
        <v>34.061064584346838</v>
      </c>
      <c r="AJ8" s="17">
        <f>[25]GTU_input_razryad!$B$3</f>
        <v>1</v>
      </c>
      <c r="AK8" s="17">
        <f>[25]electric_razryad!$C$5</f>
        <v>165.66</v>
      </c>
      <c r="AL8" s="17">
        <f>[25]electric_razryad!$B$7</f>
        <v>63.098637642881229</v>
      </c>
      <c r="AM8" s="17">
        <f>[25]electric_razryad!$C$12</f>
        <v>0.23591423780067719</v>
      </c>
      <c r="AN8" s="17">
        <f>[25]electric_razryad!$C$6</f>
        <v>6.3013810203264402</v>
      </c>
      <c r="AO8" s="17">
        <f>[25]electric_razryad!$C$2</f>
        <v>0.71661359486753717</v>
      </c>
      <c r="AP8" s="17">
        <f>[25]electric_razryad!$B$13</f>
        <v>46940.901942022218</v>
      </c>
      <c r="AQ8" s="17">
        <f>[25]electric_razryad!$B$14</f>
        <v>70425.696351193052</v>
      </c>
      <c r="AR8" s="17">
        <f>[25]heaters_razryad!$B$9</f>
        <v>64.623860089961511</v>
      </c>
      <c r="AS8" s="17">
        <f>[25]heaters_razryad!$B$8</f>
        <v>60.308698669491868</v>
      </c>
      <c r="AT8" s="17">
        <f>[25]heaters_razryad!$B$10</f>
        <v>5.6585661482996894</v>
      </c>
      <c r="AU8" s="17">
        <f t="shared" si="10"/>
        <v>130.59112490775306</v>
      </c>
      <c r="AV8" s="17">
        <f>[25]heaters_razryad!$B$18/1000</f>
        <v>37.221556971155366</v>
      </c>
      <c r="AW8" s="18">
        <f t="shared" si="20"/>
        <v>219.56412845666273</v>
      </c>
      <c r="AX8" s="17">
        <f t="shared" si="11"/>
        <v>22.324926696745731</v>
      </c>
      <c r="AY8" s="19">
        <f t="shared" si="12"/>
        <v>241.88905515340846</v>
      </c>
      <c r="AZ8" s="19">
        <f t="shared" si="13"/>
        <v>167.81268187890842</v>
      </c>
      <c r="BA8" s="16">
        <f t="shared" si="21"/>
        <v>486.36178000182355</v>
      </c>
      <c r="BB8" s="16">
        <f t="shared" si="22"/>
        <v>77.687070561575069</v>
      </c>
      <c r="BC8" s="20">
        <f t="shared" si="14"/>
        <v>0.61715075516446705</v>
      </c>
      <c r="BD8" s="20">
        <f t="shared" si="23"/>
        <v>0.61715075516446705</v>
      </c>
      <c r="BE8" s="20">
        <f t="shared" si="24"/>
        <v>0.71994812866073266</v>
      </c>
      <c r="BF8" s="20">
        <f t="shared" si="25"/>
        <v>0.55170254164353927</v>
      </c>
      <c r="BG8" s="20">
        <f t="shared" si="26"/>
        <v>0.76649155692779447</v>
      </c>
      <c r="BH8" s="20">
        <f t="shared" si="27"/>
        <v>0.61046687372453545</v>
      </c>
      <c r="BI8" s="20">
        <f t="shared" si="28"/>
        <v>0.72635860639213679</v>
      </c>
      <c r="BJ8" s="16">
        <f t="shared" si="29"/>
        <v>460.91052625395963</v>
      </c>
      <c r="BK8" s="16">
        <f>BJ8/$R$14</f>
        <v>9.1814845867322639</v>
      </c>
      <c r="BL8" s="16">
        <f t="shared" si="15"/>
        <v>7.0247982528654591E-4</v>
      </c>
      <c r="BM8" s="18">
        <f>T8-'Без ПКМ'!B8</f>
        <v>-43.803838024277809</v>
      </c>
      <c r="BN8" s="19">
        <f>AY8-'Без ПКМ'!H8</f>
        <v>27.475649575258558</v>
      </c>
      <c r="BO8" s="17"/>
      <c r="BP8" s="17"/>
    </row>
    <row r="9" spans="1:80" x14ac:dyDescent="0.35">
      <c r="A9" s="16">
        <v>0</v>
      </c>
      <c r="B9" s="7">
        <f>0.151140511695727*[26]syngas_streams_zaryad!$E$2</f>
        <v>1.8097479229650979</v>
      </c>
      <c r="C9" s="7">
        <f>[26]gas_streams_zaryad!$E$13</f>
        <v>0.70901010231970873</v>
      </c>
      <c r="D9" s="17">
        <f>[26]electric_zaryad!$E$5</f>
        <v>31.12189218361576</v>
      </c>
      <c r="E9" s="17">
        <f>[26]GTU_input_zaryad!$B$3</f>
        <v>0.75006630473222635</v>
      </c>
      <c r="F9" s="17">
        <f>[26]electric_zaryad!$C$5</f>
        <v>123.23934417250651</v>
      </c>
      <c r="G9" s="17">
        <f>[26]electric_zaryad!$B$7</f>
        <v>42.431916692694173</v>
      </c>
      <c r="H9" s="17">
        <f>[26]electric_zaryad!$C$12</f>
        <v>4.5183890219539218E-2</v>
      </c>
      <c r="I9" s="17">
        <f>[26]electric_zaryad!$C$6</f>
        <v>6.2113737409728076</v>
      </c>
      <c r="J9" s="17">
        <f>[26]electric_zaryad!$C$2</f>
        <v>2.1125819239990138</v>
      </c>
      <c r="K9" s="17">
        <f>[26]heaters_zaryad!$B$9</f>
        <v>77.759609713230716</v>
      </c>
      <c r="L9" s="17">
        <f>[26]heaters_zaryad!$B$8</f>
        <v>44.811832923517017</v>
      </c>
      <c r="M9" s="17">
        <f>[26]heaters_zaryad!$B$10</f>
        <v>6.7120442475676478</v>
      </c>
      <c r="N9" s="17">
        <f t="shared" si="0"/>
        <v>129.28348688431538</v>
      </c>
      <c r="O9" s="17">
        <f>[26]heaters_zaryad!$B$17/1000</f>
        <v>38.31552062491604</v>
      </c>
      <c r="P9" s="18">
        <f>[26]heaters_zaryad!$B$11/1000</f>
        <v>34.660353190732565</v>
      </c>
      <c r="Q9" s="17">
        <f>[26]gas_streams_zaryad!$E$4</f>
        <v>13.61100171663441</v>
      </c>
      <c r="R9" s="17">
        <f>[2]!PropsSI("H","P",[26]gas_streams_zaryad!$C$4*10^6,"T",[26]gas_streams_zaryad!$B$4+273.15,"REFPROP::"&amp;[2]!MixtureString($R$16:$R$20,$S$16:$S$20))/1000-[2]!PropsSI("H","P",[26]gas_streams_zaryad!$C$4*10^6,"T",S19+273.15,"REFPROP::"&amp;[2]!MixtureString($R$16:$R$20,$S$16:$S$20))/1000</f>
        <v>1246.7478520836039</v>
      </c>
      <c r="S9" s="19">
        <f t="shared" si="1"/>
        <v>16.969487154920195</v>
      </c>
      <c r="T9" s="17">
        <f t="shared" si="2"/>
        <v>155.90114081888706</v>
      </c>
      <c r="U9" s="16">
        <f t="shared" si="16"/>
        <v>167.59900750923143</v>
      </c>
      <c r="V9" s="16">
        <f t="shared" si="17"/>
        <v>35.592307136449378</v>
      </c>
      <c r="W9" s="16">
        <f t="shared" si="3"/>
        <v>90.849345732847922</v>
      </c>
      <c r="X9" s="20">
        <f t="shared" si="4"/>
        <v>0.58454360018971441</v>
      </c>
      <c r="Y9" s="20">
        <f t="shared" si="5"/>
        <v>0.62607156932253538</v>
      </c>
      <c r="Z9" s="20">
        <f t="shared" si="6"/>
        <v>0.77452045509060408</v>
      </c>
      <c r="AA9" s="20">
        <f t="shared" si="7"/>
        <v>0.97468578759282343</v>
      </c>
      <c r="AB9" s="20">
        <f t="shared" si="8"/>
        <v>0.61940853983152322</v>
      </c>
      <c r="AC9" s="20">
        <f t="shared" si="9"/>
        <v>0.8166409737211805</v>
      </c>
      <c r="AD9" s="16">
        <f t="shared" si="18"/>
        <v>522.43089235836135</v>
      </c>
      <c r="AE9" s="16">
        <f t="shared" si="19"/>
        <v>10.40698988761676</v>
      </c>
      <c r="AF9" s="7">
        <f>[26]syngas_streams_razryad!$E$10</f>
        <v>1.0811111111111109</v>
      </c>
      <c r="AG9" s="7">
        <f>[26]syngas_streams_razryad!$E$9</f>
        <v>3.3021674120840272</v>
      </c>
      <c r="AH9" s="17">
        <f>[26]accumulation_razryad!$E$3</f>
        <v>23.529949959524259</v>
      </c>
      <c r="AI9" s="17">
        <f>[26]electric_razryad!$E$5</f>
        <v>34.012096926621403</v>
      </c>
      <c r="AJ9" s="17">
        <f>[26]GTU_input_razryad!$B$3</f>
        <v>1</v>
      </c>
      <c r="AK9" s="17">
        <f>[26]electric_razryad!$C$5</f>
        <v>164.30459999999999</v>
      </c>
      <c r="AL9" s="17">
        <f>[26]electric_razryad!$B$7</f>
        <v>63.996402798726237</v>
      </c>
      <c r="AM9" s="17">
        <f>[26]electric_razryad!$C$12</f>
        <v>0.2435453413075149</v>
      </c>
      <c r="AN9" s="17">
        <f>[26]electric_razryad!$C$6</f>
        <v>6.2985051603460569</v>
      </c>
      <c r="AO9" s="17">
        <f>[26]electric_razryad!$C$2</f>
        <v>0.72185334588858541</v>
      </c>
      <c r="AP9" s="17">
        <f>[26]electric_razryad!$B$13</f>
        <v>46980.4884467429</v>
      </c>
      <c r="AQ9" s="17">
        <f>[26]electric_razryad!$B$14</f>
        <v>70484.328694481112</v>
      </c>
      <c r="AR9" s="17">
        <f>[26]heaters_razryad!$B$9</f>
        <v>72.179396874151081</v>
      </c>
      <c r="AS9" s="17">
        <f>[26]heaters_razryad!$B$8</f>
        <v>51.139341612640493</v>
      </c>
      <c r="AT9" s="17">
        <f>[26]heaters_razryad!$B$10</f>
        <v>6.2895037185772962</v>
      </c>
      <c r="AU9" s="17">
        <f t="shared" si="10"/>
        <v>129.60824220536887</v>
      </c>
      <c r="AV9" s="17">
        <f>[26]heaters_razryad!$B$18/1000</f>
        <v>37.990554441752856</v>
      </c>
      <c r="AW9" s="18">
        <f t="shared" si="20"/>
        <v>219.0689309517287</v>
      </c>
      <c r="AX9" s="17">
        <f t="shared" si="11"/>
        <v>22.34301702157752</v>
      </c>
      <c r="AY9" s="19">
        <f t="shared" si="12"/>
        <v>241.41194797330621</v>
      </c>
      <c r="AZ9" s="19">
        <f t="shared" si="13"/>
        <v>167.59879664712173</v>
      </c>
      <c r="BA9" s="16">
        <f t="shared" si="21"/>
        <v>483.07694863529019</v>
      </c>
      <c r="BB9" s="16">
        <f t="shared" si="22"/>
        <v>77.69983396430888</v>
      </c>
      <c r="BC9" s="20">
        <f t="shared" si="14"/>
        <v>0.61976895540301891</v>
      </c>
      <c r="BD9" s="20">
        <f t="shared" si="23"/>
        <v>0.61976895540301891</v>
      </c>
      <c r="BE9" s="20">
        <f t="shared" si="24"/>
        <v>0.72178391898459071</v>
      </c>
      <c r="BF9" s="20">
        <f t="shared" si="25"/>
        <v>0.5626648806077188</v>
      </c>
      <c r="BG9" s="20">
        <f t="shared" si="26"/>
        <v>0.77649550050575866</v>
      </c>
      <c r="BH9" s="20">
        <f t="shared" si="27"/>
        <v>0.61400169032476093</v>
      </c>
      <c r="BI9" s="20">
        <f t="shared" si="28"/>
        <v>0.72936461942017705</v>
      </c>
      <c r="BJ9" s="16">
        <f t="shared" si="29"/>
        <v>457.63845829016009</v>
      </c>
      <c r="BK9" s="16">
        <f t="shared" si="30"/>
        <v>9.1163039500031893</v>
      </c>
      <c r="BL9" s="16">
        <f t="shared" si="15"/>
        <v>1.2581345965604785E-4</v>
      </c>
      <c r="BM9" s="18">
        <f>T9-'Без ПКМ'!B9</f>
        <v>-42.838338035211819</v>
      </c>
      <c r="BN9" s="19">
        <f>AY9-'Без ПКМ'!H9</f>
        <v>27.238350952965959</v>
      </c>
      <c r="BO9" s="17"/>
      <c r="BP9" s="17"/>
    </row>
    <row r="10" spans="1:80" x14ac:dyDescent="0.35">
      <c r="A10" s="16">
        <v>5</v>
      </c>
      <c r="B10" s="7">
        <f>0.151140511695727*[27]syngas_streams_zaryad!$E$2</f>
        <v>1.809739219123768</v>
      </c>
      <c r="C10" s="7">
        <f>[27]gas_streams_zaryad!$E$13</f>
        <v>0.7078595080230291</v>
      </c>
      <c r="D10" s="17">
        <f>[27]electric_zaryad!$E$5</f>
        <v>31.04770101089424</v>
      </c>
      <c r="E10" s="17">
        <f>[27]GTU_input_zaryad!$B$3</f>
        <v>0.75675107061719404</v>
      </c>
      <c r="F10" s="17">
        <f>[27]electric_zaryad!$C$5</f>
        <v>120.91868062028129</v>
      </c>
      <c r="G10" s="17">
        <f>[27]electric_zaryad!$B$7</f>
        <v>43.264342201912108</v>
      </c>
      <c r="H10" s="17">
        <f>[27]electric_zaryad!$C$12</f>
        <v>4.4949591815385007E-2</v>
      </c>
      <c r="I10" s="17">
        <f>[27]electric_zaryad!$C$6</f>
        <v>6.2064498045423964</v>
      </c>
      <c r="J10" s="17">
        <f>[27]electric_zaryad!$C$2</f>
        <v>2.1449850627287601</v>
      </c>
      <c r="K10" s="17">
        <f>[27]heaters_zaryad!$B$9</f>
        <v>70.083956911055793</v>
      </c>
      <c r="L10" s="17">
        <f>[27]heaters_zaryad!$B$8</f>
        <v>52.722632675997481</v>
      </c>
      <c r="M10" s="17">
        <f>[27]heaters_zaryad!$B$10</f>
        <v>6.027457113997186</v>
      </c>
      <c r="N10" s="17">
        <f t="shared" si="0"/>
        <v>128.83404670105045</v>
      </c>
      <c r="O10" s="17">
        <f>[27]heaters_zaryad!$B$17/1000</f>
        <v>38.553586321712203</v>
      </c>
      <c r="P10" s="18">
        <f>[27]heaters_zaryad!$B$11/1000</f>
        <v>34.696747024337576</v>
      </c>
      <c r="Q10" s="17">
        <f>[27]gas_streams_zaryad!$E$4</f>
        <v>13.58891353919376</v>
      </c>
      <c r="R10" s="17">
        <f>[2]!PropsSI("H","P",[27]gas_streams_zaryad!$C$4*10^6,"T",[27]gas_streams_zaryad!$B$4+273.15,"REFPROP::"&amp;[2]!MixtureString($R$16:$R$20,$S$16:$S$20))/1000-[2]!PropsSI("H","P",[27]gas_streams_zaryad!$C$4*10^6,"T",S20+273.15,"REFPROP::"&amp;[2]!MixtureString($R$16:$R$20,$S$16:$S$20))/1000</f>
        <v>1246.7504596517715</v>
      </c>
      <c r="S10" s="19">
        <f t="shared" si="1"/>
        <v>16.941984201158</v>
      </c>
      <c r="T10" s="17">
        <f t="shared" si="2"/>
        <v>154.35881645518114</v>
      </c>
      <c r="U10" s="16">
        <f t="shared" si="16"/>
        <v>167.38763302276266</v>
      </c>
      <c r="V10" s="16">
        <f t="shared" si="17"/>
        <v>35.53454730275606</v>
      </c>
      <c r="W10" s="16">
        <f t="shared" si="3"/>
        <v>90.848908800013163</v>
      </c>
      <c r="X10" s="20">
        <f>T10/((100*F10)/D10-N10)</f>
        <v>0.59225965064082708</v>
      </c>
      <c r="Y10" s="20">
        <f t="shared" si="5"/>
        <v>0.6355557994208878</v>
      </c>
      <c r="Z10" s="20">
        <f t="shared" si="6"/>
        <v>0.78220298126036247</v>
      </c>
      <c r="AA10" s="20">
        <f t="shared" si="7"/>
        <v>0.97683083007006244</v>
      </c>
      <c r="AB10" s="20">
        <f t="shared" si="8"/>
        <v>0.62921805661485097</v>
      </c>
      <c r="AC10" s="20">
        <f t="shared" si="9"/>
        <v>0.82366842416406971</v>
      </c>
      <c r="AD10" s="16">
        <f t="shared" si="18"/>
        <v>515.84443608918582</v>
      </c>
      <c r="AE10" s="16">
        <f t="shared" si="19"/>
        <v>10.275785579465852</v>
      </c>
      <c r="AF10" s="7">
        <f>[27]syngas_streams_razryad!$E$10</f>
        <v>1.0811111111111109</v>
      </c>
      <c r="AG10" s="7">
        <f>[27]syngas_streams_razryad!$E$9</f>
        <v>3.3046748619762809</v>
      </c>
      <c r="AH10" s="17">
        <f>[27]accumulation_razryad!$E$3</f>
        <v>23.516497371811869</v>
      </c>
      <c r="AI10" s="17">
        <f>[27]electric_razryad!$E$5</f>
        <v>33.830241541168107</v>
      </c>
      <c r="AJ10" s="17">
        <f>[27]GTU_input_razryad!$B$3</f>
        <v>1</v>
      </c>
      <c r="AK10" s="17">
        <f>[27]electric_razryad!$C$5</f>
        <v>159.78659999999999</v>
      </c>
      <c r="AL10" s="17">
        <f>[27]electric_razryad!$B$7</f>
        <v>63.661823732701677</v>
      </c>
      <c r="AM10" s="17">
        <f>[27]electric_razryad!$C$12</f>
        <v>0.24277165503697359</v>
      </c>
      <c r="AN10" s="17">
        <f>[27]electric_razryad!$C$6</f>
        <v>6.2889189604114444</v>
      </c>
      <c r="AO10" s="17">
        <f>[27]electric_razryad!$C$2</f>
        <v>0.71594061795303565</v>
      </c>
      <c r="AP10" s="17">
        <f>[27]electric_razryad!$B$13</f>
        <v>47020.960838040402</v>
      </c>
      <c r="AQ10" s="17">
        <f>[27]electric_razryad!$B$14</f>
        <v>70544.4962427422</v>
      </c>
      <c r="AR10" s="17">
        <f>[27]heaters_razryad!$B$9</f>
        <v>82.201703003293972</v>
      </c>
      <c r="AS10" s="17">
        <f>[27]heaters_razryad!$B$8</f>
        <v>39.301315513461283</v>
      </c>
      <c r="AT10" s="17">
        <f>[27]heaters_razryad!$B$10</f>
        <v>7.1232699308293972</v>
      </c>
      <c r="AU10" s="17">
        <f t="shared" si="10"/>
        <v>128.62628844758464</v>
      </c>
      <c r="AV10" s="17">
        <f>[27]heaters_razryad!$B$18/1000</f>
        <v>38.761340808871374</v>
      </c>
      <c r="AW10" s="18">
        <f t="shared" si="20"/>
        <v>214.24301796679944</v>
      </c>
      <c r="AX10" s="17">
        <f t="shared" si="11"/>
        <v>22.361728633428882</v>
      </c>
      <c r="AY10" s="19">
        <f t="shared" si="12"/>
        <v>236.60474660022834</v>
      </c>
      <c r="AZ10" s="19">
        <f t="shared" si="13"/>
        <v>167.38762925645602</v>
      </c>
      <c r="BA10" s="16">
        <f t="shared" si="21"/>
        <v>472.31882694527997</v>
      </c>
      <c r="BB10" s="16">
        <f t="shared" si="22"/>
        <v>77.714377706357965</v>
      </c>
      <c r="BC10" s="20">
        <f t="shared" si="14"/>
        <v>0.62335661665298592</v>
      </c>
      <c r="BD10" s="20">
        <f t="shared" si="23"/>
        <v>0.62335661665298592</v>
      </c>
      <c r="BE10" s="20">
        <f t="shared" si="24"/>
        <v>0.7259276718480393</v>
      </c>
      <c r="BF10" s="20">
        <f t="shared" si="25"/>
        <v>0.57406894081913684</v>
      </c>
      <c r="BG10" s="20">
        <f t="shared" si="26"/>
        <v>0.78650915372767194</v>
      </c>
      <c r="BH10" s="20">
        <f t="shared" si="27"/>
        <v>0.61833916766415475</v>
      </c>
      <c r="BI10" s="20">
        <f t="shared" si="28"/>
        <v>0.73448724993348702</v>
      </c>
      <c r="BJ10" s="16">
        <f t="shared" si="29"/>
        <v>446.89488034219892</v>
      </c>
      <c r="BK10" s="16">
        <f t="shared" si="30"/>
        <v>8.9022884530318507</v>
      </c>
      <c r="BL10" s="16">
        <f>ABS(AZ10-U10)/U10*100</f>
        <v>2.2500507150172074E-6</v>
      </c>
      <c r="BM10" s="18">
        <f>T10-'Без ПКМ'!B10</f>
        <v>-39.93362823238931</v>
      </c>
      <c r="BN10" s="19">
        <f>AY10-'Без ПКМ'!H10</f>
        <v>27.51127494887271</v>
      </c>
      <c r="BO10" s="17"/>
      <c r="BP10" s="17"/>
    </row>
    <row r="11" spans="1:80" x14ac:dyDescent="0.35">
      <c r="A11" s="16">
        <v>8</v>
      </c>
      <c r="B11" s="7">
        <f>0.151140511695727*[28]syngas_streams_zaryad!$E$2</f>
        <v>1.8097479986412397</v>
      </c>
      <c r="C11" s="7">
        <f>[28]gas_streams_zaryad!$E$13</f>
        <v>0.70702707112588548</v>
      </c>
      <c r="D11" s="17">
        <f>[28]electric_zaryad!$E$5</f>
        <v>30.932620707606389</v>
      </c>
      <c r="E11" s="17">
        <f>[28]GTU_input_zaryad!$B$3</f>
        <v>0.75699394454485658</v>
      </c>
      <c r="F11" s="17">
        <f>[28]electric_zaryad!$C$5</f>
        <v>118.905429434539</v>
      </c>
      <c r="G11" s="17">
        <f>[28]electric_zaryad!$B$7</f>
        <v>43.185992008423248</v>
      </c>
      <c r="H11" s="17">
        <f>[28]electric_zaryad!$C$12</f>
        <v>4.4804316628907083E-2</v>
      </c>
      <c r="I11" s="17">
        <f>[28]electric_zaryad!$C$6</f>
        <v>6.2021781293796856</v>
      </c>
      <c r="J11" s="17">
        <f>[28]electric_zaryad!$C$2</f>
        <v>2.219250449516152</v>
      </c>
      <c r="K11" s="17">
        <f>[28]heaters_zaryad!$B$9</f>
        <v>68.139947642790659</v>
      </c>
      <c r="L11" s="17">
        <f>[28]heaters_zaryad!$B$8</f>
        <v>54.187527158037788</v>
      </c>
      <c r="M11" s="17">
        <f>[28]heaters_zaryad!$B$10</f>
        <v>5.8284278630957456</v>
      </c>
      <c r="N11" s="17">
        <f>K11+L11+M11</f>
        <v>128.15590266392419</v>
      </c>
      <c r="O11" s="17">
        <f>[28]heaters_zaryad!$B$17/1000</f>
        <v>38.575330275679754</v>
      </c>
      <c r="P11" s="18">
        <f>[28]heaters_zaryad!$B$11/1000</f>
        <v>34.723554381256641</v>
      </c>
      <c r="Q11" s="17">
        <f>[28]gas_streams_zaryad!$E$4</f>
        <v>13.572933089833519</v>
      </c>
      <c r="R11" s="17">
        <f>[2]!PropsSI("H","P",[28]gas_streams_zaryad!$C$4*10^6,"T",[28]gas_streams_zaryad!$B$4+273.15,"REFPROP::"&amp;[2]!MixtureString($R$16:$R$20,$S$16:$S$20))/1000-[2]!PropsSI("H","P",[28]gas_streams_zaryad!$C$4*10^6,"T",S21+273.15,"REFPROP::"&amp;[2]!MixtureString($R$16:$R$20,$S$16:$S$20))/1000</f>
        <v>896.4142916678345</v>
      </c>
      <c r="S11" s="19">
        <f>R11*Q11/1000</f>
        <v>12.166971201578026</v>
      </c>
      <c r="T11" s="17">
        <f t="shared" si="2"/>
        <v>152.1950123241451</v>
      </c>
      <c r="U11" s="16">
        <f>N11+O11</f>
        <v>166.73123293960396</v>
      </c>
      <c r="V11" s="16">
        <f t="shared" si="17"/>
        <v>35.492758970519453</v>
      </c>
      <c r="W11" s="16">
        <f t="shared" ref="W11" si="31">B11*$R$14</f>
        <v>90.849349531790239</v>
      </c>
      <c r="X11" s="20">
        <f>T11/((100*F11)/D11-N11)</f>
        <v>0.59394217397258076</v>
      </c>
      <c r="Y11" s="20">
        <f t="shared" si="5"/>
        <v>0.65127183232971075</v>
      </c>
      <c r="Z11" s="20">
        <f>(T11+P11+N11)/((100*F11)/D11+S11)</f>
        <v>0.79450225015999243</v>
      </c>
      <c r="AA11" s="20">
        <f t="shared" si="7"/>
        <v>0.93487293166849872</v>
      </c>
      <c r="AB11" s="20">
        <f t="shared" si="8"/>
        <v>0.63184502381947916</v>
      </c>
      <c r="AC11" s="20">
        <f t="shared" si="9"/>
        <v>0.82637283919370463</v>
      </c>
      <c r="AD11" s="16">
        <f t="shared" si="18"/>
        <v>510.743516189373</v>
      </c>
      <c r="AE11" s="16">
        <f t="shared" si="19"/>
        <v>10.174173629270378</v>
      </c>
      <c r="AF11" s="7">
        <f>[28]syngas_streams_razryad!$E$10</f>
        <v>1.0811111111111109</v>
      </c>
      <c r="AG11" s="7">
        <f>[28]syngas_streams_razryad!$E$9</f>
        <v>3.3063876685570008</v>
      </c>
      <c r="AH11" s="17">
        <f>[28]accumulation_razryad!$E$3</f>
        <v>23.507316922203401</v>
      </c>
      <c r="AI11" s="17">
        <f>[28]electric_razryad!$E$5</f>
        <v>33.701191319931901</v>
      </c>
      <c r="AJ11" s="17">
        <f>[28]GTU_input_razryad!$B$3</f>
        <v>1</v>
      </c>
      <c r="AK11" s="17">
        <f>[28]electric_razryad!$C$5</f>
        <v>157.07579999999999</v>
      </c>
      <c r="AL11" s="17">
        <f>[28]electric_razryad!$B$7</f>
        <v>63.391699798070327</v>
      </c>
      <c r="AM11" s="17">
        <f>[28]electric_razryad!$C$12</f>
        <v>0.24230801598742599</v>
      </c>
      <c r="AN11" s="17">
        <f>[28]electric_razryad!$C$6</f>
        <v>6.2831672404506769</v>
      </c>
      <c r="AO11" s="17">
        <f>[28]electric_razryad!$C$2</f>
        <v>0.71187500653164693</v>
      </c>
      <c r="AP11" s="17">
        <f>[28]electric_razryad!$B$13</f>
        <v>47045.827872736598</v>
      </c>
      <c r="AQ11" s="17">
        <f>[28]electric_razryad!$B$14</f>
        <v>70581.612049136616</v>
      </c>
      <c r="AR11" s="17">
        <f>[28]heaters_razryad!$B$9</f>
        <v>84.073081234747136</v>
      </c>
      <c r="AS11" s="17">
        <f>[28]heaters_razryad!$B$8</f>
        <v>36.474216870837807</v>
      </c>
      <c r="AT11" s="17">
        <f>[28]heaters_razryad!$B$10</f>
        <v>7.2551235114165342</v>
      </c>
      <c r="AU11" s="17">
        <f>AT11+AS11+AR11</f>
        <v>127.80242161700147</v>
      </c>
      <c r="AV11" s="17">
        <f>[28]heaters_razryad!$B$18/1000</f>
        <v>38.92875692369217</v>
      </c>
      <c r="AW11" s="18">
        <f t="shared" si="20"/>
        <v>211.28071123535528</v>
      </c>
      <c r="AX11" s="17">
        <f t="shared" si="11"/>
        <v>22.373368694790489</v>
      </c>
      <c r="AY11" s="19">
        <f t="shared" ref="AY11" si="32">AW11+AX11</f>
        <v>233.65407993014577</v>
      </c>
      <c r="AZ11" s="19">
        <f>AU11+AV11</f>
        <v>166.73117854069363</v>
      </c>
      <c r="BA11" s="16">
        <f t="shared" si="21"/>
        <v>466.08382032803871</v>
      </c>
      <c r="BB11" s="16">
        <f t="shared" si="22"/>
        <v>77.724302792434642</v>
      </c>
      <c r="BC11" s="20">
        <f t="shared" si="14"/>
        <v>0.62457088104874781</v>
      </c>
      <c r="BD11" s="20">
        <f t="shared" si="23"/>
        <v>0.62457088104874781</v>
      </c>
      <c r="BE11" s="20">
        <f t="shared" si="24"/>
        <v>0.72751534823436603</v>
      </c>
      <c r="BF11" s="20">
        <f t="shared" si="25"/>
        <v>0.57669941726008001</v>
      </c>
      <c r="BG11" s="20">
        <f t="shared" si="26"/>
        <v>0.78871245435539061</v>
      </c>
      <c r="BH11" s="20">
        <f t="shared" si="27"/>
        <v>0.61964562747407803</v>
      </c>
      <c r="BI11" s="20">
        <f t="shared" si="28"/>
        <v>0.73626200390930796</v>
      </c>
      <c r="BJ11" s="16">
        <f t="shared" si="29"/>
        <v>440.66979881103435</v>
      </c>
      <c r="BK11" s="16">
        <f t="shared" si="30"/>
        <v>8.7782828448413213</v>
      </c>
      <c r="BL11" s="16">
        <f t="shared" si="15"/>
        <v>3.2626706684171029E-5</v>
      </c>
      <c r="BM11" s="18">
        <f>T11-'Без ПКМ'!B11</f>
        <v>-38.977449211591221</v>
      </c>
      <c r="BN11" s="19">
        <f>AY11-'Без ПКМ'!H11</f>
        <v>27.700997003372805</v>
      </c>
      <c r="BO11" s="17"/>
      <c r="BP11" s="17"/>
    </row>
    <row r="14" spans="1:80" x14ac:dyDescent="0.35">
      <c r="Q14" s="1" t="s">
        <v>54</v>
      </c>
      <c r="R14" s="17">
        <f>BP4</f>
        <v>50.2</v>
      </c>
      <c r="S14" s="3" t="s">
        <v>53</v>
      </c>
    </row>
    <row r="15" spans="1:80" x14ac:dyDescent="0.3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80" x14ac:dyDescent="0.35">
      <c r="R16" s="1" t="s">
        <v>41</v>
      </c>
      <c r="S16" s="3">
        <v>0.71032059101601497</v>
      </c>
      <c r="BL16" s="16">
        <f t="shared" ref="BL16:BL23" si="33">(BM16-BN16)*100</f>
        <v>-7.6274715594713438</v>
      </c>
      <c r="BM16" s="18">
        <v>0.57074242025422373</v>
      </c>
      <c r="BN16" s="16">
        <v>0.64701713584893716</v>
      </c>
    </row>
    <row r="17" spans="18:66" x14ac:dyDescent="0.35">
      <c r="R17" s="6" t="s">
        <v>44</v>
      </c>
      <c r="S17" s="3">
        <v>0.18053127301225799</v>
      </c>
      <c r="BL17" s="16">
        <f t="shared" si="33"/>
        <v>-7.356977695775857</v>
      </c>
      <c r="BM17" s="18">
        <v>0.58765218465126401</v>
      </c>
      <c r="BN17" s="16">
        <v>0.66122196160902258</v>
      </c>
    </row>
    <row r="18" spans="18:66" x14ac:dyDescent="0.35">
      <c r="R18" s="6" t="s">
        <v>43</v>
      </c>
      <c r="S18" s="3">
        <v>9.0538556815177001E-2</v>
      </c>
      <c r="BL18" s="16">
        <f t="shared" si="33"/>
        <v>-7.5876016894403371</v>
      </c>
      <c r="BM18" s="18">
        <v>0.59542528960195196</v>
      </c>
      <c r="BN18" s="16">
        <v>0.67130130649635533</v>
      </c>
    </row>
    <row r="19" spans="18:66" x14ac:dyDescent="0.35">
      <c r="R19" s="6" t="s">
        <v>42</v>
      </c>
      <c r="S19" s="3">
        <v>9.9671027033589304E-3</v>
      </c>
      <c r="BL19" s="16">
        <f t="shared" si="33"/>
        <v>-7.7236127271791748</v>
      </c>
      <c r="BM19" s="18">
        <v>0.60350314070988964</v>
      </c>
      <c r="BN19" s="16">
        <v>0.68073926798168138</v>
      </c>
    </row>
    <row r="20" spans="18:66" x14ac:dyDescent="0.35">
      <c r="R20" s="1" t="s">
        <v>45</v>
      </c>
      <c r="S20" s="3">
        <v>8.6424764531917806E-3</v>
      </c>
      <c r="BL20" s="16">
        <f t="shared" si="33"/>
        <v>-7.7035963168916481</v>
      </c>
      <c r="BM20" s="18">
        <v>0.61098447735087835</v>
      </c>
      <c r="BN20" s="16">
        <v>0.68802044051979483</v>
      </c>
    </row>
    <row r="21" spans="18:66" x14ac:dyDescent="0.35">
      <c r="R21" s="1" t="s">
        <v>46</v>
      </c>
      <c r="S21" s="3">
        <v>60</v>
      </c>
      <c r="BL21" s="16">
        <f t="shared" si="33"/>
        <v>-7.6120262086908586</v>
      </c>
      <c r="BM21" s="18">
        <v>0.61942422261697849</v>
      </c>
      <c r="BN21" s="16">
        <v>0.69554448470388708</v>
      </c>
    </row>
    <row r="22" spans="18:66" x14ac:dyDescent="0.35">
      <c r="BL22" s="16">
        <f t="shared" si="33"/>
        <v>-7.5036700812799895</v>
      </c>
      <c r="BM22" s="18">
        <v>0.6292258242027684</v>
      </c>
      <c r="BN22" s="16">
        <v>0.7042625250155683</v>
      </c>
    </row>
    <row r="23" spans="18:66" x14ac:dyDescent="0.35">
      <c r="R23" s="1" t="s">
        <v>47</v>
      </c>
      <c r="S23" s="3">
        <f>[2]!PropsSI("Q","P",0.1*10^6,"T",S21+273.15,"REFPROP::"&amp;[2]!MixtureString($R$16:$R$20,$S$16:$S$20))</f>
        <v>998</v>
      </c>
      <c r="BL23" s="16">
        <f t="shared" si="33"/>
        <v>-7.5390528498794236</v>
      </c>
      <c r="BM23" s="18">
        <v>0.63183866161787383</v>
      </c>
      <c r="BN23" s="16">
        <v>0.70722919011666807</v>
      </c>
    </row>
    <row r="24" spans="18:66" x14ac:dyDescent="0.35">
      <c r="BL24" s="16">
        <f>AVERAGE(BL15:BL23)</f>
        <v>-7.550687794079959</v>
      </c>
    </row>
    <row r="39" spans="18:20" x14ac:dyDescent="0.35">
      <c r="R39" s="6"/>
      <c r="S39" s="5"/>
      <c r="T39" s="6"/>
    </row>
  </sheetData>
  <mergeCells count="33">
    <mergeCell ref="BM1:BM2"/>
    <mergeCell ref="BN1:BN2"/>
    <mergeCell ref="BL1:BL2"/>
    <mergeCell ref="A1:A2"/>
    <mergeCell ref="AW1:AW2"/>
    <mergeCell ref="AX1:AX2"/>
    <mergeCell ref="T1:T2"/>
    <mergeCell ref="U1:U2"/>
    <mergeCell ref="X1:X2"/>
    <mergeCell ref="Y1:Y2"/>
    <mergeCell ref="Z1:Z2"/>
    <mergeCell ref="AA1:AA2"/>
    <mergeCell ref="B1:O1"/>
    <mergeCell ref="V1:V2"/>
    <mergeCell ref="W1:W2"/>
    <mergeCell ref="AC1:AC2"/>
    <mergeCell ref="AB1:AB2"/>
    <mergeCell ref="BD1:BD2"/>
    <mergeCell ref="BE1:BE2"/>
    <mergeCell ref="BF1:BF2"/>
    <mergeCell ref="BG1:BG2"/>
    <mergeCell ref="BA1:BA2"/>
    <mergeCell ref="BB1:BB2"/>
    <mergeCell ref="BC1:BC2"/>
    <mergeCell ref="AZ1:AZ2"/>
    <mergeCell ref="AY1:AY2"/>
    <mergeCell ref="AD1:AD2"/>
    <mergeCell ref="AE1:AE2"/>
    <mergeCell ref="BJ1:BJ2"/>
    <mergeCell ref="BK1:BK2"/>
    <mergeCell ref="AF1:AV1"/>
    <mergeCell ref="BI1:BI2"/>
    <mergeCell ref="BH1:BH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FBA-8F37-418B-B656-588197601C23}">
  <dimension ref="A1:BR39"/>
  <sheetViews>
    <sheetView topLeftCell="BZ4" zoomScale="85" zoomScaleNormal="85" workbookViewId="0">
      <selection activeCell="CR33" sqref="CR33"/>
    </sheetView>
  </sheetViews>
  <sheetFormatPr defaultColWidth="9.1796875" defaultRowHeight="15.5" x14ac:dyDescent="0.35"/>
  <cols>
    <col min="1" max="1" width="7.1796875" style="4" bestFit="1" customWidth="1"/>
    <col min="2" max="3" width="16.1796875" style="1" bestFit="1" customWidth="1"/>
    <col min="4" max="4" width="10.453125" style="1" bestFit="1" customWidth="1"/>
    <col min="5" max="5" width="7.54296875" style="1" bestFit="1" customWidth="1"/>
    <col min="6" max="6" width="7.453125" style="1" bestFit="1" customWidth="1"/>
    <col min="7" max="7" width="7.81640625" style="1" bestFit="1" customWidth="1"/>
    <col min="8" max="9" width="5.1796875" style="1" bestFit="1" customWidth="1"/>
    <col min="10" max="10" width="5.26953125" style="1" bestFit="1" customWidth="1"/>
    <col min="11" max="12" width="7.453125" style="1" bestFit="1" customWidth="1"/>
    <col min="13" max="13" width="6.453125" style="1" bestFit="1" customWidth="1"/>
    <col min="14" max="14" width="10.81640625" style="1" bestFit="1" customWidth="1"/>
    <col min="15" max="15" width="10.7265625" style="1" bestFit="1" customWidth="1"/>
    <col min="16" max="16" width="6.453125" style="2" bestFit="1" customWidth="1"/>
    <col min="17" max="17" width="11.453125" style="1" bestFit="1" customWidth="1"/>
    <col min="18" max="18" width="12.54296875" style="1" bestFit="1" customWidth="1"/>
    <col min="19" max="19" width="11.453125" style="3" bestFit="1" customWidth="1"/>
    <col min="20" max="20" width="13.453125" style="1" bestFit="1" customWidth="1"/>
    <col min="21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1796875" style="4" bestFit="1" customWidth="1"/>
    <col min="26" max="26" width="11.453125" style="4" bestFit="1" customWidth="1"/>
    <col min="27" max="27" width="21.5429687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1796875" style="1" bestFit="1" customWidth="1"/>
    <col min="33" max="33" width="11.453125" style="1" bestFit="1" customWidth="1"/>
    <col min="34" max="34" width="7" style="1" bestFit="1" customWidth="1"/>
    <col min="35" max="35" width="10.453125" style="1" bestFit="1" customWidth="1"/>
    <col min="36" max="36" width="7.54296875" style="1" bestFit="1" customWidth="1"/>
    <col min="37" max="37" width="7.453125" style="1" bestFit="1" customWidth="1"/>
    <col min="38" max="38" width="7.8164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453125" style="1" bestFit="1" customWidth="1"/>
    <col min="46" max="46" width="6.453125" style="1" bestFit="1" customWidth="1"/>
    <col min="47" max="47" width="10.81640625" style="1" bestFit="1" customWidth="1"/>
    <col min="48" max="48" width="8.54296875" style="1" bestFit="1" customWidth="1"/>
    <col min="49" max="49" width="14.453125" style="2" bestFit="1" customWidth="1"/>
    <col min="50" max="50" width="15.453125" style="1" bestFit="1" customWidth="1"/>
    <col min="51" max="51" width="14.81640625" style="3" bestFit="1" customWidth="1"/>
    <col min="52" max="52" width="11.81640625" style="3" bestFit="1" customWidth="1"/>
    <col min="53" max="54" width="11" style="4" bestFit="1" customWidth="1"/>
    <col min="55" max="55" width="18.81640625" style="4" bestFit="1" customWidth="1"/>
    <col min="56" max="56" width="21.1796875" style="4" bestFit="1" customWidth="1"/>
    <col min="57" max="57" width="11.453125" style="4" bestFit="1" customWidth="1"/>
    <col min="58" max="58" width="24.54296875" style="4" bestFit="1" customWidth="1"/>
    <col min="59" max="59" width="15.17968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17968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453125" style="1" bestFit="1" customWidth="1"/>
    <col min="69" max="16384" width="9.1796875" style="1"/>
  </cols>
  <sheetData>
    <row r="1" spans="1:70" ht="15.65" customHeight="1" x14ac:dyDescent="0.35">
      <c r="A1" s="48" t="s">
        <v>0</v>
      </c>
      <c r="B1" s="50" t="s">
        <v>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8"/>
      <c r="Q1" s="9"/>
      <c r="R1" s="9"/>
      <c r="S1" s="10"/>
      <c r="T1" s="52" t="s">
        <v>14</v>
      </c>
      <c r="U1" s="48" t="s">
        <v>17</v>
      </c>
      <c r="V1" s="48" t="s">
        <v>58</v>
      </c>
      <c r="W1" s="48" t="s">
        <v>59</v>
      </c>
      <c r="X1" s="48" t="s">
        <v>49</v>
      </c>
      <c r="Y1" s="48" t="s">
        <v>50</v>
      </c>
      <c r="Z1" s="48" t="s">
        <v>52</v>
      </c>
      <c r="AA1" s="48" t="s">
        <v>55</v>
      </c>
      <c r="AB1" s="48" t="s">
        <v>68</v>
      </c>
      <c r="AC1" s="48" t="s">
        <v>60</v>
      </c>
      <c r="AD1" s="46" t="s">
        <v>88</v>
      </c>
      <c r="AE1" s="46" t="s">
        <v>87</v>
      </c>
      <c r="AF1" s="50" t="s">
        <v>8</v>
      </c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2"/>
      <c r="AW1" s="50" t="s">
        <v>15</v>
      </c>
      <c r="AX1" s="51" t="s">
        <v>16</v>
      </c>
      <c r="AY1" s="52" t="s">
        <v>22</v>
      </c>
      <c r="AZ1" s="52" t="s">
        <v>17</v>
      </c>
      <c r="BA1" s="48" t="s">
        <v>62</v>
      </c>
      <c r="BB1" s="48" t="s">
        <v>61</v>
      </c>
      <c r="BC1" s="48" t="s">
        <v>49</v>
      </c>
      <c r="BD1" s="48" t="s">
        <v>50</v>
      </c>
      <c r="BE1" s="48" t="s">
        <v>52</v>
      </c>
      <c r="BF1" s="48" t="s">
        <v>63</v>
      </c>
      <c r="BG1" s="48" t="s">
        <v>64</v>
      </c>
      <c r="BH1" s="48" t="s">
        <v>68</v>
      </c>
      <c r="BI1" s="48" t="s">
        <v>60</v>
      </c>
      <c r="BJ1" s="46" t="s">
        <v>88</v>
      </c>
      <c r="BK1" s="46" t="s">
        <v>87</v>
      </c>
      <c r="BL1" s="48" t="s">
        <v>23</v>
      </c>
      <c r="BM1" s="50" t="s">
        <v>33</v>
      </c>
      <c r="BN1" s="52" t="s">
        <v>34</v>
      </c>
      <c r="BO1" s="11" t="s">
        <v>11</v>
      </c>
      <c r="BP1" s="11">
        <v>0.95</v>
      </c>
      <c r="BR1" s="1" t="s">
        <v>66</v>
      </c>
    </row>
    <row r="2" spans="1:70" ht="16" thickBot="1" x14ac:dyDescent="0.4">
      <c r="A2" s="49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5"/>
      <c r="U2" s="49"/>
      <c r="V2" s="49"/>
      <c r="W2" s="49"/>
      <c r="X2" s="49"/>
      <c r="Y2" s="49"/>
      <c r="Z2" s="49"/>
      <c r="AA2" s="49"/>
      <c r="AB2" s="49"/>
      <c r="AC2" s="49"/>
      <c r="AD2" s="47" t="s">
        <v>86</v>
      </c>
      <c r="AE2" s="47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3"/>
      <c r="AX2" s="54"/>
      <c r="AY2" s="55"/>
      <c r="AZ2" s="55"/>
      <c r="BA2" s="49"/>
      <c r="BB2" s="49"/>
      <c r="BC2" s="49"/>
      <c r="BD2" s="49"/>
      <c r="BE2" s="49"/>
      <c r="BF2" s="49"/>
      <c r="BG2" s="49"/>
      <c r="BH2" s="49"/>
      <c r="BI2" s="49"/>
      <c r="BJ2" s="47" t="s">
        <v>86</v>
      </c>
      <c r="BK2" s="47"/>
      <c r="BL2" s="49"/>
      <c r="BM2" s="53"/>
      <c r="BN2" s="55"/>
      <c r="BO2" s="11" t="s">
        <v>12</v>
      </c>
      <c r="BP2" s="11">
        <v>0.99</v>
      </c>
      <c r="BR2" s="1" t="s">
        <v>67</v>
      </c>
    </row>
    <row r="3" spans="1:70" s="84" customFormat="1" x14ac:dyDescent="0.35">
      <c r="A3" s="77">
        <v>-29</v>
      </c>
      <c r="B3" s="78">
        <f>0.151140511695727*[30]syngas_streams_zaryad!$E$2</f>
        <v>2.2621874015933945</v>
      </c>
      <c r="C3" s="78">
        <f>[30]gas_streams_zaryad!$E$13</f>
        <v>0.88639843460115841</v>
      </c>
      <c r="D3" s="79">
        <f>[30]electric_zaryad!$E$5</f>
        <v>29.983793785899671</v>
      </c>
      <c r="E3" s="79">
        <f>[30]GTU_input_zaryad!$B$3</f>
        <v>0.65605461773999685</v>
      </c>
      <c r="F3" s="79">
        <f>[30]electric_zaryad!$C$5</f>
        <v>108.6820079748079</v>
      </c>
      <c r="G3" s="79">
        <f>[30]electric_zaryad!$B$7</f>
        <v>28.100321139981158</v>
      </c>
      <c r="H3" s="79">
        <f>[30]electric_zaryad!$C$12</f>
        <v>4.446271788206551E-2</v>
      </c>
      <c r="I3" s="79">
        <f>[30]electric_zaryad!$C$6</f>
        <v>6.1804862829589728</v>
      </c>
      <c r="J3" s="79">
        <f>[30]electric_zaryad!$C$2</f>
        <v>2.485936517872787</v>
      </c>
      <c r="K3" s="79">
        <f>[30]heaters_zaryad!$B$9</f>
        <v>90.173624633815081</v>
      </c>
      <c r="L3" s="79">
        <f>[30]heaters_zaryad!$B$8</f>
        <v>14.691145768841499</v>
      </c>
      <c r="M3" s="79">
        <f>[30]heaters_zaryad!$B$10</f>
        <v>7.3088921457624263</v>
      </c>
      <c r="N3" s="79">
        <f t="shared" ref="N3:N10" si="0">K3+L3+M3</f>
        <v>112.173662548419</v>
      </c>
      <c r="O3" s="79">
        <f>[30]heaters_zaryad!$B$17/1000</f>
        <v>45.088911383464065</v>
      </c>
      <c r="P3" s="80">
        <f>[30]heaters_zaryad!$B$11/1000</f>
        <v>43.321192384303998</v>
      </c>
      <c r="Q3" s="79">
        <f>[30]gas_streams_zaryad!$E$4</f>
        <v>17.016359252858919</v>
      </c>
      <c r="R3" s="79">
        <f>[2]!PropsSI("H","P",[30]gas_streams_zaryad!$C$4*10^6,"T",[30]gas_streams_zaryad!$B$4+273.15,"REFPROP::"&amp;[2]!MixtureString($R$16:$R$20,$S$16:$S$20))/1000-[2]!PropsSI("H","P",[30]gas_streams_zaryad!$C$4*10^6,"T",S13+273.15,"REFPROP::"&amp;[2]!MixtureString($R$16:$R$20,$S$16:$S$20))/1000</f>
        <v>1246.7674708223194</v>
      </c>
      <c r="S3" s="81">
        <f t="shared" ref="S3:S10" si="1">R3*Q3/1000</f>
        <v>21.215443188290887</v>
      </c>
      <c r="T3" s="79">
        <f t="shared" ref="T3:T11" si="2">F3+G3*$BP$2*$BP$3-H3/$BP$1/$BP$2-I3-J3/$BP$1/$BP$2</f>
        <v>127.07397028923255</v>
      </c>
      <c r="U3" s="77">
        <f>N3+O3</f>
        <v>157.26257393188308</v>
      </c>
      <c r="V3" s="77">
        <f>C3*$R$14</f>
        <v>44.497201416978157</v>
      </c>
      <c r="W3" s="77">
        <f t="shared" ref="W3:W11" si="3">B3*$R$14</f>
        <v>113.56180755998841</v>
      </c>
      <c r="X3" s="82">
        <f t="shared" ref="X3:X9" si="4">T3/((100*F3)/D3-N3)</f>
        <v>0.507695772976407</v>
      </c>
      <c r="Y3" s="82">
        <f t="shared" ref="Y3:Y11" si="5">T3/((100*F3)/D3-N3-P3+S3)</f>
        <v>0.55687850401726646</v>
      </c>
      <c r="Z3" s="82">
        <f t="shared" ref="Z3:Z10" si="6">(T3+P3+N3)/((100*F3)/D3+S3)</f>
        <v>0.73646118902406976</v>
      </c>
      <c r="AA3" s="82">
        <f t="shared" ref="AA3:AA11" si="7">(AF3+AG3)*AH3/(V3+W3-O3-S3+P3)</f>
        <v>0.95444824852880816</v>
      </c>
      <c r="AB3" s="82">
        <f t="shared" ref="AB3:AB11" si="8">(T3)/((100*F3)/D3+$R$14*(B3+C3)-(AF3+AG3)*AH3-U3)</f>
        <v>0.54225700809352806</v>
      </c>
      <c r="AC3" s="82">
        <f t="shared" ref="AC3:AC11" si="9">((AF3+AG3)*AH3+U3+T3)/((100*F3)/D3+$R$14*(B3+C3))</f>
        <v>0.79392330254244592</v>
      </c>
      <c r="AD3" s="77">
        <f>(100*F3)/D3+$R$14*(B3+C3)</f>
        <v>520.52817732455981</v>
      </c>
      <c r="AE3" s="77">
        <f>AD3/$R$14</f>
        <v>10.369087197700393</v>
      </c>
      <c r="AF3" s="78">
        <f>[30]syngas_streams_razryad!$E$10</f>
        <v>1.0811111111111109</v>
      </c>
      <c r="AG3" s="78">
        <f>[30]syngas_streams_razryad!$E$9</f>
        <v>4.395011572053857</v>
      </c>
      <c r="AH3" s="79">
        <f>[30]accumulation_razryad!$E$3</f>
        <v>23.54273504191962</v>
      </c>
      <c r="AI3" s="79">
        <f>[30]electric_razryad!$E$5</f>
        <v>34.07583168780608</v>
      </c>
      <c r="AJ3" s="79">
        <f>[30]GTU_input_razryad!$B$3</f>
        <v>1</v>
      </c>
      <c r="AK3" s="79">
        <f>[30]electric_razryad!$C$5</f>
        <v>165.66</v>
      </c>
      <c r="AL3" s="79">
        <f>[30]electric_razryad!$B$7</f>
        <v>56.828172354594628</v>
      </c>
      <c r="AM3" s="79">
        <f>[30]electric_razryad!$C$12</f>
        <v>0.29196806642806761</v>
      </c>
      <c r="AN3" s="79">
        <f>[30]electric_razryad!$C$6</f>
        <v>6.3013810203264402</v>
      </c>
      <c r="AO3" s="79">
        <f>[30]electric_razryad!$C$2</f>
        <v>1.1763582400753381</v>
      </c>
      <c r="AP3" s="79">
        <f>[30]electric_razryad!$B$13</f>
        <v>62387.002479519739</v>
      </c>
      <c r="AQ3" s="79">
        <f>[30]electric_razryad!$B$14</f>
        <v>93608.309689320187</v>
      </c>
      <c r="AR3" s="79">
        <f>[30]heaters_razryad!$B$9</f>
        <v>79.091958695653574</v>
      </c>
      <c r="AS3" s="79">
        <f>[30]heaters_razryad!$B$8</f>
        <v>26.43416458540176</v>
      </c>
      <c r="AT3" s="79">
        <f>[30]heaters_razryad!$B$10</f>
        <v>6.6005328021897816</v>
      </c>
      <c r="AU3" s="79">
        <f t="shared" ref="AU3:AU10" si="10">AT3+AS3+AR3</f>
        <v>112.12665608324511</v>
      </c>
      <c r="AV3" s="79">
        <f>[30]heaters_razryad!$B$18/1000</f>
        <v>45.136180011803582</v>
      </c>
      <c r="AW3" s="80">
        <f>AK3+AL3*$BP$2*$BP$3-AM3/$BP$1/$BP$2-AN3-AO3/$BP$1/$BP$2</f>
        <v>212.93209297140973</v>
      </c>
      <c r="AX3" s="79">
        <f t="shared" ref="AX3:AX11" si="11">(-AP3/1000/$BP$2+AQ3/1000)*$BP$2*$BP$3</f>
        <v>29.679519630649111</v>
      </c>
      <c r="AY3" s="81">
        <f t="shared" ref="AY3:AY11" si="12">AW3+AX3</f>
        <v>242.61161260205884</v>
      </c>
      <c r="AZ3" s="81">
        <f t="shared" ref="AZ3:AZ10" si="13">AU3+AV3</f>
        <v>157.2628360950487</v>
      </c>
      <c r="BA3" s="77">
        <f>(100*AK3)/AI3</f>
        <v>486.15101024601216</v>
      </c>
      <c r="BB3" s="77">
        <f>AG3*AH3</f>
        <v>103.47059294703458</v>
      </c>
      <c r="BC3" s="82">
        <f t="shared" ref="BC3:BC11" si="14">AW3/((100*AK3)/AI3-AU3)</f>
        <v>0.56930007525324522</v>
      </c>
      <c r="BD3" s="82">
        <f>AW3/(BA3-AU3)</f>
        <v>0.56930007525324522</v>
      </c>
      <c r="BE3" s="82">
        <f>(AW3+AU3)/(BA3)</f>
        <v>0.6686374032014496</v>
      </c>
      <c r="BF3" s="82">
        <f>AX3/(BB3-AV3)</f>
        <v>0.50878234882731121</v>
      </c>
      <c r="BG3" s="82">
        <f>(AX3+AV3)/(BB3)</f>
        <v>0.72306244229942718</v>
      </c>
      <c r="BH3" s="82">
        <f>AY3/(BB3+BA3-AZ3)</f>
        <v>0.56113494408931153</v>
      </c>
      <c r="BI3" s="82">
        <f>(AY3+AZ3)/(BA3+BB3)</f>
        <v>0.67818825926936988</v>
      </c>
      <c r="BJ3" s="77">
        <f>BA3-AF3*AH3</f>
        <v>460.69869780624794</v>
      </c>
      <c r="BK3" s="77">
        <f>BJ3/$R$14</f>
        <v>9.1772648965388033</v>
      </c>
      <c r="BL3" s="77">
        <f t="shared" ref="BL3:BL11" si="15">ABS(AZ3-U3)/U3*100</f>
        <v>1.6670410451821897E-4</v>
      </c>
      <c r="BM3" s="80">
        <f>T3-'Без ПКМ'!B3</f>
        <v>-47.990285215881713</v>
      </c>
      <c r="BN3" s="81">
        <f>AY3-'Без ПКМ'!H3</f>
        <v>37.473923013148664</v>
      </c>
      <c r="BO3" s="83" t="s">
        <v>13</v>
      </c>
      <c r="BP3" s="83">
        <v>0.98</v>
      </c>
      <c r="BR3" s="84" t="s">
        <v>65</v>
      </c>
    </row>
    <row r="4" spans="1:70" s="84" customFormat="1" x14ac:dyDescent="0.35">
      <c r="A4" s="77">
        <v>-25</v>
      </c>
      <c r="B4" s="78">
        <f>0.151140511695727*[53]syngas_streams_zaryad!$E$2</f>
        <v>2.2621865176128098</v>
      </c>
      <c r="C4" s="78">
        <f>[53]gas_streams_zaryad!$E$13</f>
        <v>0.8870831965736885</v>
      </c>
      <c r="D4" s="79">
        <f>[53]electric_zaryad!$E$5</f>
        <v>30.51617073956568</v>
      </c>
      <c r="E4" s="79">
        <f>[53]GTU_input_zaryad!$B$3</f>
        <v>0.69939493627134375</v>
      </c>
      <c r="F4" s="79">
        <f>[53]electric_zaryad!$C$5</f>
        <v>115.86176514271079</v>
      </c>
      <c r="G4" s="79">
        <f>[53]electric_zaryad!$B$7</f>
        <v>29.723243925818899</v>
      </c>
      <c r="H4" s="79">
        <f>[53]electric_zaryad!$C$12</f>
        <v>4.1695458004423633E-2</v>
      </c>
      <c r="I4" s="79">
        <f>[53]electric_zaryad!$C$6</f>
        <v>6.1957201447769181</v>
      </c>
      <c r="J4" s="79">
        <f>[53]electric_zaryad!$C$2</f>
        <v>2.5310859967378772</v>
      </c>
      <c r="K4" s="79">
        <f>[53]heaters_zaryad!$B$9</f>
        <v>94.550407385633648</v>
      </c>
      <c r="L4" s="79">
        <f>[53]heaters_zaryad!$B$8</f>
        <v>15.88618008365529</v>
      </c>
      <c r="M4" s="79">
        <f>[53]heaters_zaryad!$B$10</f>
        <v>7.9081724524635444</v>
      </c>
      <c r="N4" s="79">
        <f t="shared" si="0"/>
        <v>118.34475992175248</v>
      </c>
      <c r="O4" s="79">
        <f>[53]heaters_zaryad!$B$17/1000</f>
        <v>45.50474415415114</v>
      </c>
      <c r="P4" s="80">
        <f>[53]heaters_zaryad!$B$11/1000</f>
        <v>43.299341193913051</v>
      </c>
      <c r="Q4" s="79">
        <f>[53]gas_streams_zaryad!$E$4</f>
        <v>17.02950475861843</v>
      </c>
      <c r="R4" s="79">
        <f>[2]!PropsSI("H","P",[53]gas_streams_zaryad!$C$4*10^6,"T",[53]gas_streams_zaryad!$B$4+273.15,"REFPROP::"&amp;[2]!MixtureString($R$16:$R$20,$S$16:$S$20))/1000-[2]!PropsSI("H","P",[53]gas_streams_zaryad!$C$4*10^6,"T",R14+273.15,"REFPROP::"&amp;[2]!MixtureString($R$16:$R$20,$S$16:$S$20))/1000</f>
        <v>1005.1820610676375</v>
      </c>
      <c r="S4" s="81">
        <f t="shared" si="1"/>
        <v>17.117752692229214</v>
      </c>
      <c r="T4" s="79">
        <f t="shared" si="2"/>
        <v>135.76798978507458</v>
      </c>
      <c r="U4" s="77">
        <f t="shared" ref="U4:U10" si="16">N4+O4</f>
        <v>163.84950407590361</v>
      </c>
      <c r="V4" s="77">
        <f t="shared" ref="V4:V11" si="17">C4*$R$14</f>
        <v>44.531576467999166</v>
      </c>
      <c r="W4" s="77">
        <f t="shared" si="3"/>
        <v>113.56176318416306</v>
      </c>
      <c r="X4" s="82">
        <f t="shared" si="4"/>
        <v>0.51952981556248812</v>
      </c>
      <c r="Y4" s="82">
        <f t="shared" si="5"/>
        <v>0.57737497729658382</v>
      </c>
      <c r="Z4" s="82">
        <f t="shared" si="6"/>
        <v>0.74954326157752738</v>
      </c>
      <c r="AA4" s="82">
        <f t="shared" si="7"/>
        <v>0.92903894533340259</v>
      </c>
      <c r="AB4" s="82">
        <f t="shared" si="8"/>
        <v>0.55416801728685705</v>
      </c>
      <c r="AC4" s="82">
        <f t="shared" si="9"/>
        <v>0.79688908642493017</v>
      </c>
      <c r="AD4" s="77">
        <f t="shared" ref="AD4:AD11" si="18">(100*F4)/D4+$R$14*(B4+C4)</f>
        <v>537.76668114546578</v>
      </c>
      <c r="AE4" s="77">
        <f t="shared" ref="AE4:AE11" si="19">AD4/$R$14</f>
        <v>10.712483688156688</v>
      </c>
      <c r="AF4" s="78">
        <f>[53]syngas_streams_razryad!$E$10</f>
        <v>1.0811111111111109</v>
      </c>
      <c r="AG4" s="78">
        <f>[53]syngas_streams_razryad!$E$9</f>
        <v>4.395011572053857</v>
      </c>
      <c r="AH4" s="79">
        <f>[53]accumulation_razryad!$E$3</f>
        <v>23.54273504191962</v>
      </c>
      <c r="AI4" s="79">
        <f>[53]electric_razryad!$E$5</f>
        <v>34.082383064645562</v>
      </c>
      <c r="AJ4" s="79">
        <f>[53]GTU_input_razryad!$B$3</f>
        <v>1</v>
      </c>
      <c r="AK4" s="79">
        <f>[53]electric_razryad!$C$5</f>
        <v>165.66</v>
      </c>
      <c r="AL4" s="79">
        <f>[53]electric_razryad!$B$7</f>
        <v>56.01107103512782</v>
      </c>
      <c r="AM4" s="79">
        <f>[53]electric_razryad!$C$12</f>
        <v>0.27087044198555171</v>
      </c>
      <c r="AN4" s="79">
        <f>[53]electric_razryad!$C$6</f>
        <v>6.3013810203264402</v>
      </c>
      <c r="AO4" s="79">
        <f>[53]electric_razryad!$C$2</f>
        <v>1.0792568874353421</v>
      </c>
      <c r="AP4" s="79">
        <f>[53]electric_razryad!$B$13</f>
        <v>62420.291171601952</v>
      </c>
      <c r="AQ4" s="79">
        <f>[53]electric_razryad!$B$14</f>
        <v>93656.028221152985</v>
      </c>
      <c r="AR4" s="79">
        <f>[53]heaters_razryad!$B$9</f>
        <v>84.048374242913482</v>
      </c>
      <c r="AS4" s="79">
        <f>[53]heaters_razryad!$B$8</f>
        <v>27.011383488455589</v>
      </c>
      <c r="AT4" s="79">
        <f>[53]heaters_razryad!$B$10</f>
        <v>7.2186472835692888</v>
      </c>
      <c r="AU4" s="79">
        <f t="shared" si="10"/>
        <v>118.27840501493836</v>
      </c>
      <c r="AV4" s="79">
        <f>[53]heaters_razryad!$B$18/1000</f>
        <v>45.5714545375738</v>
      </c>
      <c r="AW4" s="80">
        <f t="shared" ref="AW4:AW11" si="20">AK4+AL4*$BP$2*$BP$3-AM4/$BP$1/$BP$2-AN4-AO4/$BP$1/$BP$2</f>
        <v>212.26501801457243</v>
      </c>
      <c r="AX4" s="79">
        <f t="shared" si="11"/>
        <v>29.693193231992705</v>
      </c>
      <c r="AY4" s="81">
        <f t="shared" si="12"/>
        <v>241.95821124656513</v>
      </c>
      <c r="AZ4" s="81">
        <f t="shared" si="13"/>
        <v>163.84985955251216</v>
      </c>
      <c r="BA4" s="77">
        <f t="shared" ref="BA4:BA11" si="21">(100*AK4)/AI4</f>
        <v>486.0575614263397</v>
      </c>
      <c r="BB4" s="77">
        <f t="shared" ref="BB4:BB11" si="22">AG4*AH4</f>
        <v>103.47059294703458</v>
      </c>
      <c r="BC4" s="82">
        <f t="shared" si="14"/>
        <v>0.57715347461706268</v>
      </c>
      <c r="BD4" s="82">
        <f t="shared" ref="BD4:BD11" si="23">AW4/(BA4-AU4)</f>
        <v>0.57715347461706268</v>
      </c>
      <c r="BE4" s="82">
        <f t="shared" ref="BE4:BE11" si="24">(AW4+AU4)/(BA4)</f>
        <v>0.68004995552281611</v>
      </c>
      <c r="BF4" s="82">
        <f t="shared" ref="BF4:BF11" si="25">AX4/(BB4-AV4)</f>
        <v>0.51284343856731396</v>
      </c>
      <c r="BG4" s="82">
        <f t="shared" ref="BG4:BG11" si="26">(AX4+AV4)/(BB4)</f>
        <v>0.72740133815695474</v>
      </c>
      <c r="BH4" s="82">
        <f t="shared" ref="BH4:BH11" si="27">AY4/(BB4+BA4-AZ4)</f>
        <v>0.56840626874900502</v>
      </c>
      <c r="BI4" s="82">
        <f t="shared" ref="BI4:BI11" si="28">(AY4+AZ4)/(BA4+BB4)</f>
        <v>0.68836079801892058</v>
      </c>
      <c r="BJ4" s="77">
        <f t="shared" ref="BJ4:BJ11" si="29">BA4-AF4*AH4</f>
        <v>460.60524898657548</v>
      </c>
      <c r="BK4" s="77">
        <f t="shared" ref="BK4:BK11" si="30">BJ4/$R$14</f>
        <v>9.175403366266444</v>
      </c>
      <c r="BL4" s="77">
        <f t="shared" si="15"/>
        <v>2.1695311838264893E-4</v>
      </c>
      <c r="BM4" s="80">
        <f>T4-'Без ПКМ'!B4</f>
        <v>-51.689230886674494</v>
      </c>
      <c r="BN4" s="81">
        <f>AY4-'Без ПКМ'!H4</f>
        <v>36.830099241950592</v>
      </c>
      <c r="BO4" s="79" t="s">
        <v>28</v>
      </c>
      <c r="BP4" s="79">
        <v>50.2</v>
      </c>
      <c r="BR4" s="84" t="s">
        <v>31</v>
      </c>
    </row>
    <row r="5" spans="1:70" s="84" customFormat="1" x14ac:dyDescent="0.35">
      <c r="A5" s="77">
        <v>-20</v>
      </c>
      <c r="B5" s="78">
        <f>0.151140511695727*[31]syngas_streams_zaryad!$E$2</f>
        <v>2.2621842855196843</v>
      </c>
      <c r="C5" s="78">
        <f>[31]gas_streams_zaryad!$E$13</f>
        <v>0.88760557247926786</v>
      </c>
      <c r="D5" s="79">
        <f>[31]electric_zaryad!$E$5</f>
        <v>31.093748234829221</v>
      </c>
      <c r="E5" s="79">
        <f>[31]GTU_input_zaryad!$B$3</f>
        <v>0.74275082734504339</v>
      </c>
      <c r="F5" s="79">
        <f>[31]electric_zaryad!$C$5</f>
        <v>123.0441020579799</v>
      </c>
      <c r="G5" s="79">
        <f>[31]electric_zaryad!$B$7</f>
        <v>32.587231209551511</v>
      </c>
      <c r="H5" s="79">
        <f>[31]electric_zaryad!$C$12</f>
        <v>4.706965701368946E-2</v>
      </c>
      <c r="I5" s="79">
        <f>[31]electric_zaryad!$C$6</f>
        <v>6.2109594802500299</v>
      </c>
      <c r="J5" s="79">
        <f>[31]electric_zaryad!$C$2</f>
        <v>2.326537522109696</v>
      </c>
      <c r="K5" s="79">
        <f>[31]heaters_zaryad!$B$9</f>
        <v>95.19380713463741</v>
      </c>
      <c r="L5" s="79">
        <f>[31]heaters_zaryad!$B$8</f>
        <v>19.061142093492009</v>
      </c>
      <c r="M5" s="79">
        <f>[31]heaters_zaryad!$B$10</f>
        <v>8.1489845941481622</v>
      </c>
      <c r="N5" s="79">
        <f t="shared" si="0"/>
        <v>122.40393382227758</v>
      </c>
      <c r="O5" s="79">
        <f>[31]heaters_zaryad!$B$17/1000</f>
        <v>46.114129926539839</v>
      </c>
      <c r="P5" s="80">
        <f>[31]heaters_zaryad!$B$11/1000</f>
        <v>43.282622562825381</v>
      </c>
      <c r="Q5" s="79">
        <f>[31]gas_streams_zaryad!$E$4</f>
        <v>17.039532908181179</v>
      </c>
      <c r="R5" s="79">
        <f>[2]!PropsSI("H","P",[31]gas_streams_zaryad!$C$4*10^6,"T",[31]gas_streams_zaryad!$B$4+273.15,"REFPROP::"&amp;[2]!MixtureString($R$16:$R$20,$S$16:$S$20))/1000-[2]!PropsSI("H","P",[31]gas_streams_zaryad!$C$4*10^6,"T",S15+273.15,"REFPROP::"&amp;[2]!MixtureString($R$16:$R$20,$S$16:$S$20))/1000</f>
        <v>1246.7674708223194</v>
      </c>
      <c r="S5" s="81">
        <f t="shared" si="1"/>
        <v>21.244335347926732</v>
      </c>
      <c r="T5" s="79">
        <f t="shared" si="2"/>
        <v>145.92550270858879</v>
      </c>
      <c r="U5" s="77">
        <f t="shared" si="16"/>
        <v>168.51806374881741</v>
      </c>
      <c r="V5" s="77">
        <f t="shared" si="17"/>
        <v>44.557799738459252</v>
      </c>
      <c r="W5" s="77">
        <f t="shared" si="3"/>
        <v>113.56165113308816</v>
      </c>
      <c r="X5" s="82">
        <f t="shared" si="4"/>
        <v>0.53390801158146917</v>
      </c>
      <c r="Y5" s="82">
        <f t="shared" si="5"/>
        <v>0.58073439618873623</v>
      </c>
      <c r="Z5" s="82">
        <f t="shared" si="6"/>
        <v>0.74733549430338553</v>
      </c>
      <c r="AA5" s="82">
        <f t="shared" si="7"/>
        <v>0.96179823235585593</v>
      </c>
      <c r="AB5" s="82">
        <f t="shared" si="8"/>
        <v>0.56913615606118451</v>
      </c>
      <c r="AC5" s="82">
        <f t="shared" si="9"/>
        <v>0.80053284961894322</v>
      </c>
      <c r="AD5" s="77">
        <f t="shared" si="18"/>
        <v>553.83919854787871</v>
      </c>
      <c r="AE5" s="77">
        <f t="shared" si="19"/>
        <v>11.032653357527463</v>
      </c>
      <c r="AF5" s="78">
        <f>[31]syngas_streams_razryad!$E$10</f>
        <v>1.0811111111111109</v>
      </c>
      <c r="AG5" s="78">
        <f>[31]syngas_streams_razryad!$E$9</f>
        <v>4.395011572053857</v>
      </c>
      <c r="AH5" s="79">
        <f>[31]accumulation_razryad!$E$3</f>
        <v>23.54273504191962</v>
      </c>
      <c r="AI5" s="79">
        <f>[31]electric_razryad!$E$5</f>
        <v>34.091218921592109</v>
      </c>
      <c r="AJ5" s="79">
        <f>[31]GTU_input_razryad!$B$3</f>
        <v>1</v>
      </c>
      <c r="AK5" s="79">
        <f>[31]electric_razryad!$C$5</f>
        <v>165.66</v>
      </c>
      <c r="AL5" s="79">
        <f>[31]electric_razryad!$B$7</f>
        <v>57.299063894945427</v>
      </c>
      <c r="AM5" s="79">
        <f>[31]electric_razryad!$C$12</f>
        <v>0.2582060391164398</v>
      </c>
      <c r="AN5" s="79">
        <f>[31]electric_razryad!$C$6</f>
        <v>6.3013810203264402</v>
      </c>
      <c r="AO5" s="79">
        <f>[31]electric_razryad!$C$2</f>
        <v>0.95518715760098194</v>
      </c>
      <c r="AP5" s="79">
        <f>[31]electric_razryad!$B$13</f>
        <v>62461.948064318727</v>
      </c>
      <c r="AQ5" s="79">
        <f>[31]electric_razryad!$B$14</f>
        <v>93715.742358565985</v>
      </c>
      <c r="AR5" s="79">
        <f>[31]heaters_razryad!$B$9</f>
        <v>83.189252579122567</v>
      </c>
      <c r="AS5" s="79">
        <f>[31]heaters_razryad!$B$8</f>
        <v>31.456772918824889</v>
      </c>
      <c r="AT5" s="79">
        <f>[31]heaters_razryad!$B$10</f>
        <v>7.2907044429823813</v>
      </c>
      <c r="AU5" s="79">
        <f t="shared" si="10"/>
        <v>121.93672994092984</v>
      </c>
      <c r="AV5" s="79">
        <f>[31]heaters_razryad!$B$18/1000</f>
        <v>46.583375711393543</v>
      </c>
      <c r="AW5" s="80">
        <f t="shared" si="20"/>
        <v>213.66001319828229</v>
      </c>
      <c r="AX5" s="79">
        <f t="shared" si="11"/>
        <v>29.710304133248368</v>
      </c>
      <c r="AY5" s="81">
        <f t="shared" si="12"/>
        <v>243.37031733153066</v>
      </c>
      <c r="AZ5" s="81">
        <f t="shared" si="13"/>
        <v>168.52010565232337</v>
      </c>
      <c r="BA5" s="77">
        <f t="shared" si="21"/>
        <v>485.93158367557555</v>
      </c>
      <c r="BB5" s="77">
        <f t="shared" si="22"/>
        <v>103.47059294703458</v>
      </c>
      <c r="BC5" s="82">
        <f t="shared" si="14"/>
        <v>0.58698635710394309</v>
      </c>
      <c r="BD5" s="82">
        <f t="shared" si="23"/>
        <v>0.58698635710394309</v>
      </c>
      <c r="BE5" s="82">
        <f t="shared" si="24"/>
        <v>0.69062550040638615</v>
      </c>
      <c r="BF5" s="82">
        <f t="shared" si="25"/>
        <v>0.52226678640617774</v>
      </c>
      <c r="BG5" s="82">
        <f t="shared" si="26"/>
        <v>0.73734650272755065</v>
      </c>
      <c r="BH5" s="82">
        <f t="shared" si="27"/>
        <v>0.57823873744603393</v>
      </c>
      <c r="BI5" s="82">
        <f t="shared" si="28"/>
        <v>0.69882745486972375</v>
      </c>
      <c r="BJ5" s="77">
        <f t="shared" si="29"/>
        <v>460.47927123581132</v>
      </c>
      <c r="BK5" s="77">
        <f t="shared" si="30"/>
        <v>9.1728938493189496</v>
      </c>
      <c r="BL5" s="77">
        <f t="shared" si="15"/>
        <v>1.2116822734197881E-3</v>
      </c>
      <c r="BM5" s="80">
        <f>T5-'Без ПКМ'!B5</f>
        <v>-51.926524290783846</v>
      </c>
      <c r="BN5" s="81">
        <f>AY5-'Без ПКМ'!H5</f>
        <v>36.420957820185635</v>
      </c>
      <c r="BO5" s="79"/>
      <c r="BP5" s="79"/>
    </row>
    <row r="6" spans="1:70" x14ac:dyDescent="0.35">
      <c r="A6" s="16">
        <v>-15</v>
      </c>
      <c r="B6" s="7">
        <f>0.151140511695727*[32]syngas_streams_zaryad!$E$2</f>
        <v>2.2621870874402865</v>
      </c>
      <c r="C6" s="7">
        <f>[32]gas_streams_zaryad!$E$13</f>
        <v>0.88669700377910776</v>
      </c>
      <c r="D6" s="17">
        <f>[32]electric_zaryad!$E$5</f>
        <v>30.888793934951892</v>
      </c>
      <c r="E6" s="17">
        <f>[32]GTU_input_zaryad!$B$3</f>
        <v>0.72729893997341399</v>
      </c>
      <c r="F6" s="17">
        <f>[32]electric_zaryad!$C$5</f>
        <v>120.4843423959958</v>
      </c>
      <c r="G6" s="17">
        <f>[32]electric_zaryad!$B$7</f>
        <v>34.069432037343603</v>
      </c>
      <c r="H6" s="17">
        <f>[32]electric_zaryad!$C$12</f>
        <v>4.5483055370996228E-2</v>
      </c>
      <c r="I6" s="17">
        <f>[32]electric_zaryad!$C$6</f>
        <v>6.2055282345872733</v>
      </c>
      <c r="J6" s="17">
        <f>[32]electric_zaryad!$C$2</f>
        <v>2.3596389582554611</v>
      </c>
      <c r="K6" s="17">
        <f>[32]heaters_zaryad!$B$9</f>
        <v>91.514464072638248</v>
      </c>
      <c r="L6" s="17">
        <f>[32]heaters_zaryad!$B$8</f>
        <v>22.53449947946196</v>
      </c>
      <c r="M6" s="17">
        <f>[32]heaters_zaryad!$B$10</f>
        <v>7.8364034759142429</v>
      </c>
      <c r="N6" s="17">
        <f t="shared" si="0"/>
        <v>121.88536702801444</v>
      </c>
      <c r="O6" s="17">
        <f>[32]heaters_zaryad!$B$17/1000</f>
        <v>46.397623556098551</v>
      </c>
      <c r="P6" s="18">
        <f>[32]heaters_zaryad!$B$11/1000</f>
        <v>43.311667106910249</v>
      </c>
      <c r="Q6" s="17">
        <f>[32]gas_streams_zaryad!$E$4</f>
        <v>17.022090942125839</v>
      </c>
      <c r="R6" s="17">
        <f>[2]!PropsSI("H","P",[32]gas_streams_zaryad!$C$4*10^6,"T",[32]gas_streams_zaryad!$B$4+273.15,"REFPROP::"&amp;[2]!MixtureString($R$16:$R$20,$S$16:$S$20))/1000-[2]!PropsSI("H","P",[32]gas_streams_zaryad!$C$4*10^6,"T",S16+273.15,"REFPROP::"&amp;[2]!MixtureString($R$16:$R$20,$S$16:$S$20))/1000</f>
        <v>1245.3598293915852</v>
      </c>
      <c r="S6" s="19">
        <f t="shared" si="1"/>
        <v>21.198628271573881</v>
      </c>
      <c r="T6" s="17">
        <f t="shared" si="2"/>
        <v>144.77569693942849</v>
      </c>
      <c r="U6" s="16">
        <f t="shared" si="16"/>
        <v>168.28299058411301</v>
      </c>
      <c r="V6" s="16">
        <f t="shared" si="17"/>
        <v>44.512189589711213</v>
      </c>
      <c r="W6" s="16">
        <f t="shared" si="3"/>
        <v>113.56179178950239</v>
      </c>
      <c r="X6" s="20">
        <f t="shared" si="4"/>
        <v>0.53985922115717389</v>
      </c>
      <c r="Y6" s="20">
        <f t="shared" si="5"/>
        <v>0.58837554688665294</v>
      </c>
      <c r="Z6" s="20">
        <f t="shared" si="6"/>
        <v>0.75372016208676185</v>
      </c>
      <c r="AA6" s="20">
        <f t="shared" si="7"/>
        <v>0.96362573273219698</v>
      </c>
      <c r="AB6" s="20">
        <f t="shared" si="8"/>
        <v>0.57696453859733776</v>
      </c>
      <c r="AC6" s="20">
        <f t="shared" si="9"/>
        <v>0.80634093089076486</v>
      </c>
      <c r="AD6" s="16">
        <f t="shared" si="18"/>
        <v>548.13240402181145</v>
      </c>
      <c r="AE6" s="16">
        <f t="shared" si="19"/>
        <v>10.91897219166955</v>
      </c>
      <c r="AF6" s="7">
        <f>[32]syngas_streams_razryad!$E$10</f>
        <v>1.0811111111111109</v>
      </c>
      <c r="AG6" s="7">
        <f>[32]syngas_streams_razryad!$E$9</f>
        <v>4.395011572053857</v>
      </c>
      <c r="AH6" s="17">
        <f>[32]accumulation_razryad!$E$3</f>
        <v>23.54273504191962</v>
      </c>
      <c r="AI6" s="17">
        <f>[32]electric_razryad!$E$5</f>
        <v>34.094845350390223</v>
      </c>
      <c r="AJ6" s="17">
        <f>[32]GTU_input_razryad!$B$3</f>
        <v>1</v>
      </c>
      <c r="AK6" s="17">
        <f>[32]electric_razryad!$C$5</f>
        <v>165.66</v>
      </c>
      <c r="AL6" s="17">
        <f>[32]electric_razryad!$B$7</f>
        <v>60.260407680038767</v>
      </c>
      <c r="AM6" s="17">
        <f>[32]electric_razryad!$C$12</f>
        <v>0.26479078040790199</v>
      </c>
      <c r="AN6" s="17">
        <f>[32]electric_razryad!$C$6</f>
        <v>6.3013810203264402</v>
      </c>
      <c r="AO6" s="17">
        <f>[32]electric_razryad!$C$2</f>
        <v>0.83142324010913549</v>
      </c>
      <c r="AP6" s="17">
        <f>[32]electric_razryad!$B$13</f>
        <v>62503.655225327428</v>
      </c>
      <c r="AQ6" s="17">
        <f>[32]electric_razryad!$B$14</f>
        <v>93775.528546736852</v>
      </c>
      <c r="AR6" s="17">
        <f>[32]heaters_razryad!$B$9</f>
        <v>75.334904810118147</v>
      </c>
      <c r="AS6" s="17">
        <f>[32]heaters_razryad!$B$8</f>
        <v>38.757396572930901</v>
      </c>
      <c r="AT6" s="17">
        <f>[32]heaters_razryad!$B$10</f>
        <v>6.5985269688521813</v>
      </c>
      <c r="AU6" s="17">
        <f t="shared" si="10"/>
        <v>120.69082835190123</v>
      </c>
      <c r="AV6" s="17">
        <f>[32]heaters_razryad!$B$18/1000</f>
        <v>47.596072998080295</v>
      </c>
      <c r="AW6" s="18">
        <f t="shared" si="20"/>
        <v>216.65770136409859</v>
      </c>
      <c r="AX6" s="17">
        <f t="shared" si="11"/>
        <v>29.727435675223209</v>
      </c>
      <c r="AY6" s="19">
        <f t="shared" si="12"/>
        <v>246.38513703932179</v>
      </c>
      <c r="AZ6" s="19">
        <f t="shared" si="13"/>
        <v>168.28690134998152</v>
      </c>
      <c r="BA6" s="16">
        <f t="shared" si="21"/>
        <v>485.87989855218387</v>
      </c>
      <c r="BB6" s="16">
        <f t="shared" si="22"/>
        <v>103.47059294703458</v>
      </c>
      <c r="BC6" s="20">
        <f t="shared" si="14"/>
        <v>0.59327542646683218</v>
      </c>
      <c r="BD6" s="20">
        <f t="shared" si="23"/>
        <v>0.59327542646683218</v>
      </c>
      <c r="BE6" s="20">
        <f t="shared" si="24"/>
        <v>0.69430435529690537</v>
      </c>
      <c r="BF6" s="20">
        <f t="shared" si="25"/>
        <v>0.53203921398128406</v>
      </c>
      <c r="BG6" s="20">
        <f t="shared" si="26"/>
        <v>0.74729936758828219</v>
      </c>
      <c r="BH6" s="20">
        <f t="shared" si="27"/>
        <v>0.58514947101457015</v>
      </c>
      <c r="BI6" s="20">
        <f t="shared" si="28"/>
        <v>0.70360853918088773</v>
      </c>
      <c r="BJ6" s="16">
        <f t="shared" si="29"/>
        <v>460.42758611241965</v>
      </c>
      <c r="BK6" s="16">
        <f t="shared" si="30"/>
        <v>9.1718642651876419</v>
      </c>
      <c r="BL6" s="16">
        <f t="shared" si="15"/>
        <v>2.3239222543744928E-3</v>
      </c>
      <c r="BM6" s="18">
        <f>T6-'Без ПКМ'!B6</f>
        <v>-53.710788213936752</v>
      </c>
      <c r="BN6" s="19">
        <f>AY6-'Без ПКМ'!H6</f>
        <v>36.690254208784836</v>
      </c>
      <c r="BO6" s="17"/>
      <c r="BP6" s="17"/>
    </row>
    <row r="7" spans="1:70" x14ac:dyDescent="0.35">
      <c r="A7" s="16">
        <v>-10</v>
      </c>
      <c r="B7" s="7">
        <f>0.151140511695727*[33]syngas_streams_zaryad!$E$2</f>
        <v>2.2621805480330228</v>
      </c>
      <c r="C7" s="7">
        <f>[33]gas_streams_zaryad!$E$13</f>
        <v>0.88578853069530117</v>
      </c>
      <c r="D7" s="17">
        <f>[33]electric_zaryad!$E$5</f>
        <v>30.732543131814449</v>
      </c>
      <c r="E7" s="17">
        <f>[33]GTU_input_zaryad!$B$3</f>
        <v>0.71596459405638924</v>
      </c>
      <c r="F7" s="17">
        <f>[33]electric_zaryad!$C$5</f>
        <v>118.6066946513814</v>
      </c>
      <c r="G7" s="17">
        <f>[33]electric_zaryad!$B$7</f>
        <v>35.752468018114747</v>
      </c>
      <c r="H7" s="17">
        <f>[33]electric_zaryad!$C$12</f>
        <v>4.519218525115401E-2</v>
      </c>
      <c r="I7" s="17">
        <f>[33]electric_zaryad!$C$6</f>
        <v>6.2015442800306886</v>
      </c>
      <c r="J7" s="17">
        <f>[33]electric_zaryad!$C$2</f>
        <v>2.351675825713448</v>
      </c>
      <c r="K7" s="17">
        <f>[33]heaters_zaryad!$B$9</f>
        <v>86.902222994703251</v>
      </c>
      <c r="L7" s="17">
        <f>[33]heaters_zaryad!$B$8</f>
        <v>26.99311884902216</v>
      </c>
      <c r="M7" s="17">
        <f>[33]heaters_zaryad!$B$10</f>
        <v>7.4447477175979122</v>
      </c>
      <c r="N7" s="17">
        <f t="shared" si="0"/>
        <v>121.34008956132332</v>
      </c>
      <c r="O7" s="17">
        <f>[33]heaters_zaryad!$B$17/1000</f>
        <v>46.712495680073793</v>
      </c>
      <c r="P7" s="18">
        <f>[33]heaters_zaryad!$B$11/1000</f>
        <v>43.340413065089876</v>
      </c>
      <c r="Q7" s="17">
        <f>[33]gas_streams_zaryad!$E$4</f>
        <v>17.004650811635798</v>
      </c>
      <c r="R7" s="17">
        <f>[2]!PropsSI("H","P",[33]gas_streams_zaryad!$C$4*10^6,"T",[33]gas_streams_zaryad!$B$4+273.15,"REFPROP::"&amp;[2]!MixtureString($R$16:$R$20,$S$16:$S$20))/1000-[2]!PropsSI("H","P",[33]gas_streams_zaryad!$C$4*10^6,"T",S17+273.15,"REFPROP::"&amp;[2]!MixtureString($R$16:$R$20,$S$16:$S$20))/1000</f>
        <v>1246.4115417513406</v>
      </c>
      <c r="S7" s="19">
        <f t="shared" si="1"/>
        <v>21.194793035074159</v>
      </c>
      <c r="T7" s="17">
        <f t="shared" si="2"/>
        <v>144.54369084362654</v>
      </c>
      <c r="U7" s="16">
        <f t="shared" si="16"/>
        <v>168.05258524139711</v>
      </c>
      <c r="V7" s="16">
        <f t="shared" si="17"/>
        <v>44.466584240904119</v>
      </c>
      <c r="W7" s="16">
        <f t="shared" si="3"/>
        <v>113.56146351125776</v>
      </c>
      <c r="X7" s="20">
        <f t="shared" si="4"/>
        <v>0.54628931302749684</v>
      </c>
      <c r="Y7" s="20">
        <f t="shared" si="5"/>
        <v>0.59618869231589622</v>
      </c>
      <c r="Z7" s="20">
        <f t="shared" si="6"/>
        <v>0.75952813067720037</v>
      </c>
      <c r="AA7" s="20">
        <f t="shared" si="7"/>
        <v>0.96599560273730356</v>
      </c>
      <c r="AB7" s="20">
        <f t="shared" si="8"/>
        <v>0.58523390155904342</v>
      </c>
      <c r="AC7" s="20">
        <f t="shared" si="9"/>
        <v>0.81167586831363747</v>
      </c>
      <c r="AD7" s="16">
        <f t="shared" si="18"/>
        <v>543.95997060887885</v>
      </c>
      <c r="AE7" s="16">
        <f t="shared" si="19"/>
        <v>10.835855988224678</v>
      </c>
      <c r="AF7" s="7">
        <f>[33]syngas_streams_razryad!$E$10</f>
        <v>1.0811111111111109</v>
      </c>
      <c r="AG7" s="7">
        <f>[33]syngas_streams_razryad!$E$9</f>
        <v>4.396733697646714</v>
      </c>
      <c r="AH7" s="17">
        <f>[33]accumulation_razryad!$E$3</f>
        <v>23.53533367368868</v>
      </c>
      <c r="AI7" s="17">
        <f>[33]electric_razryad!$E$5</f>
        <v>34.086911016241331</v>
      </c>
      <c r="AJ7" s="17">
        <f>[33]GTU_input_razryad!$B$3</f>
        <v>1</v>
      </c>
      <c r="AK7" s="17">
        <f>[33]electric_razryad!$C$5</f>
        <v>165.66</v>
      </c>
      <c r="AL7" s="17">
        <f>[33]electric_razryad!$B$7</f>
        <v>63.168825652924937</v>
      </c>
      <c r="AM7" s="17">
        <f>[33]electric_razryad!$C$12</f>
        <v>0.27386574263493058</v>
      </c>
      <c r="AN7" s="17">
        <f>[33]electric_razryad!$C$6</f>
        <v>6.3013810203264402</v>
      </c>
      <c r="AO7" s="17">
        <f>[33]electric_razryad!$C$2</f>
        <v>0.71060255749749046</v>
      </c>
      <c r="AP7" s="17">
        <f>[33]electric_razryad!$B$13</f>
        <v>62548.61786579719</v>
      </c>
      <c r="AQ7" s="17">
        <f>[33]electric_razryad!$B$14</f>
        <v>93841.448579483054</v>
      </c>
      <c r="AR7" s="17">
        <f>[33]heaters_razryad!$B$9</f>
        <v>65.808416590711033</v>
      </c>
      <c r="AS7" s="17">
        <f>[33]heaters_razryad!$B$8</f>
        <v>47.885549039802399</v>
      </c>
      <c r="AT7" s="17">
        <f>[33]heaters_razryad!$B$10</f>
        <v>5.7500061044219866</v>
      </c>
      <c r="AU7" s="17">
        <f t="shared" si="10"/>
        <v>119.44397173493542</v>
      </c>
      <c r="AV7" s="17">
        <f>[33]heaters_razryad!$B$18/1000</f>
        <v>48.612959091907406</v>
      </c>
      <c r="AW7" s="18">
        <f t="shared" si="20"/>
        <v>219.59826370774536</v>
      </c>
      <c r="AX7" s="17">
        <f t="shared" si="11"/>
        <v>29.747327903333211</v>
      </c>
      <c r="AY7" s="19">
        <f t="shared" si="12"/>
        <v>249.34559161107856</v>
      </c>
      <c r="AZ7" s="19">
        <f t="shared" si="13"/>
        <v>168.05693082684283</v>
      </c>
      <c r="BA7" s="16">
        <f t="shared" si="21"/>
        <v>485.99299573102496</v>
      </c>
      <c r="BB7" s="16">
        <f t="shared" si="22"/>
        <v>103.47859464846645</v>
      </c>
      <c r="BC7" s="20">
        <f t="shared" si="14"/>
        <v>0.59909657189562748</v>
      </c>
      <c r="BD7" s="20">
        <f t="shared" si="23"/>
        <v>0.59909657189562748</v>
      </c>
      <c r="BE7" s="20">
        <f t="shared" si="24"/>
        <v>0.69762782266583367</v>
      </c>
      <c r="BF7" s="20">
        <f t="shared" si="25"/>
        <v>0.54218505994827559</v>
      </c>
      <c r="BG7" s="20">
        <f t="shared" si="26"/>
        <v>0.75726083506877151</v>
      </c>
      <c r="BH7" s="20">
        <f t="shared" si="27"/>
        <v>0.59168703783530119</v>
      </c>
      <c r="BI7" s="20">
        <f t="shared" si="28"/>
        <v>0.70809608003195712</v>
      </c>
      <c r="BJ7" s="16">
        <f t="shared" si="29"/>
        <v>460.54868499269264</v>
      </c>
      <c r="BK7" s="16">
        <f t="shared" si="30"/>
        <v>9.1742765934799326</v>
      </c>
      <c r="BL7" s="16">
        <f t="shared" si="15"/>
        <v>2.5858486136807212E-3</v>
      </c>
      <c r="BM7" s="18">
        <f>T7-'Без ПКМ'!B7</f>
        <v>-54.289164479148553</v>
      </c>
      <c r="BN7" s="19">
        <f>AY7-'Без ПКМ'!H7</f>
        <v>37.045016639701657</v>
      </c>
      <c r="BO7" s="17"/>
      <c r="BP7" s="17"/>
    </row>
    <row r="8" spans="1:70" x14ac:dyDescent="0.35">
      <c r="A8" s="16">
        <v>-5</v>
      </c>
      <c r="B8" s="7">
        <f>0.151140511695727*[34]syngas_streams_zaryad!$E$2</f>
        <v>2.2621854071740968</v>
      </c>
      <c r="C8" s="7">
        <f>[34]gas_streams_zaryad!$E$13</f>
        <v>0.88492345667587091</v>
      </c>
      <c r="D8" s="17">
        <f>[34]electric_zaryad!$E$5</f>
        <v>30.641734364736699</v>
      </c>
      <c r="E8" s="17">
        <f>[34]GTU_input_zaryad!$B$3</f>
        <v>0.71074786731956119</v>
      </c>
      <c r="F8" s="17">
        <f>[34]electric_zaryad!$C$5</f>
        <v>117.7424917001585</v>
      </c>
      <c r="G8" s="17">
        <f>[34]electric_zaryad!$B$7</f>
        <v>37.5991267603506</v>
      </c>
      <c r="H8" s="17">
        <f>[34]electric_zaryad!$C$12</f>
        <v>4.5256100392003597E-2</v>
      </c>
      <c r="I8" s="17">
        <f>[34]electric_zaryad!$C$6</f>
        <v>6.1997106318955613</v>
      </c>
      <c r="J8" s="17">
        <f>[34]electric_zaryad!$C$2</f>
        <v>2.2814705396022652</v>
      </c>
      <c r="K8" s="17">
        <f>[34]heaters_zaryad!$B$9</f>
        <v>81.306767768421253</v>
      </c>
      <c r="L8" s="17">
        <f>[34]heaters_zaryad!$B$8</f>
        <v>32.480218736785602</v>
      </c>
      <c r="M8" s="17">
        <f>[34]heaters_zaryad!$B$10</f>
        <v>6.9672847991938136</v>
      </c>
      <c r="N8" s="17">
        <f t="shared" si="0"/>
        <v>120.75427130440067</v>
      </c>
      <c r="O8" s="17">
        <f>[34]heaters_zaryad!$B$17/1000</f>
        <v>47.072363809091755</v>
      </c>
      <c r="P8" s="18">
        <f>[34]heaters_zaryad!$B$11/1000</f>
        <v>43.368136528480221</v>
      </c>
      <c r="Q8" s="17">
        <f>[34]gas_streams_zaryad!$E$4</f>
        <v>16.98804382123474</v>
      </c>
      <c r="R8" s="17">
        <f>[2]!PropsSI("H","P",[34]gas_streams_zaryad!$C$4*10^6,"T",[34]gas_streams_zaryad!$B$4+273.15,"REFPROP::"&amp;[2]!MixtureString($R$16:$R$20,$S$16:$S$20))/1000-[2]!PropsSI("H","P",[34]gas_streams_zaryad!$C$4*10^6,"T",S18+273.15,"REFPROP::"&amp;[2]!MixtureString($R$16:$R$20,$S$16:$S$20))/1000</f>
        <v>1246.5891221948264</v>
      </c>
      <c r="S8" s="19">
        <f t="shared" si="1"/>
        <v>21.177110634920258</v>
      </c>
      <c r="T8" s="17">
        <f t="shared" si="2"/>
        <v>145.54752866243177</v>
      </c>
      <c r="U8" s="16">
        <f t="shared" si="16"/>
        <v>167.82663511349244</v>
      </c>
      <c r="V8" s="16">
        <f t="shared" si="17"/>
        <v>44.423157525128723</v>
      </c>
      <c r="W8" s="16">
        <f t="shared" si="3"/>
        <v>113.56170744013967</v>
      </c>
      <c r="X8" s="20">
        <f t="shared" si="4"/>
        <v>0.55236035801776218</v>
      </c>
      <c r="Y8" s="20">
        <f t="shared" si="5"/>
        <v>0.60315577595635772</v>
      </c>
      <c r="Z8" s="20">
        <f t="shared" si="6"/>
        <v>0.76380161012740067</v>
      </c>
      <c r="AA8" s="20">
        <f t="shared" si="7"/>
        <v>0.96859120298611101</v>
      </c>
      <c r="AB8" s="20">
        <f t="shared" si="8"/>
        <v>0.59288423913132027</v>
      </c>
      <c r="AC8" s="20">
        <f t="shared" si="9"/>
        <v>0.81568479930333171</v>
      </c>
      <c r="AD8" s="16">
        <f t="shared" si="18"/>
        <v>542.24017603427762</v>
      </c>
      <c r="AE8" s="16">
        <f>AD8/$R$14</f>
        <v>10.801597132156925</v>
      </c>
      <c r="AF8" s="7">
        <f>[34]syngas_streams_razryad!$E$10</f>
        <v>1.0811111111111109</v>
      </c>
      <c r="AG8" s="7">
        <f>[34]syngas_streams_razryad!$E$9</f>
        <v>4.3994479898786789</v>
      </c>
      <c r="AH8" s="17">
        <f>[34]accumulation_razryad!$E$3</f>
        <v>23.52367760499385</v>
      </c>
      <c r="AI8" s="17">
        <f>[34]electric_razryad!$E$5</f>
        <v>34.061064584346838</v>
      </c>
      <c r="AJ8" s="17">
        <f>[34]GTU_input_razryad!$B$3</f>
        <v>1</v>
      </c>
      <c r="AK8" s="17">
        <f>[34]electric_razryad!$C$5</f>
        <v>165.66</v>
      </c>
      <c r="AL8" s="17">
        <f>[34]electric_razryad!$B$7</f>
        <v>65.363338346604493</v>
      </c>
      <c r="AM8" s="17">
        <f>[34]electric_razryad!$C$12</f>
        <v>0.2877666819202484</v>
      </c>
      <c r="AN8" s="17">
        <f>[34]electric_razryad!$C$6</f>
        <v>6.3013810203264402</v>
      </c>
      <c r="AO8" s="17">
        <f>[34]electric_razryad!$C$2</f>
        <v>0.71666408509868151</v>
      </c>
      <c r="AP8" s="17">
        <f>[34]electric_razryad!$B$13</f>
        <v>62595.501176334103</v>
      </c>
      <c r="AQ8" s="17">
        <f>[34]electric_razryad!$B$14</f>
        <v>93910.967086279779</v>
      </c>
      <c r="AR8" s="17">
        <f>[34]heaters_razryad!$B$9</f>
        <v>64.848684015727883</v>
      </c>
      <c r="AS8" s="17">
        <f>[34]heaters_razryad!$B$8</f>
        <v>47.709603276039402</v>
      </c>
      <c r="AT8" s="17">
        <f>[34]heaters_razryad!$B$10</f>
        <v>5.6391729001712729</v>
      </c>
      <c r="AU8" s="17">
        <f t="shared" si="10"/>
        <v>118.19746019193856</v>
      </c>
      <c r="AV8" s="17">
        <f>[34]heaters_razryad!$B$18/1000</f>
        <v>49.632801669158141</v>
      </c>
      <c r="AW8" s="18">
        <f t="shared" si="20"/>
        <v>221.70615454634677</v>
      </c>
      <c r="AX8" s="17">
        <f t="shared" si="11"/>
        <v>29.768829114301226</v>
      </c>
      <c r="AY8" s="19">
        <f t="shared" si="12"/>
        <v>251.47498366064798</v>
      </c>
      <c r="AZ8" s="19">
        <f t="shared" si="13"/>
        <v>167.83026186109669</v>
      </c>
      <c r="BA8" s="16">
        <f t="shared" si="21"/>
        <v>486.36178000182355</v>
      </c>
      <c r="BB8" s="16">
        <f t="shared" si="22"/>
        <v>103.49119615384429</v>
      </c>
      <c r="BC8" s="20">
        <f t="shared" si="14"/>
        <v>0.60219348431383246</v>
      </c>
      <c r="BD8" s="20">
        <f t="shared" si="23"/>
        <v>0.60219348431383246</v>
      </c>
      <c r="BE8" s="20">
        <f t="shared" si="24"/>
        <v>0.69886991271602572</v>
      </c>
      <c r="BF8" s="20">
        <f t="shared" si="25"/>
        <v>0.55272403492765765</v>
      </c>
      <c r="BG8" s="20">
        <f t="shared" si="26"/>
        <v>0.76723077647518245</v>
      </c>
      <c r="BH8" s="20">
        <f t="shared" si="27"/>
        <v>0.59588021009958914</v>
      </c>
      <c r="BI8" s="20">
        <f t="shared" si="28"/>
        <v>0.71086399911812259</v>
      </c>
      <c r="BJ8" s="16">
        <f t="shared" si="29"/>
        <v>460.93007076886909</v>
      </c>
      <c r="BK8" s="16">
        <f>BJ8/$R$14</f>
        <v>9.181873919698587</v>
      </c>
      <c r="BL8" s="16">
        <f t="shared" si="15"/>
        <v>2.1610083535258829E-3</v>
      </c>
      <c r="BM8" s="18">
        <f>T8-'Без ПКМ'!B8</f>
        <v>-54.160681264309318</v>
      </c>
      <c r="BN8" s="19">
        <f>AY8-'Без ПКМ'!H8</f>
        <v>37.061578082498073</v>
      </c>
      <c r="BO8" s="17"/>
      <c r="BP8" s="17"/>
    </row>
    <row r="9" spans="1:70" x14ac:dyDescent="0.35">
      <c r="A9" s="16">
        <v>0</v>
      </c>
      <c r="B9" s="7">
        <f>0.151140511695727*[35]syngas_streams_zaryad!$E$2</f>
        <v>2.2621866488387226</v>
      </c>
      <c r="C9" s="7">
        <f>[35]gas_streams_zaryad!$E$13</f>
        <v>0.88376569654773729</v>
      </c>
      <c r="D9" s="17">
        <f>[35]electric_zaryad!$E$5</f>
        <v>30.565482250702971</v>
      </c>
      <c r="E9" s="17">
        <f>[35]GTU_input_zaryad!$B$3</f>
        <v>0.70823779790384145</v>
      </c>
      <c r="F9" s="17">
        <f>[35]electric_zaryad!$C$5</f>
        <v>116.36672808947149</v>
      </c>
      <c r="G9" s="17">
        <f>[35]electric_zaryad!$B$7</f>
        <v>39.093798371199632</v>
      </c>
      <c r="H9" s="17">
        <f>[35]electric_zaryad!$C$12</f>
        <v>4.5001550543161802E-2</v>
      </c>
      <c r="I9" s="17">
        <f>[35]electric_zaryad!$C$6</f>
        <v>6.1967915648227834</v>
      </c>
      <c r="J9" s="17">
        <f>[35]electric_zaryad!$C$2</f>
        <v>2.2613269785137939</v>
      </c>
      <c r="K9" s="17">
        <f>[35]heaters_zaryad!$B$9</f>
        <v>74.700224378469329</v>
      </c>
      <c r="L9" s="17">
        <f>[35]heaters_zaryad!$B$8</f>
        <v>39.116163192416501</v>
      </c>
      <c r="M9" s="17">
        <f>[35]heaters_zaryad!$B$10</f>
        <v>6.3937483271474242</v>
      </c>
      <c r="N9" s="17">
        <f t="shared" si="0"/>
        <v>120.21013589803326</v>
      </c>
      <c r="O9" s="17">
        <f>[35]heaters_zaryad!$B$17/1000</f>
        <v>47.394762895518092</v>
      </c>
      <c r="P9" s="18">
        <f>[35]heaters_zaryad!$B$11/1000</f>
        <v>43.405073389129356</v>
      </c>
      <c r="Q9" s="17">
        <f>[35]gas_streams_zaryad!$E$4</f>
        <v>16.965818079965441</v>
      </c>
      <c r="R9" s="17">
        <f>[2]!PropsSI("H","P",[35]gas_streams_zaryad!$C$4*10^6,"T",[35]gas_streams_zaryad!$B$4+273.15,"REFPROP::"&amp;[2]!MixtureString($R$16:$R$20,$S$16:$S$20))/1000-[2]!PropsSI("H","P",[35]gas_streams_zaryad!$C$4*10^6,"T",S19+273.15,"REFPROP::"&amp;[2]!MixtureString($R$16:$R$20,$S$16:$S$20))/1000</f>
        <v>1246.7478520836039</v>
      </c>
      <c r="S9" s="19">
        <f t="shared" si="1"/>
        <v>21.152097250038086</v>
      </c>
      <c r="T9" s="17">
        <f t="shared" si="2"/>
        <v>145.64650309720216</v>
      </c>
      <c r="U9" s="16">
        <f t="shared" si="16"/>
        <v>167.60489879355134</v>
      </c>
      <c r="V9" s="16">
        <f t="shared" si="17"/>
        <v>44.365037966696413</v>
      </c>
      <c r="W9" s="16">
        <f t="shared" si="3"/>
        <v>113.56176977170388</v>
      </c>
      <c r="X9" s="20">
        <f t="shared" si="4"/>
        <v>0.55909776690174262</v>
      </c>
      <c r="Y9" s="20">
        <f t="shared" si="5"/>
        <v>0.61131854896926818</v>
      </c>
      <c r="Z9" s="20">
        <f t="shared" si="6"/>
        <v>0.76956622017053322</v>
      </c>
      <c r="AA9" s="20">
        <f t="shared" si="7"/>
        <v>0.97091452359148966</v>
      </c>
      <c r="AB9" s="20">
        <f t="shared" si="8"/>
        <v>0.60156692977376813</v>
      </c>
      <c r="AC9" s="20">
        <f t="shared" si="9"/>
        <v>0.8209092580163706</v>
      </c>
      <c r="AD9" s="16">
        <f t="shared" si="18"/>
        <v>538.63968880801008</v>
      </c>
      <c r="AE9" s="16">
        <f t="shared" si="19"/>
        <v>10.729874279044024</v>
      </c>
      <c r="AF9" s="7">
        <f>[35]syngas_streams_razryad!$E$10</f>
        <v>1.0811111111111109</v>
      </c>
      <c r="AG9" s="7">
        <f>[35]syngas_streams_razryad!$E$9</f>
        <v>4.4025683150483728</v>
      </c>
      <c r="AH9" s="17">
        <f>[35]accumulation_razryad!$E$3</f>
        <v>23.51029215380127</v>
      </c>
      <c r="AI9" s="17">
        <f>[35]electric_razryad!$E$5</f>
        <v>34.012096926621403</v>
      </c>
      <c r="AJ9" s="17">
        <f>[35]GTU_input_razryad!$B$3</f>
        <v>1</v>
      </c>
      <c r="AK9" s="17">
        <f>[35]electric_razryad!$C$5</f>
        <v>164.30459999999999</v>
      </c>
      <c r="AL9" s="17">
        <f>[35]electric_razryad!$B$7</f>
        <v>66.139466084330451</v>
      </c>
      <c r="AM9" s="17">
        <f>[35]electric_razryad!$C$12</f>
        <v>0.29581442952644121</v>
      </c>
      <c r="AN9" s="17">
        <f>[35]electric_razryad!$C$6</f>
        <v>6.2985051603460569</v>
      </c>
      <c r="AO9" s="17">
        <f>[35]electric_razryad!$C$2</f>
        <v>0.72182815541458012</v>
      </c>
      <c r="AP9" s="17">
        <f>[35]electric_razryad!$B$13</f>
        <v>62643.221513271201</v>
      </c>
      <c r="AQ9" s="17">
        <f>[35]electric_razryad!$B$14</f>
        <v>93982.031287304751</v>
      </c>
      <c r="AR9" s="17">
        <f>[35]heaters_razryad!$B$9</f>
        <v>75.32090936174167</v>
      </c>
      <c r="AS9" s="17">
        <f>[35]heaters_razryad!$B$8</f>
        <v>35.110454806153172</v>
      </c>
      <c r="AT9" s="17">
        <f>[35]heaters_razryad!$B$10</f>
        <v>6.5211081960344917</v>
      </c>
      <c r="AU9" s="17">
        <f t="shared" si="10"/>
        <v>116.95247236392933</v>
      </c>
      <c r="AV9" s="17">
        <f>[35]heaters_razryad!$B$18/1000</f>
        <v>50.654541615304446</v>
      </c>
      <c r="AW9" s="18">
        <f t="shared" si="20"/>
        <v>221.09258188417587</v>
      </c>
      <c r="AX9" s="17">
        <f t="shared" si="11"/>
        <v>29.791009671937289</v>
      </c>
      <c r="AY9" s="19">
        <f t="shared" si="12"/>
        <v>250.88359155611317</v>
      </c>
      <c r="AZ9" s="19">
        <f t="shared" si="13"/>
        <v>167.60701397923378</v>
      </c>
      <c r="BA9" s="16">
        <f t="shared" si="21"/>
        <v>483.07694863529019</v>
      </c>
      <c r="BB9" s="16">
        <f t="shared" si="22"/>
        <v>103.50566731385584</v>
      </c>
      <c r="BC9" s="20">
        <f t="shared" si="14"/>
        <v>0.60387271601123016</v>
      </c>
      <c r="BD9" s="20">
        <f t="shared" si="23"/>
        <v>0.60387271601123016</v>
      </c>
      <c r="BE9" s="20">
        <f t="shared" si="24"/>
        <v>0.69977475680239898</v>
      </c>
      <c r="BF9" s="20">
        <f t="shared" si="25"/>
        <v>0.56367786453323998</v>
      </c>
      <c r="BG9" s="20">
        <f t="shared" si="26"/>
        <v>0.77720914588483447</v>
      </c>
      <c r="BH9" s="20">
        <f t="shared" si="27"/>
        <v>0.59880238939099328</v>
      </c>
      <c r="BI9" s="20">
        <f t="shared" si="28"/>
        <v>0.71343847252989201</v>
      </c>
      <c r="BJ9" s="16">
        <f t="shared" si="29"/>
        <v>457.65971056234724</v>
      </c>
      <c r="BK9" s="16">
        <f t="shared" si="30"/>
        <v>9.1167273020387896</v>
      </c>
      <c r="BL9" s="16">
        <f t="shared" si="15"/>
        <v>1.2620070759668727E-3</v>
      </c>
      <c r="BM9" s="18">
        <f>T9-'Без ПКМ'!B9</f>
        <v>-53.09297575689672</v>
      </c>
      <c r="BN9" s="19">
        <f>AY9-'Без ПКМ'!H9</f>
        <v>36.709994535772921</v>
      </c>
      <c r="BO9" s="17"/>
      <c r="BP9" s="17"/>
    </row>
    <row r="10" spans="1:70" x14ac:dyDescent="0.35">
      <c r="A10" s="16">
        <v>5</v>
      </c>
      <c r="B10" s="7">
        <f>0.151140511695727*[36]syngas_streams_zaryad!$E$2</f>
        <v>2.2621795487456655</v>
      </c>
      <c r="C10" s="7">
        <f>[36]gas_streams_zaryad!$E$13</f>
        <v>0.882357799483239</v>
      </c>
      <c r="D10" s="17">
        <f>[36]electric_zaryad!$E$5</f>
        <v>30.500484601134008</v>
      </c>
      <c r="E10" s="17">
        <f>[36]GTU_input_zaryad!$B$3</f>
        <v>0.71591449981245514</v>
      </c>
      <c r="F10" s="17">
        <f>[36]electric_zaryad!$C$5</f>
        <v>114.3935438157328</v>
      </c>
      <c r="G10" s="17">
        <f>[36]electric_zaryad!$B$7</f>
        <v>40.093913790488678</v>
      </c>
      <c r="H10" s="17">
        <f>[36]electric_zaryad!$C$12</f>
        <v>4.4975822036945327E-2</v>
      </c>
      <c r="I10" s="17">
        <f>[36]electric_zaryad!$C$6</f>
        <v>6.1926049028139554</v>
      </c>
      <c r="J10" s="17">
        <f>[36]electric_zaryad!$C$2</f>
        <v>2.2770602851975048</v>
      </c>
      <c r="K10" s="17">
        <f>[36]heaters_zaryad!$B$9</f>
        <v>67.480063253945687</v>
      </c>
      <c r="L10" s="17">
        <f>[36]heaters_zaryad!$B$8</f>
        <v>46.458686807210142</v>
      </c>
      <c r="M10" s="17">
        <f>[36]heaters_zaryad!$B$10</f>
        <v>5.7536825722811598</v>
      </c>
      <c r="N10" s="17">
        <f t="shared" si="0"/>
        <v>119.69243263343699</v>
      </c>
      <c r="O10" s="17">
        <f>[36]heaters_zaryad!$B$17/1000</f>
        <v>47.695034667287004</v>
      </c>
      <c r="P10" s="18">
        <f>[36]heaters_zaryad!$B$11/1000</f>
        <v>43.449718148018938</v>
      </c>
      <c r="Q10" s="17">
        <f>[36]gas_streams_zaryad!$E$4</f>
        <v>16.938790412377859</v>
      </c>
      <c r="R10" s="17">
        <f>[2]!PropsSI("H","P",[36]gas_streams_zaryad!$C$4*10^6,"T",[36]gas_streams_zaryad!$B$4+273.15,"REFPROP::"&amp;[2]!MixtureString($R$16:$R$20,$S$16:$S$20))/1000-[2]!PropsSI("H","P",[36]gas_streams_zaryad!$C$4*10^6,"T",S20+273.15,"REFPROP::"&amp;[2]!MixtureString($R$16:$R$20,$S$16:$S$20))/1000</f>
        <v>1246.7504596517715</v>
      </c>
      <c r="S10" s="19">
        <f t="shared" si="1"/>
        <v>21.118444732577114</v>
      </c>
      <c r="T10" s="17">
        <f t="shared" si="2"/>
        <v>144.63111615938934</v>
      </c>
      <c r="U10" s="16">
        <f t="shared" si="16"/>
        <v>167.38746730072398</v>
      </c>
      <c r="V10" s="16">
        <f t="shared" si="17"/>
        <v>44.294361534058602</v>
      </c>
      <c r="W10" s="16">
        <f t="shared" si="3"/>
        <v>113.56141334703241</v>
      </c>
      <c r="X10" s="20">
        <f>T10/((100*F10)/D10-N10)</f>
        <v>0.56637591050753699</v>
      </c>
      <c r="Y10" s="20">
        <f t="shared" si="5"/>
        <v>0.62065147052383207</v>
      </c>
      <c r="Z10" s="20">
        <f t="shared" si="6"/>
        <v>0.77686527223757551</v>
      </c>
      <c r="AA10" s="20">
        <f t="shared" si="7"/>
        <v>0.97306171032742694</v>
      </c>
      <c r="AB10" s="20">
        <f t="shared" si="8"/>
        <v>0.61128895992089327</v>
      </c>
      <c r="AC10" s="20">
        <f t="shared" si="9"/>
        <v>0.82742110266581148</v>
      </c>
      <c r="AD10" s="16">
        <f t="shared" si="18"/>
        <v>532.91061519493849</v>
      </c>
      <c r="AE10" s="16">
        <f t="shared" si="19"/>
        <v>10.615749306672081</v>
      </c>
      <c r="AF10" s="7">
        <f>[36]syngas_streams_razryad!$E$10</f>
        <v>1.0811111111111109</v>
      </c>
      <c r="AG10" s="7">
        <f>[36]syngas_streams_razryad!$E$9</f>
        <v>4.4062452633665972</v>
      </c>
      <c r="AH10" s="17">
        <f>[36]accumulation_razryad!$E$3</f>
        <v>23.49453846052959</v>
      </c>
      <c r="AI10" s="17">
        <f>[36]electric_razryad!$E$5</f>
        <v>33.830241541168107</v>
      </c>
      <c r="AJ10" s="17">
        <f>[36]GTU_input_razryad!$B$3</f>
        <v>1</v>
      </c>
      <c r="AK10" s="17">
        <f>[36]electric_razryad!$C$5</f>
        <v>159.78659999999999</v>
      </c>
      <c r="AL10" s="17">
        <f>[36]electric_razryad!$B$7</f>
        <v>65.899010805455376</v>
      </c>
      <c r="AM10" s="17">
        <f>[36]electric_razryad!$C$12</f>
        <v>0.29566150562177229</v>
      </c>
      <c r="AN10" s="17">
        <f>[36]electric_razryad!$C$6</f>
        <v>6.2889189604114444</v>
      </c>
      <c r="AO10" s="17">
        <f>[36]electric_razryad!$C$2</f>
        <v>0.71598310939687693</v>
      </c>
      <c r="AP10" s="17">
        <f>[36]electric_razryad!$B$13</f>
        <v>62692.064336307783</v>
      </c>
      <c r="AQ10" s="17">
        <f>[36]electric_razryad!$B$14</f>
        <v>94055.178634434691</v>
      </c>
      <c r="AR10" s="17">
        <f>[36]heaters_razryad!$B$9</f>
        <v>84.227019329046243</v>
      </c>
      <c r="AS10" s="17">
        <f>[36]heaters_razryad!$B$8</f>
        <v>24.227009649183191</v>
      </c>
      <c r="AT10" s="17">
        <f>[36]heaters_razryad!$B$10</f>
        <v>7.2548016450828197</v>
      </c>
      <c r="AU10" s="17">
        <f t="shared" si="10"/>
        <v>115.70883062331225</v>
      </c>
      <c r="AV10" s="17">
        <f>[36]heaters_razryad!$B$18/1000</f>
        <v>51.678564461428721</v>
      </c>
      <c r="AW10" s="18">
        <f t="shared" si="20"/>
        <v>216.35725579936388</v>
      </c>
      <c r="AX10" s="17">
        <f t="shared" si="11"/>
        <v>29.814111261546916</v>
      </c>
      <c r="AY10" s="19">
        <f t="shared" si="12"/>
        <v>246.1713670609108</v>
      </c>
      <c r="AZ10" s="19">
        <f t="shared" si="13"/>
        <v>167.38739508474097</v>
      </c>
      <c r="BA10" s="16">
        <f t="shared" si="21"/>
        <v>472.31882694527997</v>
      </c>
      <c r="BB10" s="16">
        <f t="shared" si="22"/>
        <v>103.52269880669284</v>
      </c>
      <c r="BC10" s="20">
        <f t="shared" si="14"/>
        <v>0.60670552713285208</v>
      </c>
      <c r="BD10" s="20">
        <f t="shared" si="23"/>
        <v>0.60670552713285208</v>
      </c>
      <c r="BE10" s="20">
        <f t="shared" si="24"/>
        <v>0.70305494398839052</v>
      </c>
      <c r="BF10" s="20">
        <f t="shared" si="25"/>
        <v>0.57507202382809941</v>
      </c>
      <c r="BG10" s="20">
        <f t="shared" si="26"/>
        <v>0.78719620587892802</v>
      </c>
      <c r="BH10" s="20">
        <f t="shared" si="27"/>
        <v>0.60269036001368537</v>
      </c>
      <c r="BI10" s="20">
        <f t="shared" si="28"/>
        <v>0.71818155456155897</v>
      </c>
      <c r="BJ10" s="16">
        <f t="shared" si="29"/>
        <v>446.91862036517409</v>
      </c>
      <c r="BK10" s="16">
        <f t="shared" si="30"/>
        <v>8.9027613618560579</v>
      </c>
      <c r="BL10" s="16">
        <f>ABS(AZ10-U10)/U10*100</f>
        <v>4.3143004775080352E-5</v>
      </c>
      <c r="BM10" s="18">
        <f>T10-'Без ПКМ'!B10</f>
        <v>-49.661328528181116</v>
      </c>
      <c r="BN10" s="19">
        <f>AY10-'Без ПКМ'!H10</f>
        <v>37.077895409555168</v>
      </c>
      <c r="BO10" s="17"/>
      <c r="BP10" s="17"/>
    </row>
    <row r="11" spans="1:70" x14ac:dyDescent="0.35">
      <c r="A11" s="16">
        <v>8</v>
      </c>
      <c r="B11" s="7">
        <f>0.151140511695727*[37]syngas_streams_zaryad!$E$2</f>
        <v>2.2621910378106689</v>
      </c>
      <c r="C11" s="7">
        <f>[37]gas_streams_zaryad!$E$13</f>
        <v>0.88131408028857661</v>
      </c>
      <c r="D11" s="17">
        <f>[37]electric_zaryad!$E$5</f>
        <v>30.39380273002433</v>
      </c>
      <c r="E11" s="17">
        <f>[37]GTU_input_zaryad!$B$3</f>
        <v>0.71666535823847155</v>
      </c>
      <c r="F11" s="17">
        <f>[37]electric_zaryad!$C$5</f>
        <v>112.5707844775945</v>
      </c>
      <c r="G11" s="17">
        <f>[37]electric_zaryad!$B$7</f>
        <v>40.093175485906528</v>
      </c>
      <c r="H11" s="17">
        <f>[37]electric_zaryad!$C$12</f>
        <v>4.5257262078777893E-2</v>
      </c>
      <c r="I11" s="17">
        <f>[37]electric_zaryad!$C$6</f>
        <v>6.1887374093548848</v>
      </c>
      <c r="J11" s="17">
        <f>[37]electric_zaryad!$C$2</f>
        <v>2.327906899887445</v>
      </c>
      <c r="K11" s="17">
        <f>[37]heaters_zaryad!$B$9</f>
        <v>65.450942184665948</v>
      </c>
      <c r="L11" s="17">
        <f>[37]heaters_zaryad!$B$8</f>
        <v>47.992736190353007</v>
      </c>
      <c r="M11" s="17">
        <f>[37]heaters_zaryad!$B$10</f>
        <v>5.561640244380385</v>
      </c>
      <c r="N11" s="17">
        <f>K11+L11+M11</f>
        <v>119.00531861939933</v>
      </c>
      <c r="O11" s="17">
        <f>[37]heaters_zaryad!$B$17/1000</f>
        <v>47.724506092506672</v>
      </c>
      <c r="P11" s="18">
        <f>[37]heaters_zaryad!$B$11/1000</f>
        <v>43.483344752303729</v>
      </c>
      <c r="Q11" s="17">
        <f>[37]gas_streams_zaryad!$E$4</f>
        <v>16.918753936587521</v>
      </c>
      <c r="R11" s="17">
        <f>[2]!PropsSI("H","P",[37]gas_streams_zaryad!$C$4*10^6,"T",[37]gas_streams_zaryad!$B$4+273.15,"REFPROP::"&amp;[2]!MixtureString($R$16:$R$20,$S$16:$S$20))/1000-[2]!PropsSI("H","P",[37]gas_streams_zaryad!$C$4*10^6,"T",S21+273.15,"REFPROP::"&amp;[2]!MixtureString($R$16:$R$20,$S$16:$S$20))/1000</f>
        <v>896.4142916678345</v>
      </c>
      <c r="S11" s="19">
        <f>R11*Q11/1000</f>
        <v>15.166212825968488</v>
      </c>
      <c r="T11" s="17">
        <f t="shared" si="2"/>
        <v>142.75714538031076</v>
      </c>
      <c r="U11" s="16">
        <f>N11+O11</f>
        <v>166.72982471190602</v>
      </c>
      <c r="V11" s="16">
        <f t="shared" si="17"/>
        <v>44.241966830486547</v>
      </c>
      <c r="W11" s="16">
        <f t="shared" si="3"/>
        <v>113.56199009809558</v>
      </c>
      <c r="X11" s="20">
        <f>T11/((100*F11)/D11-N11)</f>
        <v>0.56791906991180074</v>
      </c>
      <c r="Y11" s="20">
        <f t="shared" si="5"/>
        <v>0.64001822998556257</v>
      </c>
      <c r="Z11" s="20">
        <f>(T11+P11+N11)/((100*F11)/D11+S11)</f>
        <v>0.7917350521463723</v>
      </c>
      <c r="AA11" s="20">
        <f t="shared" si="7"/>
        <v>0.93154688369816419</v>
      </c>
      <c r="AB11" s="20">
        <f t="shared" si="8"/>
        <v>0.61394225215313791</v>
      </c>
      <c r="AC11" s="20">
        <f t="shared" si="9"/>
        <v>0.83004176195731316</v>
      </c>
      <c r="AD11" s="16">
        <f t="shared" si="18"/>
        <v>528.17809364821062</v>
      </c>
      <c r="AE11" s="16">
        <f t="shared" si="19"/>
        <v>10.521475969087861</v>
      </c>
      <c r="AF11" s="7">
        <f>[37]syngas_streams_razryad!$E$10</f>
        <v>1.0811111111111109</v>
      </c>
      <c r="AG11" s="7">
        <f>[37]syngas_streams_razryad!$E$9</f>
        <v>4.4087868165820359</v>
      </c>
      <c r="AH11" s="17">
        <f>[37]accumulation_razryad!$E$3</f>
        <v>23.483661642680509</v>
      </c>
      <c r="AI11" s="17">
        <f>[37]electric_razryad!$E$5</f>
        <v>33.701191319931901</v>
      </c>
      <c r="AJ11" s="17">
        <f>[37]GTU_input_razryad!$B$3</f>
        <v>1</v>
      </c>
      <c r="AK11" s="17">
        <f>[37]electric_razryad!$C$5</f>
        <v>157.07579999999999</v>
      </c>
      <c r="AL11" s="17">
        <f>[37]electric_razryad!$B$7</f>
        <v>65.641024312032116</v>
      </c>
      <c r="AM11" s="17">
        <f>[37]electric_razryad!$C$12</f>
        <v>0.29525731335187361</v>
      </c>
      <c r="AN11" s="17">
        <f>[37]electric_razryad!$C$6</f>
        <v>6.2831672404506769</v>
      </c>
      <c r="AO11" s="17">
        <f>[37]electric_razryad!$C$2</f>
        <v>0.71184488358380005</v>
      </c>
      <c r="AP11" s="17">
        <f>[37]electric_razryad!$B$13</f>
        <v>62722.038390198919</v>
      </c>
      <c r="AQ11" s="17">
        <f>[37]electric_razryad!$B$14</f>
        <v>94100.310763044239</v>
      </c>
      <c r="AR11" s="17">
        <f>[37]heaters_razryad!$B$9</f>
        <v>85.818083676171725</v>
      </c>
      <c r="AS11" s="17">
        <f>[37]heaters_razryad!$B$8</f>
        <v>21.649701873320829</v>
      </c>
      <c r="AT11" s="17">
        <f>[37]heaters_razryad!$B$10</f>
        <v>7.3619093713592427</v>
      </c>
      <c r="AU11" s="17">
        <f>AT11+AS11+AR11</f>
        <v>114.82969492085179</v>
      </c>
      <c r="AV11" s="17">
        <f>[37]heaters_razryad!$B$18/1000</f>
        <v>51.899487184099321</v>
      </c>
      <c r="AW11" s="18">
        <f t="shared" si="20"/>
        <v>213.4067388140306</v>
      </c>
      <c r="AX11" s="17">
        <f t="shared" si="11"/>
        <v>29.828523879910573</v>
      </c>
      <c r="AY11" s="19">
        <f t="shared" si="12"/>
        <v>243.23526269394117</v>
      </c>
      <c r="AZ11" s="19">
        <f>AU11+AV11</f>
        <v>166.72918210495112</v>
      </c>
      <c r="BA11" s="16">
        <f t="shared" si="21"/>
        <v>466.08382032803871</v>
      </c>
      <c r="BB11" s="16">
        <f t="shared" si="22"/>
        <v>103.53445785532307</v>
      </c>
      <c r="BC11" s="20">
        <f t="shared" si="14"/>
        <v>0.60755653351157524</v>
      </c>
      <c r="BD11" s="20">
        <f t="shared" si="23"/>
        <v>0.60755653351157524</v>
      </c>
      <c r="BE11" s="20">
        <f t="shared" si="24"/>
        <v>0.70424335584930475</v>
      </c>
      <c r="BF11" s="20">
        <f t="shared" si="25"/>
        <v>0.57768065890534259</v>
      </c>
      <c r="BG11" s="20">
        <f t="shared" si="26"/>
        <v>0.78937981380281086</v>
      </c>
      <c r="BH11" s="20">
        <f t="shared" si="27"/>
        <v>0.60372758920882408</v>
      </c>
      <c r="BI11" s="20">
        <f t="shared" si="28"/>
        <v>0.7197178540449215</v>
      </c>
      <c r="BJ11" s="16">
        <f t="shared" si="29"/>
        <v>440.69537279656299</v>
      </c>
      <c r="BK11" s="16">
        <f t="shared" si="30"/>
        <v>8.7787922867841228</v>
      </c>
      <c r="BL11" s="16">
        <f t="shared" si="15"/>
        <v>3.8541811940862709E-4</v>
      </c>
      <c r="BM11" s="18">
        <f>T11-'Без ПКМ'!B11</f>
        <v>-48.415316155425558</v>
      </c>
      <c r="BN11" s="19">
        <f>AY11-'Без ПКМ'!H11</f>
        <v>37.282179767168202</v>
      </c>
      <c r="BO11" s="17"/>
      <c r="BP11" s="17"/>
    </row>
    <row r="14" spans="1:70" x14ac:dyDescent="0.35">
      <c r="Q14" s="1" t="s">
        <v>54</v>
      </c>
      <c r="R14" s="17">
        <f>BP4</f>
        <v>50.2</v>
      </c>
      <c r="S14" s="3" t="s">
        <v>53</v>
      </c>
    </row>
    <row r="15" spans="1:70" x14ac:dyDescent="0.3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70" x14ac:dyDescent="0.35">
      <c r="R16" s="1" t="s">
        <v>41</v>
      </c>
      <c r="S16" s="3">
        <v>0.71032059101601497</v>
      </c>
      <c r="BL16" s="16">
        <f t="shared" ref="BL16:BL23" si="31">(BM16-BN16)*100</f>
        <v>-7.6274715594713438</v>
      </c>
      <c r="BM16" s="18">
        <v>0.57074242025422373</v>
      </c>
      <c r="BN16" s="16">
        <v>0.64701713584893716</v>
      </c>
    </row>
    <row r="17" spans="18:66" x14ac:dyDescent="0.35">
      <c r="R17" s="6" t="s">
        <v>44</v>
      </c>
      <c r="S17" s="3">
        <v>0.18053127301225799</v>
      </c>
      <c r="BL17" s="16">
        <f t="shared" si="31"/>
        <v>-7.356977695775857</v>
      </c>
      <c r="BM17" s="18">
        <v>0.58765218465126401</v>
      </c>
      <c r="BN17" s="16">
        <v>0.66122196160902258</v>
      </c>
    </row>
    <row r="18" spans="18:66" x14ac:dyDescent="0.35">
      <c r="R18" s="6" t="s">
        <v>43</v>
      </c>
      <c r="S18" s="3">
        <v>9.0538556815177001E-2</v>
      </c>
      <c r="BL18" s="16">
        <f t="shared" si="31"/>
        <v>-7.5876016894403371</v>
      </c>
      <c r="BM18" s="18">
        <v>0.59542528960195196</v>
      </c>
      <c r="BN18" s="16">
        <v>0.67130130649635533</v>
      </c>
    </row>
    <row r="19" spans="18:66" x14ac:dyDescent="0.35">
      <c r="R19" s="6" t="s">
        <v>42</v>
      </c>
      <c r="S19" s="3">
        <v>9.9671027033589304E-3</v>
      </c>
      <c r="BL19" s="16">
        <f t="shared" si="31"/>
        <v>-7.7236127271791748</v>
      </c>
      <c r="BM19" s="18">
        <v>0.60350314070988964</v>
      </c>
      <c r="BN19" s="16">
        <v>0.68073926798168138</v>
      </c>
    </row>
    <row r="20" spans="18:66" x14ac:dyDescent="0.35">
      <c r="R20" s="1" t="s">
        <v>45</v>
      </c>
      <c r="S20" s="3">
        <v>8.6424764531917806E-3</v>
      </c>
      <c r="BL20" s="16">
        <f t="shared" si="31"/>
        <v>-7.7035963168916481</v>
      </c>
      <c r="BM20" s="18">
        <v>0.61098447735087835</v>
      </c>
      <c r="BN20" s="16">
        <v>0.68802044051979483</v>
      </c>
    </row>
    <row r="21" spans="18:66" x14ac:dyDescent="0.35">
      <c r="R21" s="1" t="s">
        <v>46</v>
      </c>
      <c r="S21" s="3">
        <v>60</v>
      </c>
      <c r="BL21" s="16">
        <f t="shared" si="31"/>
        <v>-7.6120262086908586</v>
      </c>
      <c r="BM21" s="18">
        <v>0.61942422261697849</v>
      </c>
      <c r="BN21" s="16">
        <v>0.69554448470388708</v>
      </c>
    </row>
    <row r="22" spans="18:66" x14ac:dyDescent="0.35">
      <c r="BL22" s="16">
        <f t="shared" si="31"/>
        <v>-7.5036700812799895</v>
      </c>
      <c r="BM22" s="18">
        <v>0.6292258242027684</v>
      </c>
      <c r="BN22" s="16">
        <v>0.7042625250155683</v>
      </c>
    </row>
    <row r="23" spans="18:66" x14ac:dyDescent="0.35">
      <c r="R23" s="1" t="s">
        <v>47</v>
      </c>
      <c r="S23" s="3">
        <f>[2]!PropsSI("Q","P",0.1*10^6,"T",S21+273.15,"REFPROP::"&amp;[2]!MixtureString($R$16:$R$20,$S$16:$S$20))</f>
        <v>998</v>
      </c>
      <c r="BL23" s="16">
        <f t="shared" si="31"/>
        <v>-7.5390528498794236</v>
      </c>
      <c r="BM23" s="18">
        <v>0.63183866161787383</v>
      </c>
      <c r="BN23" s="16">
        <v>0.70722919011666807</v>
      </c>
    </row>
    <row r="24" spans="18:66" x14ac:dyDescent="0.35">
      <c r="BL24" s="16">
        <f>AVERAGE(BL15:BL23)</f>
        <v>-7.550687794079959</v>
      </c>
    </row>
    <row r="39" spans="18:20" x14ac:dyDescent="0.35">
      <c r="R39" s="6"/>
      <c r="S39" s="5"/>
      <c r="T39" s="6"/>
    </row>
  </sheetData>
  <mergeCells count="33">
    <mergeCell ref="BL1:BL2"/>
    <mergeCell ref="BM1:BM2"/>
    <mergeCell ref="BN1:BN2"/>
    <mergeCell ref="BF1:BF2"/>
    <mergeCell ref="BG1:BG2"/>
    <mergeCell ref="BH1:BH2"/>
    <mergeCell ref="BI1:BI2"/>
    <mergeCell ref="BJ1:BJ2"/>
    <mergeCell ref="BK1:BK2"/>
    <mergeCell ref="AZ1:AZ2"/>
    <mergeCell ref="BA1:BA2"/>
    <mergeCell ref="BB1:BB2"/>
    <mergeCell ref="BC1:BC2"/>
    <mergeCell ref="BD1:BD2"/>
    <mergeCell ref="BE1:BE2"/>
    <mergeCell ref="AD1:AD2"/>
    <mergeCell ref="AE1:AE2"/>
    <mergeCell ref="AF1:AV1"/>
    <mergeCell ref="AW1:AW2"/>
    <mergeCell ref="AX1:AX2"/>
    <mergeCell ref="AY1:AY2"/>
    <mergeCell ref="X1:X2"/>
    <mergeCell ref="Y1:Y2"/>
    <mergeCell ref="Z1:Z2"/>
    <mergeCell ref="AA1:AA2"/>
    <mergeCell ref="AB1:AB2"/>
    <mergeCell ref="AC1:AC2"/>
    <mergeCell ref="A1:A2"/>
    <mergeCell ref="B1:O1"/>
    <mergeCell ref="T1:T2"/>
    <mergeCell ref="U1:U2"/>
    <mergeCell ref="V1:V2"/>
    <mergeCell ref="W1:W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F5C5-EBBC-4F1A-8B26-446FDB4FED59}">
  <dimension ref="A1:CB39"/>
  <sheetViews>
    <sheetView tabSelected="1" topLeftCell="BK1" zoomScale="85" zoomScaleNormal="85" workbookViewId="0">
      <selection activeCell="BN26" sqref="BN26"/>
    </sheetView>
  </sheetViews>
  <sheetFormatPr defaultColWidth="9.1796875" defaultRowHeight="15.5" x14ac:dyDescent="0.35"/>
  <cols>
    <col min="1" max="1" width="7.1796875" style="4" bestFit="1" customWidth="1"/>
    <col min="2" max="3" width="16.1796875" style="1" bestFit="1" customWidth="1"/>
    <col min="4" max="4" width="10.453125" style="1" bestFit="1" customWidth="1"/>
    <col min="5" max="5" width="7.54296875" style="1" bestFit="1" customWidth="1"/>
    <col min="6" max="6" width="7.453125" style="1" bestFit="1" customWidth="1"/>
    <col min="7" max="7" width="7.81640625" style="1" bestFit="1" customWidth="1"/>
    <col min="8" max="9" width="5.1796875" style="1" bestFit="1" customWidth="1"/>
    <col min="10" max="10" width="5.26953125" style="1" bestFit="1" customWidth="1"/>
    <col min="11" max="12" width="7.453125" style="1" bestFit="1" customWidth="1"/>
    <col min="13" max="13" width="6.453125" style="1" bestFit="1" customWidth="1"/>
    <col min="14" max="14" width="10.81640625" style="1" bestFit="1" customWidth="1"/>
    <col min="15" max="15" width="10.7265625" style="1" bestFit="1" customWidth="1"/>
    <col min="16" max="16" width="6.453125" style="2" bestFit="1" customWidth="1"/>
    <col min="17" max="17" width="11.453125" style="1" bestFit="1" customWidth="1"/>
    <col min="18" max="18" width="12.54296875" style="1" bestFit="1" customWidth="1"/>
    <col min="19" max="19" width="11.453125" style="3" bestFit="1" customWidth="1"/>
    <col min="20" max="20" width="13.453125" style="1" bestFit="1" customWidth="1"/>
    <col min="21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1796875" style="4" bestFit="1" customWidth="1"/>
    <col min="26" max="26" width="11.453125" style="4" bestFit="1" customWidth="1"/>
    <col min="27" max="27" width="21.5429687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1796875" style="1" bestFit="1" customWidth="1"/>
    <col min="33" max="33" width="11.453125" style="1" bestFit="1" customWidth="1"/>
    <col min="34" max="34" width="7" style="1" bestFit="1" customWidth="1"/>
    <col min="35" max="35" width="10.453125" style="1" bestFit="1" customWidth="1"/>
    <col min="36" max="36" width="7.54296875" style="1" bestFit="1" customWidth="1"/>
    <col min="37" max="37" width="7.453125" style="1" bestFit="1" customWidth="1"/>
    <col min="38" max="38" width="7.8164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453125" style="1" bestFit="1" customWidth="1"/>
    <col min="46" max="46" width="6.453125" style="1" bestFit="1" customWidth="1"/>
    <col min="47" max="47" width="10.81640625" style="1" bestFit="1" customWidth="1"/>
    <col min="48" max="48" width="8.54296875" style="1" bestFit="1" customWidth="1"/>
    <col min="49" max="49" width="14.453125" style="2" bestFit="1" customWidth="1"/>
    <col min="50" max="50" width="15.453125" style="1" bestFit="1" customWidth="1"/>
    <col min="51" max="51" width="14.81640625" style="3" bestFit="1" customWidth="1"/>
    <col min="52" max="52" width="11.81640625" style="3" bestFit="1" customWidth="1"/>
    <col min="53" max="54" width="11" style="4" bestFit="1" customWidth="1"/>
    <col min="55" max="55" width="18.81640625" style="4" bestFit="1" customWidth="1"/>
    <col min="56" max="56" width="21.1796875" style="4" bestFit="1" customWidth="1"/>
    <col min="57" max="57" width="11.453125" style="4" bestFit="1" customWidth="1"/>
    <col min="58" max="58" width="24.54296875" style="4" bestFit="1" customWidth="1"/>
    <col min="59" max="59" width="15.17968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17968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453125" style="1" bestFit="1" customWidth="1"/>
    <col min="69" max="16384" width="9.1796875" style="1"/>
  </cols>
  <sheetData>
    <row r="1" spans="1:80" ht="15.65" customHeight="1" x14ac:dyDescent="0.35">
      <c r="A1" s="48" t="s">
        <v>0</v>
      </c>
      <c r="B1" s="50" t="s">
        <v>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8"/>
      <c r="Q1" s="9"/>
      <c r="R1" s="9"/>
      <c r="S1" s="10"/>
      <c r="T1" s="52" t="s">
        <v>14</v>
      </c>
      <c r="U1" s="48" t="s">
        <v>17</v>
      </c>
      <c r="V1" s="48" t="s">
        <v>58</v>
      </c>
      <c r="W1" s="48" t="s">
        <v>59</v>
      </c>
      <c r="X1" s="48" t="s">
        <v>49</v>
      </c>
      <c r="Y1" s="48" t="s">
        <v>50</v>
      </c>
      <c r="Z1" s="48" t="s">
        <v>52</v>
      </c>
      <c r="AA1" s="48" t="s">
        <v>55</v>
      </c>
      <c r="AB1" s="48" t="s">
        <v>68</v>
      </c>
      <c r="AC1" s="48" t="s">
        <v>60</v>
      </c>
      <c r="AD1" s="46" t="s">
        <v>88</v>
      </c>
      <c r="AE1" s="46" t="s">
        <v>87</v>
      </c>
      <c r="AF1" s="50" t="s">
        <v>8</v>
      </c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2"/>
      <c r="AW1" s="50" t="s">
        <v>15</v>
      </c>
      <c r="AX1" s="51" t="s">
        <v>16</v>
      </c>
      <c r="AY1" s="52" t="s">
        <v>22</v>
      </c>
      <c r="AZ1" s="52" t="s">
        <v>17</v>
      </c>
      <c r="BA1" s="48" t="s">
        <v>62</v>
      </c>
      <c r="BB1" s="48" t="s">
        <v>61</v>
      </c>
      <c r="BC1" s="48" t="s">
        <v>49</v>
      </c>
      <c r="BD1" s="48" t="s">
        <v>50</v>
      </c>
      <c r="BE1" s="48" t="s">
        <v>52</v>
      </c>
      <c r="BF1" s="48" t="s">
        <v>63</v>
      </c>
      <c r="BG1" s="48" t="s">
        <v>64</v>
      </c>
      <c r="BH1" s="48" t="s">
        <v>68</v>
      </c>
      <c r="BI1" s="48" t="s">
        <v>60</v>
      </c>
      <c r="BJ1" s="46" t="s">
        <v>88</v>
      </c>
      <c r="BK1" s="46" t="s">
        <v>87</v>
      </c>
      <c r="BL1" s="48" t="s">
        <v>23</v>
      </c>
      <c r="BM1" s="50" t="s">
        <v>33</v>
      </c>
      <c r="BN1" s="52" t="s">
        <v>34</v>
      </c>
      <c r="BO1" s="11" t="s">
        <v>11</v>
      </c>
      <c r="BP1" s="11">
        <v>0.95</v>
      </c>
      <c r="BR1" s="1" t="s">
        <v>66</v>
      </c>
    </row>
    <row r="2" spans="1:80" ht="16" thickBot="1" x14ac:dyDescent="0.4">
      <c r="A2" s="49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5"/>
      <c r="U2" s="49"/>
      <c r="V2" s="49"/>
      <c r="W2" s="49"/>
      <c r="X2" s="49"/>
      <c r="Y2" s="49"/>
      <c r="Z2" s="49"/>
      <c r="AA2" s="49"/>
      <c r="AB2" s="49"/>
      <c r="AC2" s="49"/>
      <c r="AD2" s="47" t="s">
        <v>86</v>
      </c>
      <c r="AE2" s="47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3"/>
      <c r="AX2" s="54"/>
      <c r="AY2" s="55"/>
      <c r="AZ2" s="55"/>
      <c r="BA2" s="49"/>
      <c r="BB2" s="49"/>
      <c r="BC2" s="49"/>
      <c r="BD2" s="49"/>
      <c r="BE2" s="49"/>
      <c r="BF2" s="49"/>
      <c r="BG2" s="49"/>
      <c r="BH2" s="49"/>
      <c r="BI2" s="49"/>
      <c r="BJ2" s="47" t="s">
        <v>86</v>
      </c>
      <c r="BK2" s="47"/>
      <c r="BL2" s="49"/>
      <c r="BM2" s="53"/>
      <c r="BN2" s="55"/>
      <c r="BO2" s="11" t="s">
        <v>12</v>
      </c>
      <c r="BP2" s="11">
        <v>0.99</v>
      </c>
      <c r="BR2" s="1" t="s">
        <v>67</v>
      </c>
    </row>
    <row r="3" spans="1:80" s="84" customFormat="1" x14ac:dyDescent="0.35">
      <c r="A3" s="77">
        <v>-29</v>
      </c>
      <c r="B3" s="78">
        <f>0.151140511695727*[54]syngas_streams_zaryad!$E$2</f>
        <v>2.7146303885285943</v>
      </c>
      <c r="C3" s="78">
        <f>[54]gas_streams_zaryad!$E$13</f>
        <v>1.060596515062735</v>
      </c>
      <c r="D3" s="79">
        <f>[54]electric_zaryad!$E$5</f>
        <v>29.565587824221559</v>
      </c>
      <c r="E3" s="79">
        <f>[54]GTU_input_zaryad!$B$3</f>
        <v>0.61974905712241202</v>
      </c>
      <c r="F3" s="79">
        <f>[54]electric_zaryad!$C$5</f>
        <v>102.6676288028988</v>
      </c>
      <c r="G3" s="79">
        <f>[54]electric_zaryad!$B$7</f>
        <v>25.3869258757986</v>
      </c>
      <c r="H3" s="79">
        <f>[54]electric_zaryad!$C$12</f>
        <v>4.5013083628769199E-2</v>
      </c>
      <c r="I3" s="79">
        <f>[54]electric_zaryad!$C$6</f>
        <v>6.1677250963222994</v>
      </c>
      <c r="J3" s="79">
        <f>[54]electric_zaryad!$C$2</f>
        <v>2.3909078371499461</v>
      </c>
      <c r="K3" s="79">
        <f>[54]heaters_zaryad!$B$9</f>
        <v>84.530428893929667</v>
      </c>
      <c r="L3" s="79">
        <f>[54]heaters_zaryad!$B$8</f>
        <v>12.41360020120683</v>
      </c>
      <c r="M3" s="79">
        <f>[54]heaters_zaryad!$B$10</f>
        <v>6.7820639001959604</v>
      </c>
      <c r="N3" s="79">
        <f t="shared" ref="N3:N10" si="0">K3+L3+M3</f>
        <v>103.72609299533246</v>
      </c>
      <c r="O3" s="79">
        <f>[54]heaters_zaryad!$B$17/1000</f>
        <v>53.58359448928887</v>
      </c>
      <c r="P3" s="80">
        <f>[54]heaters_zaryad!$B$11/1000</f>
        <v>52.083815242192173</v>
      </c>
      <c r="Q3" s="79">
        <f>[54]gas_streams_zaryad!$E$4</f>
        <v>20.360472918432329</v>
      </c>
      <c r="R3" s="79">
        <f>[2]!PropsSI("H","P",[54]gas_streams_zaryad!$C$4*10^6,"T",[54]gas_streams_zaryad!$B$4+273.15,"REFPROP::"&amp;[2]!MixtureString($R$16:$R$20,$S$16:$S$20))/1000-[2]!PropsSI("H","P",[54]gas_streams_zaryad!$C$4*10^6,"T",S13+273.15,"REFPROP::"&amp;[2]!MixtureString($R$16:$R$20,$S$16:$S$20))/1000</f>
        <v>1246.7674708223194</v>
      </c>
      <c r="S3" s="81">
        <f t="shared" ref="S3:S10" si="1">R3*Q3/1000</f>
        <v>25.3847753252602</v>
      </c>
      <c r="T3" s="79">
        <f t="shared" ref="T3:T11" si="2">F3+G3*$BP$2*$BP$3-H3/$BP$1/$BP$2-I3-J3/$BP$1/$BP$2</f>
        <v>118.54027163063971</v>
      </c>
      <c r="U3" s="77">
        <f>N3+O3</f>
        <v>157.30968748462135</v>
      </c>
      <c r="V3" s="77">
        <f>C3*$R$14</f>
        <v>53.241945056149298</v>
      </c>
      <c r="W3" s="77">
        <f t="shared" ref="W3:W11" si="3">B3*$R$14</f>
        <v>136.27444550413543</v>
      </c>
      <c r="X3" s="82">
        <f t="shared" ref="X3:X9" si="4">T3/((100*F3)/D3-N3)</f>
        <v>0.4867629661911545</v>
      </c>
      <c r="Y3" s="82">
        <f t="shared" ref="Y3:Y11" si="5">T3/((100*F3)/D3-N3-P3+S3)</f>
        <v>0.54670016783726105</v>
      </c>
      <c r="Z3" s="82">
        <f t="shared" ref="Z3:Z10" si="6">(T3+P3+N3)/((100*F3)/D3+S3)</f>
        <v>0.73623664878746686</v>
      </c>
      <c r="AA3" s="82">
        <f t="shared" ref="AA3:AA11" si="7">(AF3+AG3)*AH3/(V3+W3-O3-S3+P3)</f>
        <v>0.95127430324061801</v>
      </c>
      <c r="AB3" s="82">
        <f t="shared" ref="AB3:AB11" si="8">(T3)/((100*F3)/D3+$R$14*(B3+C3)-(AF3+AG3)*AH3-U3)</f>
        <v>0.52742459513867235</v>
      </c>
      <c r="AC3" s="82">
        <f t="shared" ref="AC3:AC11" si="9">((AF3+AG3)*AH3+U3+T3)/((100*F3)/D3+$R$14*(B3+C3))</f>
        <v>0.80212621497047698</v>
      </c>
      <c r="AD3" s="77">
        <f>(100*F3)/D3+$R$14*(B3+C3)</f>
        <v>536.77019594137892</v>
      </c>
      <c r="AE3" s="77">
        <f>AD3/$R$14</f>
        <v>10.692633385286433</v>
      </c>
      <c r="AF3" s="78">
        <f>[54]syngas_streams_razryad!$E$10</f>
        <v>1.0811111111111109</v>
      </c>
      <c r="AG3" s="78">
        <f>[54]syngas_streams_razryad!$E$9</f>
        <v>5.4902361086868501</v>
      </c>
      <c r="AH3" s="79">
        <f>[54]accumulation_razryad!$E$3</f>
        <v>23.54273504191962</v>
      </c>
      <c r="AI3" s="79">
        <f>[54]electric_razryad!$E$5</f>
        <v>34.07583168780608</v>
      </c>
      <c r="AJ3" s="79">
        <f>[54]GTU_input_razryad!$B$3</f>
        <v>1</v>
      </c>
      <c r="AK3" s="79">
        <f>[54]electric_razryad!$C$5</f>
        <v>165.66</v>
      </c>
      <c r="AL3" s="79">
        <f>[54]electric_razryad!$B$7</f>
        <v>59.312762815049133</v>
      </c>
      <c r="AM3" s="79">
        <f>[54]electric_razryad!$C$12</f>
        <v>0.33656629590752901</v>
      </c>
      <c r="AN3" s="79">
        <f>[54]electric_razryad!$C$6</f>
        <v>6.3013810203264402</v>
      </c>
      <c r="AO3" s="79">
        <f>[54]electric_razryad!$C$2</f>
        <v>1.178550569795928</v>
      </c>
      <c r="AP3" s="79">
        <f>[54]electric_razryad!$B$13</f>
        <v>78030.687937742608</v>
      </c>
      <c r="AQ3" s="79">
        <f>[54]electric_razryad!$B$14</f>
        <v>117074.3125430861</v>
      </c>
      <c r="AR3" s="79">
        <f>[54]heaters_razryad!$B$9</f>
        <v>70.500583231214819</v>
      </c>
      <c r="AS3" s="79">
        <f>[54]heaters_razryad!$B$8</f>
        <v>24.53345698547253</v>
      </c>
      <c r="AT3" s="79">
        <f>[54]heaters_razryad!$B$10</f>
        <v>5.8431403844906651</v>
      </c>
      <c r="AU3" s="79">
        <f t="shared" ref="AU3:AU10" si="10">AT3+AS3+AR3</f>
        <v>100.87718060117801</v>
      </c>
      <c r="AV3" s="79">
        <f>[54]heaters_razryad!$B$18/1000</f>
        <v>56.448395759348386</v>
      </c>
      <c r="AW3" s="80">
        <f>AK3+AL3*$BP$2*$BP$3-AM3/$BP$1/$BP$2-AN3-AO3/$BP$1/$BP$2</f>
        <v>215.29289190865725</v>
      </c>
      <c r="AX3" s="79">
        <f t="shared" ref="AX3:AX11" si="11">(-AP3/1000/$BP$2+AQ3/1000)*$BP$2*$BP$3</f>
        <v>37.115423850314372</v>
      </c>
      <c r="AY3" s="81">
        <f t="shared" ref="AY3:AY11" si="12">AW3+AX3</f>
        <v>252.40831575897164</v>
      </c>
      <c r="AZ3" s="81">
        <f t="shared" ref="AZ3:AZ10" si="13">AU3+AV3</f>
        <v>157.32557636052638</v>
      </c>
      <c r="BA3" s="77">
        <f>(100*AK3)/AI3</f>
        <v>486.15101024601216</v>
      </c>
      <c r="BB3" s="77">
        <f>AG3*AH3</f>
        <v>129.25517402439434</v>
      </c>
      <c r="BC3" s="82">
        <f t="shared" ref="BC3:BC11" si="14">AW3/((100*AK3)/AI3-AU3)</f>
        <v>0.55880486901258164</v>
      </c>
      <c r="BD3" s="82">
        <f>AW3/(BA3-AU3)</f>
        <v>0.55880486901258164</v>
      </c>
      <c r="BE3" s="82">
        <f>(AW3+AU3)/(BA3)</f>
        <v>0.65035362643767902</v>
      </c>
      <c r="BF3" s="82">
        <f>AX3/(BB3-AV3)</f>
        <v>0.5097797860962795</v>
      </c>
      <c r="BG3" s="82">
        <f>(AX3+AV3)/(BB3)</f>
        <v>0.72386904675865782</v>
      </c>
      <c r="BH3" s="82">
        <f>AY3/(BB3+BA3-AZ3)</f>
        <v>0.55101288157701034</v>
      </c>
      <c r="BI3" s="82">
        <f>(AY3+AZ3)/(BA3+BB3)</f>
        <v>0.66579423897934531</v>
      </c>
      <c r="BJ3" s="77">
        <f>BA3-AF3*AH3</f>
        <v>460.69869780624794</v>
      </c>
      <c r="BK3" s="77">
        <f>BJ3/$R$14</f>
        <v>9.1772648965388033</v>
      </c>
      <c r="BL3" s="77">
        <f t="shared" ref="BL3:BL11" si="15">ABS(AZ3-U3)/U3*100</f>
        <v>1.0100379804382668E-2</v>
      </c>
      <c r="BM3" s="80">
        <f>T3-'Без ПКМ'!B3</f>
        <v>-56.523983874474553</v>
      </c>
      <c r="BN3" s="81">
        <f>AY3-'Без ПКМ'!H3</f>
        <v>47.270626170061462</v>
      </c>
      <c r="BO3" s="83" t="s">
        <v>13</v>
      </c>
      <c r="BP3" s="83">
        <v>0.98</v>
      </c>
      <c r="BR3" s="84" t="s">
        <v>65</v>
      </c>
    </row>
    <row r="4" spans="1:80" s="84" customFormat="1" x14ac:dyDescent="0.35">
      <c r="A4" s="77">
        <v>-25</v>
      </c>
      <c r="B4" s="78">
        <f>0.151140511695727*[45]syngas_streams_zaryad!$E$2</f>
        <v>2.7146512662382851</v>
      </c>
      <c r="C4" s="78">
        <f>[45]gas_streams_zaryad!$E$13</f>
        <v>1.0616382809982721</v>
      </c>
      <c r="D4" s="79">
        <f>[45]electric_zaryad!$E$5</f>
        <v>30.119153876967601</v>
      </c>
      <c r="E4" s="79">
        <f>[45]GTU_input_zaryad!$B$3</f>
        <v>0.66700665963213501</v>
      </c>
      <c r="F4" s="79">
        <f>[45]electric_zaryad!$C$5</f>
        <v>110.4963232346595</v>
      </c>
      <c r="G4" s="79">
        <f>[45]electric_zaryad!$B$7</f>
        <v>27.117851057565542</v>
      </c>
      <c r="H4" s="79">
        <f>[45]electric_zaryad!$C$12</f>
        <v>4.4362336606682172E-2</v>
      </c>
      <c r="I4" s="79">
        <f>[45]electric_zaryad!$C$6</f>
        <v>6.1843358599455494</v>
      </c>
      <c r="J4" s="79">
        <f>[45]electric_zaryad!$C$2</f>
        <v>2.4503645326918662</v>
      </c>
      <c r="K4" s="79">
        <f>[45]heaters_zaryad!$B$9</f>
        <v>88.834449596727751</v>
      </c>
      <c r="L4" s="79">
        <f>[45]heaters_zaryad!$B$8</f>
        <v>13.591844525958949</v>
      </c>
      <c r="M4" s="79">
        <f>[45]heaters_zaryad!$B$10</f>
        <v>7.3595886930137677</v>
      </c>
      <c r="N4" s="79">
        <f t="shared" si="0"/>
        <v>109.78588281570046</v>
      </c>
      <c r="O4" s="79">
        <f>[45]heaters_zaryad!$B$17/1000</f>
        <v>54.109472889763879</v>
      </c>
      <c r="P4" s="80">
        <f>[45]heaters_zaryad!$B$11/1000</f>
        <v>52.051274899924906</v>
      </c>
      <c r="Q4" s="79">
        <f>[45]gas_streams_zaryad!$E$4</f>
        <v>20.380471897135919</v>
      </c>
      <c r="R4" s="79">
        <f>[2]!PropsSI("H","P",[45]gas_streams_zaryad!$C$4*10^6,"T",[45]gas_streams_zaryad!$B$4+273.15,"REFPROP::"&amp;[2]!MixtureString($R$16:$R$20,$S$16:$S$20))/1000-[2]!PropsSI("H","P",[45]gas_streams_zaryad!$C$4*10^6,"T",R14+273.15,"REFPROP::"&amp;[2]!MixtureString($R$16:$R$20,$S$16:$S$20))/1000</f>
        <v>1005.1820610676375</v>
      </c>
      <c r="S4" s="81">
        <f t="shared" si="1"/>
        <v>20.486084747094147</v>
      </c>
      <c r="T4" s="79">
        <f t="shared" si="2"/>
        <v>127.96917264907499</v>
      </c>
      <c r="U4" s="77">
        <f t="shared" ref="U4:U10" si="16">N4+O4</f>
        <v>163.89535570546434</v>
      </c>
      <c r="V4" s="77">
        <f t="shared" ref="V4:V11" si="17">C4*$R$14</f>
        <v>53.294241706113262</v>
      </c>
      <c r="W4" s="77">
        <f t="shared" si="3"/>
        <v>136.27549356516192</v>
      </c>
      <c r="X4" s="82">
        <f t="shared" si="4"/>
        <v>0.49778327949418344</v>
      </c>
      <c r="Y4" s="82">
        <f t="shared" si="5"/>
        <v>0.56745833654649747</v>
      </c>
      <c r="Z4" s="82">
        <f t="shared" si="6"/>
        <v>0.74817681791572987</v>
      </c>
      <c r="AA4" s="82">
        <f t="shared" si="7"/>
        <v>0.92625096424959008</v>
      </c>
      <c r="AB4" s="82">
        <f t="shared" si="8"/>
        <v>0.5380679854181617</v>
      </c>
      <c r="AC4" s="82">
        <f t="shared" si="9"/>
        <v>0.80256104487822189</v>
      </c>
      <c r="AD4" s="77">
        <f t="shared" ref="AD4:AD11" si="18">(100*F4)/D4+$R$14*(B4+C4)</f>
        <v>556.43370391402345</v>
      </c>
      <c r="AE4" s="77">
        <f t="shared" ref="AE4:AE11" si="19">AD4/$R$14</f>
        <v>11.084336731355048</v>
      </c>
      <c r="AF4" s="78">
        <f>[45]syngas_streams_razryad!$E$10</f>
        <v>1.0811111111111109</v>
      </c>
      <c r="AG4" s="78">
        <f>[45]syngas_streams_razryad!$E$9</f>
        <v>5.4902361086868501</v>
      </c>
      <c r="AH4" s="79">
        <f>[45]accumulation_razryad!$E$3</f>
        <v>23.54273504191962</v>
      </c>
      <c r="AI4" s="79">
        <f>[45]electric_razryad!$E$5</f>
        <v>34.082383064645562</v>
      </c>
      <c r="AJ4" s="79">
        <f>[45]GTU_input_razryad!$B$3</f>
        <v>1</v>
      </c>
      <c r="AK4" s="79">
        <f>[45]electric_razryad!$C$5</f>
        <v>165.66</v>
      </c>
      <c r="AL4" s="79">
        <f>[45]electric_razryad!$B$7</f>
        <v>58.48178072056217</v>
      </c>
      <c r="AM4" s="79">
        <f>[45]electric_razryad!$C$12</f>
        <v>0.31612067338228739</v>
      </c>
      <c r="AN4" s="79">
        <f>[45]electric_razryad!$C$6</f>
        <v>6.3013810203264402</v>
      </c>
      <c r="AO4" s="79">
        <f>[45]electric_razryad!$C$2</f>
        <v>1.080602450116849</v>
      </c>
      <c r="AP4" s="79">
        <f>[45]electric_razryad!$B$13</f>
        <v>78069.288144122605</v>
      </c>
      <c r="AQ4" s="79">
        <f>[45]electric_razryad!$B$14</f>
        <v>117129.64498997699</v>
      </c>
      <c r="AR4" s="79">
        <f>[45]heaters_razryad!$B$9</f>
        <v>75.343538126811779</v>
      </c>
      <c r="AS4" s="79">
        <f>[45]heaters_razryad!$B$8</f>
        <v>25.14801851226483</v>
      </c>
      <c r="AT4" s="79">
        <f>[45]heaters_razryad!$B$10</f>
        <v>6.4284042500091862</v>
      </c>
      <c r="AU4" s="79">
        <f t="shared" si="10"/>
        <v>106.9199608890858</v>
      </c>
      <c r="AV4" s="79">
        <f>[45]heaters_razryad!$B$18/1000</f>
        <v>56.990748137719748</v>
      </c>
      <c r="AW4" s="80">
        <f t="shared" ref="AW4:AW11" si="20">AK4+AL4*$BP$2*$BP$3-AM4/$BP$1/$BP$2-AN4-AO4/$BP$1/$BP$2</f>
        <v>214.61255691068095</v>
      </c>
      <c r="AX4" s="79">
        <f t="shared" si="11"/>
        <v>37.131279188035521</v>
      </c>
      <c r="AY4" s="81">
        <f t="shared" si="12"/>
        <v>251.74383609871649</v>
      </c>
      <c r="AZ4" s="81">
        <f t="shared" si="13"/>
        <v>163.91070902680553</v>
      </c>
      <c r="BA4" s="77">
        <f t="shared" ref="BA4:BA11" si="21">(100*AK4)/AI4</f>
        <v>486.0575614263397</v>
      </c>
      <c r="BB4" s="77">
        <f t="shared" ref="BB4:BB11" si="22">AG4*AH4</f>
        <v>129.25517402439434</v>
      </c>
      <c r="BC4" s="82">
        <f t="shared" si="14"/>
        <v>0.56605453167020614</v>
      </c>
      <c r="BD4" s="82">
        <f t="shared" ref="BD4:BD11" si="23">AW4/(BA4-AU4)</f>
        <v>0.56605453167020614</v>
      </c>
      <c r="BE4" s="82">
        <f t="shared" ref="BE4:BE11" si="24">(AW4+AU4)/(BA4)</f>
        <v>0.66151119397510671</v>
      </c>
      <c r="BF4" s="82">
        <f t="shared" ref="BF4:BF11" si="25">AX4/(BB4-AV4)</f>
        <v>0.51382514608591745</v>
      </c>
      <c r="BG4" s="82">
        <f t="shared" ref="BG4:BG11" si="26">(AX4+AV4)/(BB4)</f>
        <v>0.72818769566618369</v>
      </c>
      <c r="BH4" s="82">
        <f t="shared" ref="BH4:BH11" si="27">AY4/(BB4+BA4-AZ4)</f>
        <v>0.55769319002191287</v>
      </c>
      <c r="BI4" s="82">
        <f t="shared" ref="BI4:BI11" si="28">(AY4+AZ4)/(BA4+BB4)</f>
        <v>0.67551753958260474</v>
      </c>
      <c r="BJ4" s="77">
        <f t="shared" ref="BJ4:BJ11" si="29">BA4-AF4*AH4</f>
        <v>460.60524898657548</v>
      </c>
      <c r="BK4" s="77">
        <f t="shared" ref="BK4:BK11" si="30">BJ4/$R$14</f>
        <v>9.175403366266444</v>
      </c>
      <c r="BL4" s="77">
        <f t="shared" si="15"/>
        <v>9.3677586378872781E-3</v>
      </c>
      <c r="BM4" s="80">
        <f>T4-'Без ПКМ'!B4</f>
        <v>-59.488048022674079</v>
      </c>
      <c r="BN4" s="81">
        <f>AY4-'Без ПКМ'!H4</f>
        <v>46.61572409410195</v>
      </c>
      <c r="BO4" s="79" t="s">
        <v>28</v>
      </c>
      <c r="BP4" s="79">
        <v>50.2</v>
      </c>
      <c r="BR4" s="84" t="s">
        <v>31</v>
      </c>
    </row>
    <row r="5" spans="1:80" x14ac:dyDescent="0.35">
      <c r="A5" s="16">
        <v>-20</v>
      </c>
      <c r="B5" s="7">
        <f>0.151140511695727*[44]syngas_streams_zaryad!$E$2</f>
        <v>2.7146261052029845</v>
      </c>
      <c r="C5" s="7">
        <f>[44]gas_streams_zaryad!$E$13</f>
        <v>1.062022516701689</v>
      </c>
      <c r="D5" s="17">
        <f>[44]electric_zaryad!$E$5</f>
        <v>30.521661515260998</v>
      </c>
      <c r="E5" s="17">
        <f>[44]GTU_input_zaryad!$B$3</f>
        <v>0.69920307197543285</v>
      </c>
      <c r="F5" s="17">
        <f>[44]electric_zaryad!$C$5</f>
        <v>115.82998090345021</v>
      </c>
      <c r="G5" s="17">
        <f>[44]electric_zaryad!$B$7</f>
        <v>29.49921350448265</v>
      </c>
      <c r="H5" s="17">
        <f>[44]electric_zaryad!$C$12</f>
        <v>4.5223646323631177E-2</v>
      </c>
      <c r="I5" s="17">
        <f>[44]electric_zaryad!$C$6</f>
        <v>6.195652705628552</v>
      </c>
      <c r="J5" s="17">
        <f>[44]electric_zaryad!$C$2</f>
        <v>2.3776370482510352</v>
      </c>
      <c r="K5" s="17">
        <f>[44]heaters_zaryad!$B$9</f>
        <v>89.950927453710747</v>
      </c>
      <c r="L5" s="17">
        <f>[44]heaters_zaryad!$B$8</f>
        <v>16.219010033194529</v>
      </c>
      <c r="M5" s="17">
        <f>[44]heaters_zaryad!$B$10</f>
        <v>7.6252637135259516</v>
      </c>
      <c r="N5" s="17">
        <f t="shared" si="0"/>
        <v>113.79520120043122</v>
      </c>
      <c r="O5" s="17">
        <f>[44]heaters_zaryad!$B$17/1000</f>
        <v>54.760486810563727</v>
      </c>
      <c r="P5" s="18">
        <f>[44]heaters_zaryad!$B$11/1000</f>
        <v>52.038233348440407</v>
      </c>
      <c r="Q5" s="17">
        <f>[44]gas_streams_zaryad!$E$4</f>
        <v>20.38784814297739</v>
      </c>
      <c r="R5" s="17">
        <f>[2]!PropsSI("H","P",[44]gas_streams_zaryad!$C$4*10^6,"T",[44]gas_streams_zaryad!$B$4+273.15,"REFPROP::"&amp;[2]!MixtureString($R$16:$R$20,$S$16:$S$20))/1000-[2]!PropsSI("H","P",[44]gas_streams_zaryad!$C$4*10^6,"T",S15+273.15,"REFPROP::"&amp;[2]!MixtureString($R$16:$R$20,$S$16:$S$20))/1000</f>
        <v>1246.7674708223194</v>
      </c>
      <c r="S5" s="19">
        <f t="shared" si="1"/>
        <v>25.418905864729439</v>
      </c>
      <c r="T5" s="17">
        <f t="shared" si="2"/>
        <v>135.67832405047716</v>
      </c>
      <c r="U5" s="16">
        <f t="shared" si="16"/>
        <v>168.55568801099494</v>
      </c>
      <c r="V5" s="16">
        <f t="shared" si="17"/>
        <v>53.313530338424791</v>
      </c>
      <c r="W5" s="16">
        <f t="shared" si="3"/>
        <v>136.27423048118982</v>
      </c>
      <c r="X5" s="20">
        <f t="shared" si="4"/>
        <v>0.51063384562383229</v>
      </c>
      <c r="Y5" s="20">
        <f t="shared" si="5"/>
        <v>0.5674866446558694</v>
      </c>
      <c r="Z5" s="20">
        <f t="shared" si="6"/>
        <v>0.7446209160008922</v>
      </c>
      <c r="AA5" s="20">
        <f t="shared" si="7"/>
        <v>0.95825793193357811</v>
      </c>
      <c r="AB5" s="20">
        <f t="shared" si="8"/>
        <v>0.551929438632353</v>
      </c>
      <c r="AC5" s="20">
        <f t="shared" si="9"/>
        <v>0.80644990511958947</v>
      </c>
      <c r="AD5" s="16">
        <f t="shared" si="18"/>
        <v>569.08866330336241</v>
      </c>
      <c r="AE5" s="16">
        <f t="shared" si="19"/>
        <v>11.336427555843873</v>
      </c>
      <c r="AF5" s="7">
        <f>[44]syngas_streams_razryad!$E$10</f>
        <v>1.0811111111111109</v>
      </c>
      <c r="AG5" s="7">
        <f>[44]syngas_streams_razryad!$E$9</f>
        <v>5.4914916440552961</v>
      </c>
      <c r="AH5" s="17">
        <f>[44]accumulation_razryad!$E$3</f>
        <v>23.53823777689141</v>
      </c>
      <c r="AI5" s="17">
        <f>[44]electric_razryad!$E$5</f>
        <v>34.091218921592109</v>
      </c>
      <c r="AJ5" s="17">
        <f>[44]GTU_input_razryad!$B$3</f>
        <v>1</v>
      </c>
      <c r="AK5" s="17">
        <f>[44]electric_razryad!$C$5</f>
        <v>165.66</v>
      </c>
      <c r="AL5" s="17">
        <f>[44]electric_razryad!$B$7</f>
        <v>59.828669595532688</v>
      </c>
      <c r="AM5" s="17">
        <f>[44]electric_razryad!$C$12</f>
        <v>0.30492745180265213</v>
      </c>
      <c r="AN5" s="17">
        <f>[44]electric_razryad!$C$6</f>
        <v>6.3013810203264402</v>
      </c>
      <c r="AO5" s="17">
        <f>[44]electric_razryad!$C$2</f>
        <v>0.95604177646529165</v>
      </c>
      <c r="AP5" s="17">
        <f>[44]electric_razryad!$B$13</f>
        <v>78119.280745469339</v>
      </c>
      <c r="AQ5" s="17">
        <f>[44]electric_razryad!$B$14</f>
        <v>117202.3727539735</v>
      </c>
      <c r="AR5" s="17">
        <f>[44]heaters_razryad!$B$9</f>
        <v>74.27333900585127</v>
      </c>
      <c r="AS5" s="17">
        <f>[44]heaters_razryad!$B$8</f>
        <v>29.575092302015879</v>
      </c>
      <c r="AT5" s="17">
        <f>[44]heaters_razryad!$B$10</f>
        <v>6.4668612826437588</v>
      </c>
      <c r="AU5" s="17">
        <f t="shared" si="10"/>
        <v>110.31529259051091</v>
      </c>
      <c r="AV5" s="17">
        <f>[44]heaters_razryad!$B$18/1000</f>
        <v>58.255604278703302</v>
      </c>
      <c r="AW5" s="18">
        <f t="shared" si="20"/>
        <v>216.06365075685966</v>
      </c>
      <c r="AX5" s="17">
        <f t="shared" si="11"/>
        <v>37.152846915345123</v>
      </c>
      <c r="AY5" s="19">
        <f t="shared" si="12"/>
        <v>253.21649767220478</v>
      </c>
      <c r="AZ5" s="19">
        <f t="shared" si="13"/>
        <v>168.57089686921421</v>
      </c>
      <c r="BA5" s="16">
        <f t="shared" si="21"/>
        <v>485.93158367557555</v>
      </c>
      <c r="BB5" s="16">
        <f t="shared" si="22"/>
        <v>129.2600360675859</v>
      </c>
      <c r="BC5" s="20">
        <f t="shared" si="14"/>
        <v>0.5752243869207696</v>
      </c>
      <c r="BD5" s="20">
        <f t="shared" si="23"/>
        <v>0.5752243869207696</v>
      </c>
      <c r="BE5" s="20">
        <f t="shared" si="24"/>
        <v>0.67165616377237225</v>
      </c>
      <c r="BF5" s="20">
        <f t="shared" si="25"/>
        <v>0.52324687317844665</v>
      </c>
      <c r="BG5" s="20">
        <f t="shared" si="26"/>
        <v>0.73811252183283027</v>
      </c>
      <c r="BH5" s="20">
        <f t="shared" si="27"/>
        <v>0.56696092389710218</v>
      </c>
      <c r="BI5" s="20">
        <f t="shared" si="28"/>
        <v>0.6856195387016365</v>
      </c>
      <c r="BJ5" s="16">
        <f t="shared" si="29"/>
        <v>460.48413327900295</v>
      </c>
      <c r="BK5" s="16">
        <f t="shared" si="30"/>
        <v>9.172990702768983</v>
      </c>
      <c r="BL5" s="16">
        <f t="shared" si="15"/>
        <v>9.0230465662336241E-3</v>
      </c>
      <c r="BM5" s="18">
        <f>T5-'Без ПКМ'!B5</f>
        <v>-62.173702948895482</v>
      </c>
      <c r="BN5" s="19">
        <f>AY5-'Без ПКМ'!H5</f>
        <v>46.267138160859759</v>
      </c>
      <c r="BO5" s="17"/>
      <c r="BP5" s="17"/>
      <c r="BT5" s="44"/>
      <c r="CB5" s="44"/>
    </row>
    <row r="6" spans="1:80" x14ac:dyDescent="0.35">
      <c r="A6" s="16">
        <v>-15</v>
      </c>
      <c r="B6" s="7">
        <f>0.151140511695727*[38]syngas_streams_zaryad!$E$2</f>
        <v>2.7146216991551748</v>
      </c>
      <c r="C6" s="7">
        <f>[38]gas_streams_zaryad!$E$13</f>
        <v>1.0610236828274671</v>
      </c>
      <c r="D6" s="17">
        <f>[38]electric_zaryad!$E$5</f>
        <v>30.37881556241474</v>
      </c>
      <c r="E6" s="17">
        <f>[38]GTU_input_zaryad!$B$3</f>
        <v>0.68749749165732654</v>
      </c>
      <c r="F6" s="17">
        <f>[38]electric_zaryad!$C$5</f>
        <v>113.8908344679527</v>
      </c>
      <c r="G6" s="17">
        <f>[38]electric_zaryad!$B$7</f>
        <v>30.999030387226529</v>
      </c>
      <c r="H6" s="17">
        <f>[38]electric_zaryad!$C$12</f>
        <v>4.5272124709489298E-2</v>
      </c>
      <c r="I6" s="17">
        <f>[38]electric_zaryad!$C$6</f>
        <v>6.1915382644082841</v>
      </c>
      <c r="J6" s="17">
        <f>[38]electric_zaryad!$C$2</f>
        <v>2.3839244180404342</v>
      </c>
      <c r="K6" s="17">
        <f>[38]heaters_zaryad!$B$9</f>
        <v>86.584209155751537</v>
      </c>
      <c r="L6" s="17">
        <f>[38]heaters_zaryad!$B$8</f>
        <v>19.264839143595911</v>
      </c>
      <c r="M6" s="17">
        <f>[38]heaters_zaryad!$B$10</f>
        <v>7.3436941187912037</v>
      </c>
      <c r="N6" s="17">
        <f t="shared" si="0"/>
        <v>113.19274241813865</v>
      </c>
      <c r="O6" s="17">
        <f>[38]heaters_zaryad!$B$17/1000</f>
        <v>55.118706700061075</v>
      </c>
      <c r="P6" s="18">
        <f>[38]heaters_zaryad!$B$11/1000</f>
        <v>52.069926581127532</v>
      </c>
      <c r="Q6" s="17">
        <f>[38]gas_streams_zaryad!$E$4</f>
        <v>20.36867333921623</v>
      </c>
      <c r="R6" s="17">
        <f>[2]!PropsSI("H","P",[38]gas_streams_zaryad!$C$4*10^6,"T",[38]gas_streams_zaryad!$B$4+273.15,"REFPROP::"&amp;[2]!MixtureString($R$16:$R$20,$S$16:$S$20))/1000-[2]!PropsSI("H","P",[38]gas_streams_zaryad!$C$4*10^6,"T",S16+273.15,"REFPROP::"&amp;[2]!MixtureString($R$16:$R$20,$S$16:$S$20))/1000</f>
        <v>1245.3598293915852</v>
      </c>
      <c r="S6" s="19">
        <f t="shared" si="1"/>
        <v>25.366327554659254</v>
      </c>
      <c r="T6" s="17">
        <f t="shared" si="2"/>
        <v>135.19167771516254</v>
      </c>
      <c r="U6" s="16">
        <f t="shared" si="16"/>
        <v>168.31144911819973</v>
      </c>
      <c r="V6" s="16">
        <f t="shared" si="17"/>
        <v>53.263388877938851</v>
      </c>
      <c r="W6" s="16">
        <f t="shared" si="3"/>
        <v>136.27400929758977</v>
      </c>
      <c r="X6" s="20">
        <f t="shared" si="4"/>
        <v>0.5165717042335588</v>
      </c>
      <c r="Y6" s="20">
        <f t="shared" si="5"/>
        <v>0.57526950153121403</v>
      </c>
      <c r="Z6" s="20">
        <f t="shared" si="6"/>
        <v>0.75063203615720997</v>
      </c>
      <c r="AA6" s="20">
        <f t="shared" si="7"/>
        <v>0.96018673755323569</v>
      </c>
      <c r="AB6" s="20">
        <f t="shared" si="8"/>
        <v>0.55998397561014546</v>
      </c>
      <c r="AC6" s="20">
        <f t="shared" si="9"/>
        <v>0.81179749013374269</v>
      </c>
      <c r="AD6" s="16">
        <f t="shared" si="18"/>
        <v>564.43955403462883</v>
      </c>
      <c r="AE6" s="16">
        <f t="shared" si="19"/>
        <v>11.243815817422885</v>
      </c>
      <c r="AF6" s="7">
        <f>[38]syngas_streams_razryad!$E$10</f>
        <v>1.0811111111111109</v>
      </c>
      <c r="AG6" s="7">
        <f>[38]syngas_streams_razryad!$E$9</f>
        <v>5.4944005723030758</v>
      </c>
      <c r="AH6" s="17">
        <f>[38]accumulation_razryad!$E$3</f>
        <v>23.527824740147079</v>
      </c>
      <c r="AI6" s="17">
        <f>[38]electric_razryad!$E$5</f>
        <v>34.094845350390223</v>
      </c>
      <c r="AJ6" s="17">
        <f>[38]GTU_input_razryad!$B$3</f>
        <v>1</v>
      </c>
      <c r="AK6" s="17">
        <f>[38]electric_razryad!$C$5</f>
        <v>165.66</v>
      </c>
      <c r="AL6" s="17">
        <f>[38]electric_razryad!$B$7</f>
        <v>62.932685075587308</v>
      </c>
      <c r="AM6" s="17">
        <f>[38]electric_razryad!$C$12</f>
        <v>0.31310391975481761</v>
      </c>
      <c r="AN6" s="17">
        <f>[38]electric_razryad!$C$6</f>
        <v>6.3013810203264402</v>
      </c>
      <c r="AO6" s="17">
        <f>[38]electric_razryad!$C$2</f>
        <v>0.83125000029469542</v>
      </c>
      <c r="AP6" s="17">
        <f>[38]electric_razryad!$B$13</f>
        <v>78171.580615489089</v>
      </c>
      <c r="AQ6" s="17">
        <f>[38]electric_razryad!$B$14</f>
        <v>117279.8098505646</v>
      </c>
      <c r="AR6" s="17">
        <f>[38]heaters_razryad!$B$9</f>
        <v>66.138587533974004</v>
      </c>
      <c r="AS6" s="17">
        <f>[38]heaters_razryad!$B$8</f>
        <v>36.910174522338501</v>
      </c>
      <c r="AT6" s="17">
        <f>[38]heaters_razryad!$B$10</f>
        <v>5.7530749303129642</v>
      </c>
      <c r="AU6" s="17">
        <f t="shared" si="10"/>
        <v>108.80183698662546</v>
      </c>
      <c r="AV6" s="17">
        <f>[38]heaters_razryad!$B$18/1000</f>
        <v>59.523987390774181</v>
      </c>
      <c r="AW6" s="18">
        <f t="shared" si="20"/>
        <v>219.19915946047672</v>
      </c>
      <c r="AX6" s="17">
        <f t="shared" si="11"/>
        <v>37.17672251383847</v>
      </c>
      <c r="AY6" s="19">
        <f t="shared" si="12"/>
        <v>256.37588197431518</v>
      </c>
      <c r="AZ6" s="19">
        <f t="shared" si="13"/>
        <v>168.32582437739964</v>
      </c>
      <c r="BA6" s="16">
        <f t="shared" si="21"/>
        <v>485.87989855218387</v>
      </c>
      <c r="BB6" s="16">
        <f t="shared" si="22"/>
        <v>129.27129371731058</v>
      </c>
      <c r="BC6" s="20">
        <f t="shared" si="14"/>
        <v>0.58130976527884526</v>
      </c>
      <c r="BD6" s="20">
        <f t="shared" si="23"/>
        <v>0.58130976527884526</v>
      </c>
      <c r="BE6" s="20">
        <f t="shared" si="24"/>
        <v>0.675065993519126</v>
      </c>
      <c r="BF6" s="20">
        <f t="shared" si="25"/>
        <v>0.53302019062625838</v>
      </c>
      <c r="BG6" s="20">
        <f t="shared" si="26"/>
        <v>0.74804472921944276</v>
      </c>
      <c r="BH6" s="20">
        <f t="shared" si="27"/>
        <v>0.5737719932594072</v>
      </c>
      <c r="BI6" s="20">
        <f t="shared" si="28"/>
        <v>0.69040215103030356</v>
      </c>
      <c r="BJ6" s="16">
        <f t="shared" si="29"/>
        <v>460.44370580533598</v>
      </c>
      <c r="BK6" s="16">
        <f t="shared" si="30"/>
        <v>9.1721853746082864</v>
      </c>
      <c r="BL6" s="16">
        <f t="shared" si="15"/>
        <v>8.5408682981593324E-3</v>
      </c>
      <c r="BM6" s="18">
        <f>T6-'Без ПКМ'!B6</f>
        <v>-63.294807438202696</v>
      </c>
      <c r="BN6" s="19">
        <f>AY6-'Без ПКМ'!H6</f>
        <v>46.680999143778223</v>
      </c>
      <c r="BO6" s="17"/>
      <c r="BP6" s="17"/>
    </row>
    <row r="7" spans="1:80" x14ac:dyDescent="0.35">
      <c r="A7" s="16">
        <v>-10</v>
      </c>
      <c r="B7" s="7">
        <f>0.151140511695727*[39]syngas_streams_zaryad!$E$2</f>
        <v>2.7146176335397221</v>
      </c>
      <c r="C7" s="7">
        <f>[39]gas_streams_zaryad!$E$13</f>
        <v>1.0599134192501301</v>
      </c>
      <c r="D7" s="17">
        <f>[39]electric_zaryad!$E$5</f>
        <v>30.227336523688809</v>
      </c>
      <c r="E7" s="17">
        <f>[39]GTU_input_zaryad!$B$3</f>
        <v>0.67567955804449453</v>
      </c>
      <c r="F7" s="17">
        <f>[39]electric_zaryad!$C$5</f>
        <v>111.933075585651</v>
      </c>
      <c r="G7" s="17">
        <f>[39]electric_zaryad!$B$7</f>
        <v>32.559113482586248</v>
      </c>
      <c r="H7" s="17">
        <f>[39]electric_zaryad!$C$12</f>
        <v>4.5244580788152383E-2</v>
      </c>
      <c r="I7" s="17">
        <f>[39]electric_zaryad!$C$6</f>
        <v>6.1873843316793096</v>
      </c>
      <c r="J7" s="17">
        <f>[39]electric_zaryad!$C$2</f>
        <v>2.384687525455119</v>
      </c>
      <c r="K7" s="17">
        <f>[39]heaters_zaryad!$B$9</f>
        <v>82.451859924370652</v>
      </c>
      <c r="L7" s="17">
        <f>[39]heaters_zaryad!$B$8</f>
        <v>23.138043998488651</v>
      </c>
      <c r="M7" s="17">
        <f>[39]heaters_zaryad!$B$10</f>
        <v>6.9972754165689741</v>
      </c>
      <c r="N7" s="17">
        <f t="shared" si="0"/>
        <v>112.58717933942827</v>
      </c>
      <c r="O7" s="17">
        <f>[39]heaters_zaryad!$B$17/1000</f>
        <v>55.485466110642818</v>
      </c>
      <c r="P7" s="18">
        <f>[39]heaters_zaryad!$B$11/1000</f>
        <v>52.105181826050504</v>
      </c>
      <c r="Q7" s="17">
        <f>[39]gas_streams_zaryad!$E$4</f>
        <v>20.347359398261641</v>
      </c>
      <c r="R7" s="17">
        <f>[2]!PropsSI("H","P",[39]gas_streams_zaryad!$C$4*10^6,"T",[39]gas_streams_zaryad!$B$4+273.15,"REFPROP::"&amp;[2]!MixtureString($R$16:$R$20,$S$16:$S$20))/1000-[2]!PropsSI("H","P",[39]gas_streams_zaryad!$C$4*10^6,"T",S17+273.15,"REFPROP::"&amp;[2]!MixtureString($R$16:$R$20,$S$16:$S$20))/1000</f>
        <v>1246.4115417513406</v>
      </c>
      <c r="S7" s="19">
        <f t="shared" si="1"/>
        <v>25.361183598155922</v>
      </c>
      <c r="T7" s="17">
        <f t="shared" si="2"/>
        <v>134.75088328636298</v>
      </c>
      <c r="U7" s="16">
        <f t="shared" si="16"/>
        <v>168.07264545007109</v>
      </c>
      <c r="V7" s="16">
        <f t="shared" si="17"/>
        <v>53.207653646356533</v>
      </c>
      <c r="W7" s="16">
        <f t="shared" si="3"/>
        <v>136.27380520369405</v>
      </c>
      <c r="X7" s="20">
        <f t="shared" si="4"/>
        <v>0.52286387393404365</v>
      </c>
      <c r="Y7" s="20">
        <f t="shared" si="5"/>
        <v>0.58340546705455076</v>
      </c>
      <c r="Z7" s="20">
        <f t="shared" si="6"/>
        <v>0.75680943978878756</v>
      </c>
      <c r="AA7" s="20">
        <f t="shared" si="7"/>
        <v>0.96247041904854269</v>
      </c>
      <c r="AB7" s="20">
        <f t="shared" si="8"/>
        <v>0.56855603636954366</v>
      </c>
      <c r="AC7" s="20">
        <f t="shared" si="9"/>
        <v>0.81733260766290805</v>
      </c>
      <c r="AD7" s="16">
        <f t="shared" si="18"/>
        <v>559.7855890135877</v>
      </c>
      <c r="AE7" s="16">
        <f t="shared" si="19"/>
        <v>11.15110735086828</v>
      </c>
      <c r="AF7" s="7">
        <f>[39]syngas_streams_razryad!$E$10</f>
        <v>1.0811111111111109</v>
      </c>
      <c r="AG7" s="7">
        <f>[39]syngas_streams_razryad!$E$9</f>
        <v>5.4976767511784024</v>
      </c>
      <c r="AH7" s="17">
        <f>[39]accumulation_razryad!$E$3</f>
        <v>23.516108088993469</v>
      </c>
      <c r="AI7" s="17">
        <f>[39]electric_razryad!$E$5</f>
        <v>34.086911016241331</v>
      </c>
      <c r="AJ7" s="17">
        <f>[39]GTU_input_razryad!$B$3</f>
        <v>1</v>
      </c>
      <c r="AK7" s="17">
        <f>[39]electric_razryad!$C$5</f>
        <v>165.66</v>
      </c>
      <c r="AL7" s="17">
        <f>[39]electric_razryad!$B$7</f>
        <v>65.999317984843145</v>
      </c>
      <c r="AM7" s="17">
        <f>[39]electric_razryad!$C$12</f>
        <v>0.32482453893897678</v>
      </c>
      <c r="AN7" s="17">
        <f>[39]electric_razryad!$C$6</f>
        <v>6.3013810203264402</v>
      </c>
      <c r="AO7" s="17">
        <f>[39]electric_razryad!$C$2</f>
        <v>0.71148831256245626</v>
      </c>
      <c r="AP7" s="17">
        <f>[39]electric_razryad!$B$13</f>
        <v>78224.458261785621</v>
      </c>
      <c r="AQ7" s="17">
        <f>[39]electric_razryad!$B$14</f>
        <v>117358.3865081265</v>
      </c>
      <c r="AR7" s="17">
        <f>[39]heaters_razryad!$B$9</f>
        <v>56.117271680680602</v>
      </c>
      <c r="AS7" s="17">
        <f>[39]heaters_razryad!$B$8</f>
        <v>46.309107392288688</v>
      </c>
      <c r="AT7" s="17">
        <f>[39]heaters_razryad!$B$10</f>
        <v>4.8643770700920594</v>
      </c>
      <c r="AU7" s="17">
        <f t="shared" si="10"/>
        <v>107.29075614306134</v>
      </c>
      <c r="AV7" s="17">
        <f>[39]heaters_razryad!$B$18/1000</f>
        <v>60.794027824582962</v>
      </c>
      <c r="AW7" s="18">
        <f t="shared" si="20"/>
        <v>222.2892829116397</v>
      </c>
      <c r="AX7" s="17">
        <f t="shared" si="11"/>
        <v>37.20113749363442</v>
      </c>
      <c r="AY7" s="19">
        <f t="shared" si="12"/>
        <v>259.49042040527411</v>
      </c>
      <c r="AZ7" s="19">
        <f t="shared" si="13"/>
        <v>168.08478396764431</v>
      </c>
      <c r="BA7" s="16">
        <f t="shared" si="21"/>
        <v>485.99299573102496</v>
      </c>
      <c r="BB7" s="16">
        <f t="shared" si="22"/>
        <v>129.28396071905777</v>
      </c>
      <c r="BC7" s="20">
        <f t="shared" si="14"/>
        <v>0.5869764149097596</v>
      </c>
      <c r="BD7" s="20">
        <f t="shared" si="23"/>
        <v>0.5869764149097596</v>
      </c>
      <c r="BE7" s="20">
        <f t="shared" si="24"/>
        <v>0.67815800217233713</v>
      </c>
      <c r="BF7" s="20">
        <f t="shared" si="25"/>
        <v>0.54316212502283667</v>
      </c>
      <c r="BG7" s="20">
        <f t="shared" si="26"/>
        <v>0.75798393530940056</v>
      </c>
      <c r="BH7" s="20">
        <f t="shared" si="27"/>
        <v>0.58026601620685681</v>
      </c>
      <c r="BI7" s="20">
        <f t="shared" si="28"/>
        <v>0.69493128239332569</v>
      </c>
      <c r="BJ7" s="16">
        <f t="shared" si="29"/>
        <v>460.56946998592423</v>
      </c>
      <c r="BK7" s="16">
        <f t="shared" si="30"/>
        <v>9.1746906371698049</v>
      </c>
      <c r="BL7" s="16">
        <f t="shared" si="15"/>
        <v>7.2221851097274484E-3</v>
      </c>
      <c r="BM7" s="18">
        <f>T7-'Без ПКМ'!B7</f>
        <v>-64.081972036412111</v>
      </c>
      <c r="BN7" s="19">
        <f>AY7-'Без ПКМ'!H7</f>
        <v>47.189845433897204</v>
      </c>
      <c r="BO7" s="17"/>
      <c r="BP7" s="17"/>
    </row>
    <row r="8" spans="1:80" x14ac:dyDescent="0.35">
      <c r="A8" s="16">
        <v>-5</v>
      </c>
      <c r="B8" s="7">
        <f>0.151140511695727*[40]syngas_streams_zaryad!$E$2</f>
        <v>2.7146316247385567</v>
      </c>
      <c r="C8" s="7">
        <f>[40]gas_streams_zaryad!$E$13</f>
        <v>1.058873098741931</v>
      </c>
      <c r="D8" s="17">
        <f>[40]electric_zaryad!$E$5</f>
        <v>30.13633617001506</v>
      </c>
      <c r="E8" s="17">
        <f>[40]GTU_input_zaryad!$B$3</f>
        <v>0.67002126405030482</v>
      </c>
      <c r="F8" s="17">
        <f>[40]electric_zaryad!$C$5</f>
        <v>110.99572260257349</v>
      </c>
      <c r="G8" s="17">
        <f>[40]electric_zaryad!$B$7</f>
        <v>34.29846282256274</v>
      </c>
      <c r="H8" s="17">
        <f>[40]electric_zaryad!$C$12</f>
        <v>4.5295050915794242E-2</v>
      </c>
      <c r="I8" s="17">
        <f>[40]electric_zaryad!$C$6</f>
        <v>6.1853954753036824</v>
      </c>
      <c r="J8" s="17">
        <f>[40]electric_zaryad!$C$2</f>
        <v>2.34787278725782</v>
      </c>
      <c r="K8" s="17">
        <f>[40]heaters_zaryad!$B$9</f>
        <v>77.402724034046813</v>
      </c>
      <c r="L8" s="17">
        <f>[40]heaters_zaryad!$B$8</f>
        <v>27.959404577067229</v>
      </c>
      <c r="M8" s="17">
        <f>[40]heaters_zaryad!$B$10</f>
        <v>6.571530918752698</v>
      </c>
      <c r="N8" s="17">
        <f t="shared" si="0"/>
        <v>111.93365952986674</v>
      </c>
      <c r="O8" s="17">
        <f>[40]heaters_zaryad!$B$17/1000</f>
        <v>55.905487314533531</v>
      </c>
      <c r="P8" s="18">
        <f>[40]heaters_zaryad!$B$11/1000</f>
        <v>52.138779276790927</v>
      </c>
      <c r="Q8" s="17">
        <f>[40]gas_streams_zaryad!$E$4</f>
        <v>20.327388167701429</v>
      </c>
      <c r="R8" s="17">
        <f>[2]!PropsSI("H","P",[40]gas_streams_zaryad!$C$4*10^6,"T",[40]gas_streams_zaryad!$B$4+273.15,"REFPROP::"&amp;[2]!MixtureString($R$16:$R$20,$S$16:$S$20))/1000-[2]!PropsSI("H","P",[40]gas_streams_zaryad!$C$4*10^6,"T",S18+273.15,"REFPROP::"&amp;[2]!MixtureString($R$16:$R$20,$S$16:$S$20))/1000</f>
        <v>1246.5891221948264</v>
      </c>
      <c r="S8" s="19">
        <f t="shared" si="1"/>
        <v>25.339900972488422</v>
      </c>
      <c r="T8" s="17">
        <f t="shared" si="2"/>
        <v>135.54212602016185</v>
      </c>
      <c r="U8" s="16">
        <f t="shared" si="16"/>
        <v>167.83914684440026</v>
      </c>
      <c r="V8" s="16">
        <f t="shared" si="17"/>
        <v>53.155429556844943</v>
      </c>
      <c r="W8" s="16">
        <f t="shared" si="3"/>
        <v>136.27450756187557</v>
      </c>
      <c r="X8" s="20">
        <f t="shared" si="4"/>
        <v>0.5286802334114612</v>
      </c>
      <c r="Y8" s="20">
        <f t="shared" si="5"/>
        <v>0.59039325065083881</v>
      </c>
      <c r="Z8" s="20">
        <f t="shared" si="6"/>
        <v>0.76111563103007929</v>
      </c>
      <c r="AA8" s="20">
        <f t="shared" si="7"/>
        <v>0.9649717747841986</v>
      </c>
      <c r="AB8" s="20">
        <f t="shared" si="8"/>
        <v>0.57629621776206574</v>
      </c>
      <c r="AC8" s="20">
        <f t="shared" si="9"/>
        <v>0.82132754057121982</v>
      </c>
      <c r="AD8" s="16">
        <f t="shared" si="18"/>
        <v>557.74187117861334</v>
      </c>
      <c r="AE8" s="16">
        <f>AD8/$R$14</f>
        <v>11.110395840211421</v>
      </c>
      <c r="AF8" s="7">
        <f>[40]syngas_streams_razryad!$E$10</f>
        <v>1.0811111111111109</v>
      </c>
      <c r="AG8" s="7">
        <f>[40]syngas_streams_razryad!$E$9</f>
        <v>5.5014588773408182</v>
      </c>
      <c r="AH8" s="17">
        <f>[40]accumulation_razryad!$E$3</f>
        <v>23.50259651406185</v>
      </c>
      <c r="AI8" s="17">
        <f>[40]electric_razryad!$E$5</f>
        <v>34.061064584346838</v>
      </c>
      <c r="AJ8" s="17">
        <f>[40]GTU_input_razryad!$B$3</f>
        <v>1</v>
      </c>
      <c r="AK8" s="17">
        <f>[40]electric_razryad!$C$5</f>
        <v>165.66</v>
      </c>
      <c r="AL8" s="17">
        <f>[40]electric_razryad!$B$7</f>
        <v>67.455488301115608</v>
      </c>
      <c r="AM8" s="17">
        <f>[40]electric_razryad!$C$12</f>
        <v>0.33910423290989111</v>
      </c>
      <c r="AN8" s="17">
        <f>[40]electric_razryad!$C$6</f>
        <v>6.3013810203264402</v>
      </c>
      <c r="AO8" s="17">
        <f>[40]electric_razryad!$C$2</f>
        <v>0.71656767855174452</v>
      </c>
      <c r="AP8" s="17">
        <f>[40]electric_razryad!$B$13</f>
        <v>78278.106461409916</v>
      </c>
      <c r="AQ8" s="17">
        <f>[40]electric_razryad!$B$14</f>
        <v>117438.49664274471</v>
      </c>
      <c r="AR8" s="17">
        <f>[40]heaters_razryad!$B$9</f>
        <v>66.221153184919004</v>
      </c>
      <c r="AS8" s="17">
        <f>[40]heaters_razryad!$B$8</f>
        <v>33.844060047769347</v>
      </c>
      <c r="AT8" s="17">
        <f>[40]heaters_razryad!$B$10</f>
        <v>5.7166448455855177</v>
      </c>
      <c r="AU8" s="17">
        <f t="shared" si="10"/>
        <v>105.78185807827387</v>
      </c>
      <c r="AV8" s="17">
        <f>[40]heaters_razryad!$B$18/1000</f>
        <v>62.066014882446666</v>
      </c>
      <c r="AW8" s="18">
        <f t="shared" si="20"/>
        <v>223.6814755566763</v>
      </c>
      <c r="AX8" s="17">
        <f t="shared" si="11"/>
        <v>37.22628511060919</v>
      </c>
      <c r="AY8" s="19">
        <f t="shared" si="12"/>
        <v>260.90776066728552</v>
      </c>
      <c r="AZ8" s="19">
        <f t="shared" si="13"/>
        <v>167.84787296072054</v>
      </c>
      <c r="BA8" s="16">
        <f t="shared" si="21"/>
        <v>486.36178000182355</v>
      </c>
      <c r="BB8" s="16">
        <f t="shared" si="22"/>
        <v>129.29856823284493</v>
      </c>
      <c r="BC8" s="20">
        <f t="shared" si="14"/>
        <v>0.58773850818543472</v>
      </c>
      <c r="BD8" s="20">
        <f t="shared" si="23"/>
        <v>0.58773850818543472</v>
      </c>
      <c r="BE8" s="20">
        <f t="shared" si="24"/>
        <v>0.67740383225366696</v>
      </c>
      <c r="BF8" s="20">
        <f t="shared" si="25"/>
        <v>0.55369435274301793</v>
      </c>
      <c r="BG8" s="20">
        <f t="shared" si="26"/>
        <v>0.76793039049161904</v>
      </c>
      <c r="BH8" s="20">
        <f t="shared" si="27"/>
        <v>0.58262727162229233</v>
      </c>
      <c r="BI8" s="20">
        <f t="shared" si="28"/>
        <v>0.6964158644574252</v>
      </c>
      <c r="BJ8" s="16">
        <f t="shared" si="29"/>
        <v>460.95286177051003</v>
      </c>
      <c r="BK8" s="16">
        <f>BJ8/$R$14</f>
        <v>9.1823279237153379</v>
      </c>
      <c r="BL8" s="16">
        <f t="shared" si="15"/>
        <v>5.1990947787438416E-3</v>
      </c>
      <c r="BM8" s="18">
        <f>T8-'Без ПКМ'!B8</f>
        <v>-64.166083906579246</v>
      </c>
      <c r="BN8" s="19">
        <f>AY8-'Без ПКМ'!H8</f>
        <v>46.49435508913561</v>
      </c>
      <c r="BO8" s="17"/>
      <c r="BP8" s="17"/>
    </row>
    <row r="9" spans="1:80" x14ac:dyDescent="0.35">
      <c r="A9" s="16">
        <v>0</v>
      </c>
      <c r="B9" s="7">
        <f>0.151140511695727*[41]syngas_streams_zaryad!$E$2</f>
        <v>2.7146256316661455</v>
      </c>
      <c r="C9" s="7">
        <f>[41]gas_streams_zaryad!$E$13</f>
        <v>1.057479801715792</v>
      </c>
      <c r="D9" s="17">
        <f>[41]electric_zaryad!$E$5</f>
        <v>30.061806400706509</v>
      </c>
      <c r="E9" s="17">
        <f>[41]GTU_input_zaryad!$B$3</f>
        <v>0.66740686437364061</v>
      </c>
      <c r="F9" s="17">
        <f>[41]electric_zaryad!$C$5</f>
        <v>109.6580178881653</v>
      </c>
      <c r="G9" s="17">
        <f>[41]electric_zaryad!$B$7</f>
        <v>35.78330205931789</v>
      </c>
      <c r="H9" s="17">
        <f>[41]electric_zaryad!$C$12</f>
        <v>4.5098060271369082E-2</v>
      </c>
      <c r="I9" s="17">
        <f>[41]electric_zaryad!$C$6</f>
        <v>6.1825571608181153</v>
      </c>
      <c r="J9" s="17">
        <f>[41]electric_zaryad!$C$2</f>
        <v>2.337905527225534</v>
      </c>
      <c r="K9" s="17">
        <f>[41]heaters_zaryad!$B$9</f>
        <v>71.504430096244306</v>
      </c>
      <c r="L9" s="17">
        <f>[41]heaters_zaryad!$B$8</f>
        <v>33.752769207123173</v>
      </c>
      <c r="M9" s="17">
        <f>[41]heaters_zaryad!$B$10</f>
        <v>6.067829647025599</v>
      </c>
      <c r="N9" s="17">
        <f t="shared" si="0"/>
        <v>111.32502895039309</v>
      </c>
      <c r="O9" s="17">
        <f>[41]heaters_zaryad!$B$17/1000</f>
        <v>56.285638901505138</v>
      </c>
      <c r="P9" s="18">
        <f>[41]heaters_zaryad!$B$11/1000</f>
        <v>52.182993759107504</v>
      </c>
      <c r="Q9" s="17">
        <f>[41]gas_streams_zaryad!$E$4</f>
        <v>20.300640779825681</v>
      </c>
      <c r="R9" s="17">
        <f>[2]!PropsSI("H","P",[41]gas_streams_zaryad!$C$4*10^6,"T",[41]gas_streams_zaryad!$B$4+273.15,"REFPROP::"&amp;[2]!MixtureString($R$16:$R$20,$S$16:$S$20))/1000-[2]!PropsSI("H","P",[41]gas_streams_zaryad!$C$4*10^6,"T",S19+273.15,"REFPROP::"&amp;[2]!MixtureString($R$16:$R$20,$S$16:$S$20))/1000</f>
        <v>1246.7478520836039</v>
      </c>
      <c r="S9" s="19">
        <f t="shared" si="1"/>
        <v>25.309780288168483</v>
      </c>
      <c r="T9" s="17">
        <f t="shared" si="2"/>
        <v>135.65865793181851</v>
      </c>
      <c r="U9" s="16">
        <f t="shared" si="16"/>
        <v>167.61066785189823</v>
      </c>
      <c r="V9" s="16">
        <f t="shared" si="17"/>
        <v>53.085486046132765</v>
      </c>
      <c r="W9" s="16">
        <f t="shared" si="3"/>
        <v>136.27420670964051</v>
      </c>
      <c r="X9" s="20">
        <f t="shared" si="4"/>
        <v>0.53524782089579137</v>
      </c>
      <c r="Y9" s="20">
        <f t="shared" si="5"/>
        <v>0.59873101165131948</v>
      </c>
      <c r="Z9" s="20">
        <f t="shared" si="6"/>
        <v>0.76692691827563364</v>
      </c>
      <c r="AA9" s="20">
        <f t="shared" si="7"/>
        <v>0.96724057279206288</v>
      </c>
      <c r="AB9" s="20">
        <f t="shared" si="8"/>
        <v>0.5851978252177874</v>
      </c>
      <c r="AC9" s="20">
        <f t="shared" si="9"/>
        <v>0.8264716925519765</v>
      </c>
      <c r="AD9" s="16">
        <f t="shared" si="18"/>
        <v>554.1349042866018</v>
      </c>
      <c r="AE9" s="16">
        <f t="shared" si="19"/>
        <v>11.038543910091668</v>
      </c>
      <c r="AF9" s="7">
        <f>[41]syngas_streams_razryad!$E$10</f>
        <v>1.0811111111111109</v>
      </c>
      <c r="AG9" s="7">
        <f>[41]syngas_streams_razryad!$E$9</f>
        <v>5.5058975696175256</v>
      </c>
      <c r="AH9" s="17">
        <f>[41]accumulation_razryad!$E$3</f>
        <v>23.486759159249392</v>
      </c>
      <c r="AI9" s="17">
        <f>[41]electric_razryad!$E$5</f>
        <v>34.012096926621403</v>
      </c>
      <c r="AJ9" s="17">
        <f>[41]GTU_input_razryad!$B$3</f>
        <v>1</v>
      </c>
      <c r="AK9" s="17">
        <f>[41]electric_razryad!$C$5</f>
        <v>164.30459999999999</v>
      </c>
      <c r="AL9" s="17">
        <f>[41]electric_razryad!$B$7</f>
        <v>68.260347646185352</v>
      </c>
      <c r="AM9" s="17">
        <f>[41]electric_razryad!$C$12</f>
        <v>0.34797512195170022</v>
      </c>
      <c r="AN9" s="17">
        <f>[41]electric_razryad!$C$6</f>
        <v>6.2985051603460569</v>
      </c>
      <c r="AO9" s="17">
        <f>[41]electric_razryad!$C$2</f>
        <v>0.72188486613463243</v>
      </c>
      <c r="AP9" s="17">
        <f>[41]electric_razryad!$B$13</f>
        <v>78332.735815140491</v>
      </c>
      <c r="AQ9" s="17">
        <f>[41]electric_razryad!$B$14</f>
        <v>117520.5698119568</v>
      </c>
      <c r="AR9" s="17">
        <f>[41]heaters_razryad!$B$9</f>
        <v>75.288938689459812</v>
      </c>
      <c r="AS9" s="17">
        <f>[41]heaters_razryad!$B$8</f>
        <v>22.515130127862012</v>
      </c>
      <c r="AT9" s="17">
        <f>[41]heaters_razryad!$B$10</f>
        <v>6.4709008574935636</v>
      </c>
      <c r="AU9" s="17">
        <f t="shared" si="10"/>
        <v>104.2749696748154</v>
      </c>
      <c r="AV9" s="17">
        <f>[41]heaters_razryad!$B$18/1000</f>
        <v>63.340275747566729</v>
      </c>
      <c r="AW9" s="18">
        <f t="shared" si="20"/>
        <v>223.09474027900123</v>
      </c>
      <c r="AX9" s="17">
        <f t="shared" si="11"/>
        <v>37.25237573272279</v>
      </c>
      <c r="AY9" s="19">
        <f t="shared" si="12"/>
        <v>260.34711601172404</v>
      </c>
      <c r="AZ9" s="19">
        <f t="shared" si="13"/>
        <v>167.61524542238212</v>
      </c>
      <c r="BA9" s="16">
        <f t="shared" si="21"/>
        <v>483.07694863529019</v>
      </c>
      <c r="BB9" s="16">
        <f t="shared" si="22"/>
        <v>129.31569017310338</v>
      </c>
      <c r="BC9" s="20">
        <f t="shared" si="14"/>
        <v>0.58894819106074292</v>
      </c>
      <c r="BD9" s="20">
        <f t="shared" si="23"/>
        <v>0.58894819106074292</v>
      </c>
      <c r="BE9" s="20">
        <f t="shared" si="24"/>
        <v>0.67767611532416905</v>
      </c>
      <c r="BF9" s="20">
        <f t="shared" si="25"/>
        <v>0.56464026875902074</v>
      </c>
      <c r="BG9" s="20">
        <f t="shared" si="26"/>
        <v>0.77788434911212334</v>
      </c>
      <c r="BH9" s="20">
        <f t="shared" si="27"/>
        <v>0.5853425103954758</v>
      </c>
      <c r="BI9" s="20">
        <f t="shared" si="28"/>
        <v>0.69883655405597989</v>
      </c>
      <c r="BJ9" s="16">
        <f t="shared" si="29"/>
        <v>457.68515234423501</v>
      </c>
      <c r="BK9" s="16">
        <f t="shared" si="30"/>
        <v>9.1172341104429275</v>
      </c>
      <c r="BL9" s="16">
        <f t="shared" si="15"/>
        <v>2.7310734707731233E-3</v>
      </c>
      <c r="BM9" s="18">
        <f>T9-'Без ПКМ'!B9</f>
        <v>-63.080820922280367</v>
      </c>
      <c r="BN9" s="19">
        <f>AY9-'Без ПКМ'!H9</f>
        <v>46.173518991383787</v>
      </c>
      <c r="BO9" s="17"/>
      <c r="BP9" s="17"/>
    </row>
    <row r="10" spans="1:80" x14ac:dyDescent="0.35">
      <c r="A10" s="16">
        <v>5</v>
      </c>
      <c r="B10" s="7">
        <f>0.151140511695727*[42]syngas_streams_zaryad!$E$2</f>
        <v>2.7146244854936152</v>
      </c>
      <c r="C10" s="7">
        <f>[42]gas_streams_zaryad!$E$13</f>
        <v>1.0558139876906989</v>
      </c>
      <c r="D10" s="17">
        <f>[42]electric_zaryad!$E$5</f>
        <v>29.999617175308138</v>
      </c>
      <c r="E10" s="17">
        <f>[42]GTU_input_zaryad!$B$3</f>
        <v>0.67567023686469918</v>
      </c>
      <c r="F10" s="17">
        <f>[42]electric_zaryad!$C$5</f>
        <v>107.96304986980491</v>
      </c>
      <c r="G10" s="17">
        <f>[42]electric_zaryad!$B$7</f>
        <v>36.911703255720127</v>
      </c>
      <c r="H10" s="17">
        <f>[42]electric_zaryad!$C$12</f>
        <v>4.527004338835329E-2</v>
      </c>
      <c r="I10" s="17">
        <f>[42]electric_zaryad!$C$6</f>
        <v>6.1789608123659736</v>
      </c>
      <c r="J10" s="17">
        <f>[42]electric_zaryad!$C$2</f>
        <v>2.344722615181781</v>
      </c>
      <c r="K10" s="17">
        <f>[42]heaters_zaryad!$B$9</f>
        <v>64.701842422412994</v>
      </c>
      <c r="L10" s="17">
        <f>[42]heaters_zaryad!$B$8</f>
        <v>40.560972948450207</v>
      </c>
      <c r="M10" s="17">
        <f>[42]heaters_zaryad!$B$10</f>
        <v>5.4770658063588673</v>
      </c>
      <c r="N10" s="17">
        <f t="shared" si="0"/>
        <v>110.73988117722206</v>
      </c>
      <c r="O10" s="17">
        <f>[42]heaters_zaryad!$B$17/1000</f>
        <v>56.64742382884944</v>
      </c>
      <c r="P10" s="18">
        <f>[42]heaters_zaryad!$B$11/1000</f>
        <v>52.236046647158084</v>
      </c>
      <c r="Q10" s="17">
        <f>[42]gas_streams_zaryad!$E$4</f>
        <v>20.268661831315711</v>
      </c>
      <c r="R10" s="17">
        <f>[2]!PropsSI("H","P",[42]gas_streams_zaryad!$C$4*10^6,"T",[42]gas_streams_zaryad!$B$4+273.15,"REFPROP::"&amp;[2]!MixtureString($R$16:$R$20,$S$16:$S$20))/1000-[2]!PropsSI("H","P",[42]gas_streams_zaryad!$C$4*10^6,"T",S20+273.15,"REFPROP::"&amp;[2]!MixtureString($R$16:$R$20,$S$16:$S$20))/1000</f>
        <v>1246.7504596517715</v>
      </c>
      <c r="S10" s="19">
        <f t="shared" si="1"/>
        <v>25.269963454719178</v>
      </c>
      <c r="T10" s="17">
        <f t="shared" si="2"/>
        <v>135.05462987344839</v>
      </c>
      <c r="U10" s="16">
        <f t="shared" si="16"/>
        <v>167.3873050060715</v>
      </c>
      <c r="V10" s="16">
        <f t="shared" si="17"/>
        <v>53.00186218207309</v>
      </c>
      <c r="W10" s="16">
        <f t="shared" si="3"/>
        <v>136.2741491717795</v>
      </c>
      <c r="X10" s="20">
        <f>T10/((100*F10)/D10-N10)</f>
        <v>0.54207992632636604</v>
      </c>
      <c r="Y10" s="20">
        <f t="shared" si="5"/>
        <v>0.60787374680593687</v>
      </c>
      <c r="Z10" s="20">
        <f t="shared" si="6"/>
        <v>0.7738010725469221</v>
      </c>
      <c r="AA10" s="20">
        <f t="shared" si="7"/>
        <v>0.9693775222486205</v>
      </c>
      <c r="AB10" s="20">
        <f t="shared" si="8"/>
        <v>0.59479017244168841</v>
      </c>
      <c r="AC10" s="20">
        <f t="shared" si="9"/>
        <v>0.8324560332711376</v>
      </c>
      <c r="AD10" s="16">
        <f t="shared" si="18"/>
        <v>549.15743663639364</v>
      </c>
      <c r="AE10" s="16">
        <f t="shared" si="19"/>
        <v>10.93939116805565</v>
      </c>
      <c r="AF10" s="7">
        <f>[42]syngas_streams_razryad!$E$10</f>
        <v>1.0811111111111109</v>
      </c>
      <c r="AG10" s="7">
        <f>[42]syngas_streams_razryad!$E$9</f>
        <v>5.5111582905257022</v>
      </c>
      <c r="AH10" s="17">
        <f>[42]accumulation_razryad!$E$3</f>
        <v>23.46801640505555</v>
      </c>
      <c r="AI10" s="17">
        <f>[42]electric_razryad!$E$5</f>
        <v>33.830241541168107</v>
      </c>
      <c r="AJ10" s="17">
        <f>[42]GTU_input_razryad!$B$3</f>
        <v>1</v>
      </c>
      <c r="AK10" s="17">
        <f>[42]electric_razryad!$C$5</f>
        <v>159.78659999999999</v>
      </c>
      <c r="AL10" s="17">
        <f>[42]electric_razryad!$B$7</f>
        <v>68.09031890663762</v>
      </c>
      <c r="AM10" s="17">
        <f>[42]electric_razryad!$C$12</f>
        <v>0.34851789139445721</v>
      </c>
      <c r="AN10" s="17">
        <f>[42]electric_razryad!$C$6</f>
        <v>6.2889189604114444</v>
      </c>
      <c r="AO10" s="17">
        <f>[42]electric_razryad!$C$2</f>
        <v>0.71603289719417307</v>
      </c>
      <c r="AP10" s="17">
        <f>[42]electric_razryad!$B$13</f>
        <v>78388.578280250731</v>
      </c>
      <c r="AQ10" s="17">
        <f>[42]electric_razryad!$B$14</f>
        <v>117605.0787490238</v>
      </c>
      <c r="AR10" s="17">
        <f>[42]heaters_razryad!$B$9</f>
        <v>83.002807390968968</v>
      </c>
      <c r="AS10" s="17">
        <f>[42]heaters_razryad!$B$8</f>
        <v>12.66823779613423</v>
      </c>
      <c r="AT10" s="17">
        <f>[42]heaters_razryad!$B$10</f>
        <v>7.0989333943770117</v>
      </c>
      <c r="AU10" s="17">
        <f t="shared" si="10"/>
        <v>102.76997858148022</v>
      </c>
      <c r="AV10" s="17">
        <f>[42]heaters_razryad!$B$18/1000</f>
        <v>64.617181943704622</v>
      </c>
      <c r="AW10" s="18">
        <f t="shared" si="20"/>
        <v>218.42700967769551</v>
      </c>
      <c r="AX10" s="17">
        <f t="shared" si="11"/>
        <v>37.279640687657178</v>
      </c>
      <c r="AY10" s="19">
        <f t="shared" si="12"/>
        <v>255.70665036535269</v>
      </c>
      <c r="AZ10" s="19">
        <f t="shared" si="13"/>
        <v>167.38716052518484</v>
      </c>
      <c r="BA10" s="16">
        <f t="shared" si="21"/>
        <v>472.31882694527997</v>
      </c>
      <c r="BB10" s="16">
        <f t="shared" si="22"/>
        <v>129.33595317291508</v>
      </c>
      <c r="BC10" s="20">
        <f t="shared" si="14"/>
        <v>0.59106397068965189</v>
      </c>
      <c r="BD10" s="20">
        <f t="shared" si="23"/>
        <v>0.59106397068965189</v>
      </c>
      <c r="BE10" s="20">
        <f t="shared" si="24"/>
        <v>0.68004273794571324</v>
      </c>
      <c r="BF10" s="20">
        <f t="shared" si="25"/>
        <v>0.5760251620913226</v>
      </c>
      <c r="BG10" s="20">
        <f t="shared" si="26"/>
        <v>0.78784607165751763</v>
      </c>
      <c r="BH10" s="20">
        <f t="shared" si="27"/>
        <v>0.58882274161955139</v>
      </c>
      <c r="BI10" s="20">
        <f t="shared" si="28"/>
        <v>0.7032169025689794</v>
      </c>
      <c r="BJ10" s="16">
        <f t="shared" si="29"/>
        <v>446.94729365403657</v>
      </c>
      <c r="BK10" s="16">
        <f t="shared" si="30"/>
        <v>8.9033325429090944</v>
      </c>
      <c r="BL10" s="16">
        <f>ABS(AZ10-U10)/U10*100</f>
        <v>8.6315319226638846E-5</v>
      </c>
      <c r="BM10" s="18">
        <f>T10-'Без ПКМ'!B10</f>
        <v>-59.237814814122061</v>
      </c>
      <c r="BN10" s="19">
        <f>AY10-'Без ПКМ'!H10</f>
        <v>46.613178713997058</v>
      </c>
      <c r="BO10" s="17"/>
      <c r="BP10" s="17"/>
    </row>
    <row r="11" spans="1:80" x14ac:dyDescent="0.35">
      <c r="A11" s="16">
        <v>8</v>
      </c>
      <c r="B11" s="7">
        <f>0.151140511695727*[43]syngas_streams_zaryad!$E$2</f>
        <v>2.7146248242778213</v>
      </c>
      <c r="C11" s="7">
        <f>[43]gas_streams_zaryad!$E$13</f>
        <v>1.0545693013213611</v>
      </c>
      <c r="D11" s="17">
        <f>[43]electric_zaryad!$E$5</f>
        <v>29.898306700619841</v>
      </c>
      <c r="E11" s="17">
        <f>[43]GTU_input_zaryad!$B$3</f>
        <v>0.67676685506945256</v>
      </c>
      <c r="F11" s="17">
        <f>[43]electric_zaryad!$C$5</f>
        <v>106.30369517351831</v>
      </c>
      <c r="G11" s="17">
        <f>[43]electric_zaryad!$B$7</f>
        <v>36.948715190770493</v>
      </c>
      <c r="H11" s="17">
        <f>[43]electric_zaryad!$C$12</f>
        <v>4.5273369589101053E-2</v>
      </c>
      <c r="I11" s="17">
        <f>[43]electric_zaryad!$C$6</f>
        <v>6.1754400275317458</v>
      </c>
      <c r="J11" s="17">
        <f>[43]electric_zaryad!$C$2</f>
        <v>2.3757753896140601</v>
      </c>
      <c r="K11" s="17">
        <f>[43]heaters_zaryad!$B$9</f>
        <v>62.831649444115307</v>
      </c>
      <c r="L11" s="17">
        <f>[43]heaters_zaryad!$B$8</f>
        <v>41.914073110493412</v>
      </c>
      <c r="M11" s="17">
        <f>[43]heaters_zaryad!$B$10</f>
        <v>5.2979865222384337</v>
      </c>
      <c r="N11" s="17">
        <f>K11+L11+M11</f>
        <v>110.04370907684715</v>
      </c>
      <c r="O11" s="17">
        <f>[43]heaters_zaryad!$B$17/1000</f>
        <v>56.684736489562304</v>
      </c>
      <c r="P11" s="18">
        <f>[43]heaters_zaryad!$B$11/1000</f>
        <v>52.275725264127928</v>
      </c>
      <c r="Q11" s="17">
        <f>[43]gas_streams_zaryad!$E$4</f>
        <v>20.244767350469381</v>
      </c>
      <c r="R11" s="17">
        <f>[2]!PropsSI("H","P",[43]gas_streams_zaryad!$C$4*10^6,"T",[43]gas_streams_zaryad!$B$4+273.15,"REFPROP::"&amp;[2]!MixtureString($R$16:$R$20,$S$16:$S$20))/1000-[2]!PropsSI("H","P",[43]gas_streams_zaryad!$C$4*10^6,"T",S21+273.15,"REFPROP::"&amp;[2]!MixtureString($R$16:$R$20,$S$16:$S$20))/1000</f>
        <v>896.4142916678345</v>
      </c>
      <c r="S11" s="19">
        <f>R11*Q11/1000</f>
        <v>18.147698784451112</v>
      </c>
      <c r="T11" s="17">
        <f t="shared" si="2"/>
        <v>133.40168410073011</v>
      </c>
      <c r="U11" s="16">
        <f>N11+O11</f>
        <v>166.72844556640945</v>
      </c>
      <c r="V11" s="16">
        <f t="shared" si="17"/>
        <v>52.939378926332331</v>
      </c>
      <c r="W11" s="16">
        <f t="shared" si="3"/>
        <v>136.27416617874664</v>
      </c>
      <c r="X11" s="20">
        <f>T11/((100*F11)/D11-N11)</f>
        <v>0.54337182447304921</v>
      </c>
      <c r="Y11" s="20">
        <f t="shared" si="5"/>
        <v>0.63110142192928931</v>
      </c>
      <c r="Z11" s="20">
        <f>(T11+P11+N11)/((100*F11)/D11+S11)</f>
        <v>0.79133592784043816</v>
      </c>
      <c r="AA11" s="20">
        <f t="shared" si="7"/>
        <v>0.92829967865278629</v>
      </c>
      <c r="AB11" s="20">
        <f t="shared" si="8"/>
        <v>0.59733389627528322</v>
      </c>
      <c r="AC11" s="20">
        <f t="shared" si="9"/>
        <v>0.83492531436623885</v>
      </c>
      <c r="AD11" s="16">
        <f t="shared" si="18"/>
        <v>544.76443378237798</v>
      </c>
      <c r="AE11" s="16">
        <f t="shared" si="19"/>
        <v>10.851881151043385</v>
      </c>
      <c r="AF11" s="7">
        <f>[43]syngas_streams_razryad!$E$10</f>
        <v>1.0811111111111109</v>
      </c>
      <c r="AG11" s="7">
        <f>[43]syngas_streams_razryad!$E$9</f>
        <v>5.514784658020079</v>
      </c>
      <c r="AH11" s="17">
        <f>[43]accumulation_razryad!$E$3</f>
        <v>23.45511388888071</v>
      </c>
      <c r="AI11" s="17">
        <f>[43]electric_razryad!$E$5</f>
        <v>33.701191319931901</v>
      </c>
      <c r="AJ11" s="17">
        <f>[43]GTU_input_razryad!$B$3</f>
        <v>1</v>
      </c>
      <c r="AK11" s="17">
        <f>[43]electric_razryad!$C$5</f>
        <v>157.07579999999999</v>
      </c>
      <c r="AL11" s="17">
        <f>[43]electric_razryad!$B$7</f>
        <v>67.836570483932789</v>
      </c>
      <c r="AM11" s="17">
        <f>[43]electric_razryad!$C$12</f>
        <v>0.34826125639386529</v>
      </c>
      <c r="AN11" s="17">
        <f>[43]electric_razryad!$C$6</f>
        <v>6.2831672404506769</v>
      </c>
      <c r="AO11" s="17">
        <f>[43]electric_razryad!$C$2</f>
        <v>0.71181711066167452</v>
      </c>
      <c r="AP11" s="17">
        <f>[43]electric_razryad!$B$13</f>
        <v>78422.771636338381</v>
      </c>
      <c r="AQ11" s="17">
        <f>[43]electric_razryad!$B$14</f>
        <v>117657.16848958201</v>
      </c>
      <c r="AR11" s="17">
        <f>[43]heaters_razryad!$B$9</f>
        <v>84.305958624582033</v>
      </c>
      <c r="AS11" s="17">
        <f>[43]heaters_razryad!$B$8</f>
        <v>10.34871879737203</v>
      </c>
      <c r="AT11" s="17">
        <f>[43]heaters_razryad!$B$10</f>
        <v>7.1813283347583319</v>
      </c>
      <c r="AU11" s="17">
        <f>AT11+AS11+AR11</f>
        <v>101.8360057567124</v>
      </c>
      <c r="AV11" s="17">
        <f>[43]heaters_razryad!$B$18/1000</f>
        <v>64.891176686480463</v>
      </c>
      <c r="AW11" s="18">
        <f t="shared" si="20"/>
        <v>215.48053004374617</v>
      </c>
      <c r="AX11" s="17">
        <f t="shared" si="11"/>
        <v>37.296668664980842</v>
      </c>
      <c r="AY11" s="19">
        <f t="shared" si="12"/>
        <v>252.77719870872701</v>
      </c>
      <c r="AZ11" s="19">
        <f>AU11+AV11</f>
        <v>166.72718244319287</v>
      </c>
      <c r="BA11" s="16">
        <f t="shared" si="21"/>
        <v>466.08382032803871</v>
      </c>
      <c r="BB11" s="16">
        <f t="shared" si="22"/>
        <v>129.34990222651302</v>
      </c>
      <c r="BC11" s="20">
        <f t="shared" si="14"/>
        <v>0.5915767272271476</v>
      </c>
      <c r="BD11" s="20">
        <f t="shared" si="23"/>
        <v>0.5915767272271476</v>
      </c>
      <c r="BE11" s="20">
        <f t="shared" si="24"/>
        <v>0.68081431270693993</v>
      </c>
      <c r="BF11" s="20">
        <f t="shared" si="25"/>
        <v>0.57861318778041115</v>
      </c>
      <c r="BG11" s="20">
        <f t="shared" si="26"/>
        <v>0.79001099801771424</v>
      </c>
      <c r="BH11" s="20">
        <f t="shared" si="27"/>
        <v>0.58962757751040318</v>
      </c>
      <c r="BI11" s="20">
        <f t="shared" si="28"/>
        <v>0.70453581189884029</v>
      </c>
      <c r="BJ11" s="16">
        <f t="shared" si="29"/>
        <v>440.72623609039323</v>
      </c>
      <c r="BK11" s="16">
        <f t="shared" si="30"/>
        <v>8.7794070934341271</v>
      </c>
      <c r="BL11" s="16">
        <f t="shared" si="15"/>
        <v>7.5759311033185377E-4</v>
      </c>
      <c r="BM11" s="18">
        <f>T11-'Без ПКМ'!B11</f>
        <v>-57.77077743500621</v>
      </c>
      <c r="BN11" s="19">
        <f>AY11-'Без ПКМ'!H11</f>
        <v>46.824115781954049</v>
      </c>
      <c r="BO11" s="17"/>
      <c r="BP11" s="17"/>
    </row>
    <row r="14" spans="1:80" x14ac:dyDescent="0.35">
      <c r="Q14" s="1" t="s">
        <v>54</v>
      </c>
      <c r="R14" s="17">
        <f>BP4</f>
        <v>50.2</v>
      </c>
      <c r="S14" s="3" t="s">
        <v>53</v>
      </c>
    </row>
    <row r="15" spans="1:80" x14ac:dyDescent="0.3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80" x14ac:dyDescent="0.35">
      <c r="R16" s="1" t="s">
        <v>41</v>
      </c>
      <c r="S16" s="3">
        <v>0.71032059101601497</v>
      </c>
      <c r="BL16" s="16">
        <f t="shared" ref="BL16:BL23" si="31">(BM16-BN16)*100</f>
        <v>-7.6274715594713438</v>
      </c>
      <c r="BM16" s="18">
        <v>0.57074242025422373</v>
      </c>
      <c r="BN16" s="16">
        <v>0.64701713584893716</v>
      </c>
    </row>
    <row r="17" spans="18:66" x14ac:dyDescent="0.35">
      <c r="R17" s="6" t="s">
        <v>44</v>
      </c>
      <c r="S17" s="3">
        <v>0.18053127301225799</v>
      </c>
      <c r="BL17" s="16">
        <f t="shared" si="31"/>
        <v>-7.356977695775857</v>
      </c>
      <c r="BM17" s="18">
        <v>0.58765218465126401</v>
      </c>
      <c r="BN17" s="16">
        <v>0.66122196160902258</v>
      </c>
    </row>
    <row r="18" spans="18:66" x14ac:dyDescent="0.35">
      <c r="R18" s="6" t="s">
        <v>43</v>
      </c>
      <c r="S18" s="3">
        <v>9.0538556815177001E-2</v>
      </c>
      <c r="BL18" s="16">
        <f t="shared" si="31"/>
        <v>-7.5876016894403371</v>
      </c>
      <c r="BM18" s="18">
        <v>0.59542528960195196</v>
      </c>
      <c r="BN18" s="16">
        <v>0.67130130649635533</v>
      </c>
    </row>
    <row r="19" spans="18:66" x14ac:dyDescent="0.35">
      <c r="R19" s="6" t="s">
        <v>42</v>
      </c>
      <c r="S19" s="3">
        <v>9.9671027033589304E-3</v>
      </c>
      <c r="BL19" s="16">
        <f t="shared" si="31"/>
        <v>-7.7236127271791748</v>
      </c>
      <c r="BM19" s="18">
        <v>0.60350314070988964</v>
      </c>
      <c r="BN19" s="16">
        <v>0.68073926798168138</v>
      </c>
    </row>
    <row r="20" spans="18:66" x14ac:dyDescent="0.35">
      <c r="R20" s="1" t="s">
        <v>45</v>
      </c>
      <c r="S20" s="3">
        <v>8.6424764531917806E-3</v>
      </c>
      <c r="BL20" s="16">
        <f t="shared" si="31"/>
        <v>-7.7035963168916481</v>
      </c>
      <c r="BM20" s="18">
        <v>0.61098447735087835</v>
      </c>
      <c r="BN20" s="16">
        <v>0.68802044051979483</v>
      </c>
    </row>
    <row r="21" spans="18:66" x14ac:dyDescent="0.35">
      <c r="R21" s="1" t="s">
        <v>46</v>
      </c>
      <c r="S21" s="3">
        <v>60</v>
      </c>
      <c r="BL21" s="16">
        <f t="shared" si="31"/>
        <v>-7.6120262086908586</v>
      </c>
      <c r="BM21" s="18">
        <v>0.61942422261697849</v>
      </c>
      <c r="BN21" s="16">
        <v>0.69554448470388708</v>
      </c>
    </row>
    <row r="22" spans="18:66" x14ac:dyDescent="0.35">
      <c r="BL22" s="16">
        <f t="shared" si="31"/>
        <v>-7.5036700812799895</v>
      </c>
      <c r="BM22" s="18">
        <v>0.6292258242027684</v>
      </c>
      <c r="BN22" s="16">
        <v>0.7042625250155683</v>
      </c>
    </row>
    <row r="23" spans="18:66" x14ac:dyDescent="0.35">
      <c r="R23" s="1" t="s">
        <v>47</v>
      </c>
      <c r="S23" s="3">
        <f>[2]!PropsSI("Q","P",0.1*10^6,"T",S21+273.15,"REFPROP::"&amp;[2]!MixtureString($R$16:$R$20,$S$16:$S$20))</f>
        <v>998</v>
      </c>
      <c r="BL23" s="16">
        <f t="shared" si="31"/>
        <v>-7.5390528498794236</v>
      </c>
      <c r="BM23" s="18">
        <v>0.63183866161787383</v>
      </c>
      <c r="BN23" s="16">
        <v>0.70722919011666807</v>
      </c>
    </row>
    <row r="24" spans="18:66" x14ac:dyDescent="0.35">
      <c r="BL24" s="16">
        <f>AVERAGE(BL15:BL23)</f>
        <v>-7.550687794079959</v>
      </c>
    </row>
    <row r="39" spans="18:20" x14ac:dyDescent="0.35">
      <c r="R39" s="6"/>
      <c r="S39" s="5"/>
      <c r="T39" s="6"/>
    </row>
  </sheetData>
  <mergeCells count="33">
    <mergeCell ref="BL1:BL2"/>
    <mergeCell ref="BM1:BM2"/>
    <mergeCell ref="BN1:BN2"/>
    <mergeCell ref="BF1:BF2"/>
    <mergeCell ref="BG1:BG2"/>
    <mergeCell ref="BH1:BH2"/>
    <mergeCell ref="BI1:BI2"/>
    <mergeCell ref="BJ1:BJ2"/>
    <mergeCell ref="BK1:BK2"/>
    <mergeCell ref="AZ1:AZ2"/>
    <mergeCell ref="BA1:BA2"/>
    <mergeCell ref="BB1:BB2"/>
    <mergeCell ref="BC1:BC2"/>
    <mergeCell ref="BD1:BD2"/>
    <mergeCell ref="BE1:BE2"/>
    <mergeCell ref="AD1:AD2"/>
    <mergeCell ref="AE1:AE2"/>
    <mergeCell ref="AF1:AV1"/>
    <mergeCell ref="AW1:AW2"/>
    <mergeCell ref="AX1:AX2"/>
    <mergeCell ref="AY1:AY2"/>
    <mergeCell ref="X1:X2"/>
    <mergeCell ref="Y1:Y2"/>
    <mergeCell ref="Z1:Z2"/>
    <mergeCell ref="AA1:AA2"/>
    <mergeCell ref="AB1:AB2"/>
    <mergeCell ref="AC1:AC2"/>
    <mergeCell ref="A1:A2"/>
    <mergeCell ref="B1:O1"/>
    <mergeCell ref="T1:T2"/>
    <mergeCell ref="U1:U2"/>
    <mergeCell ref="V1:V2"/>
    <mergeCell ref="W1:W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B3E-3599-4D3B-BBC0-7626C1F79399}">
  <dimension ref="A1:BR39"/>
  <sheetViews>
    <sheetView topLeftCell="BX1" zoomScale="85" zoomScaleNormal="85" workbookViewId="0">
      <selection activeCell="CQ35" sqref="CQ35"/>
    </sheetView>
  </sheetViews>
  <sheetFormatPr defaultColWidth="9.1796875" defaultRowHeight="15.5" x14ac:dyDescent="0.35"/>
  <cols>
    <col min="1" max="1" width="7.1796875" style="4" bestFit="1" customWidth="1"/>
    <col min="2" max="3" width="16.1796875" style="1" bestFit="1" customWidth="1"/>
    <col min="4" max="4" width="10.453125" style="1" bestFit="1" customWidth="1"/>
    <col min="5" max="5" width="7.54296875" style="1" bestFit="1" customWidth="1"/>
    <col min="6" max="6" width="7.453125" style="1" bestFit="1" customWidth="1"/>
    <col min="7" max="7" width="7.81640625" style="1" bestFit="1" customWidth="1"/>
    <col min="8" max="9" width="5.1796875" style="1" bestFit="1" customWidth="1"/>
    <col min="10" max="10" width="5.26953125" style="1" bestFit="1" customWidth="1"/>
    <col min="11" max="12" width="7.453125" style="1" bestFit="1" customWidth="1"/>
    <col min="13" max="13" width="6.453125" style="1" bestFit="1" customWidth="1"/>
    <col min="14" max="14" width="10.81640625" style="1" bestFit="1" customWidth="1"/>
    <col min="15" max="15" width="10.7265625" style="1" bestFit="1" customWidth="1"/>
    <col min="16" max="16" width="6.453125" style="2" bestFit="1" customWidth="1"/>
    <col min="17" max="17" width="11.453125" style="1" bestFit="1" customWidth="1"/>
    <col min="18" max="18" width="12.54296875" style="1" bestFit="1" customWidth="1"/>
    <col min="19" max="19" width="11.453125" style="3" bestFit="1" customWidth="1"/>
    <col min="20" max="20" width="13.453125" style="1" bestFit="1" customWidth="1"/>
    <col min="21" max="22" width="11.81640625" style="4" bestFit="1" customWidth="1"/>
    <col min="23" max="23" width="12.26953125" style="4" bestFit="1" customWidth="1"/>
    <col min="24" max="24" width="18.81640625" style="4" bestFit="1" customWidth="1"/>
    <col min="25" max="25" width="21.1796875" style="4" bestFit="1" customWidth="1"/>
    <col min="26" max="26" width="11.453125" style="4" bestFit="1" customWidth="1"/>
    <col min="27" max="27" width="21.54296875" style="4" bestFit="1" customWidth="1"/>
    <col min="28" max="28" width="31" style="4" bestFit="1" customWidth="1"/>
    <col min="29" max="29" width="21.453125" style="4" bestFit="1" customWidth="1"/>
    <col min="30" max="31" width="21.453125" style="4" customWidth="1"/>
    <col min="32" max="32" width="11.1796875" style="1" bestFit="1" customWidth="1"/>
    <col min="33" max="33" width="11.453125" style="1" bestFit="1" customWidth="1"/>
    <col min="34" max="34" width="7" style="1" bestFit="1" customWidth="1"/>
    <col min="35" max="35" width="10.453125" style="1" bestFit="1" customWidth="1"/>
    <col min="36" max="36" width="7.54296875" style="1" bestFit="1" customWidth="1"/>
    <col min="37" max="37" width="7.453125" style="1" bestFit="1" customWidth="1"/>
    <col min="38" max="38" width="7.81640625" style="1" bestFit="1" customWidth="1"/>
    <col min="39" max="40" width="5.1796875" style="1" bestFit="1" customWidth="1"/>
    <col min="41" max="41" width="5.26953125" style="1" bestFit="1" customWidth="1"/>
    <col min="42" max="42" width="12.81640625" style="1" bestFit="1" customWidth="1"/>
    <col min="43" max="43" width="11.26953125" style="1" bestFit="1" customWidth="1"/>
    <col min="44" max="45" width="7.453125" style="1" bestFit="1" customWidth="1"/>
    <col min="46" max="46" width="6.453125" style="1" bestFit="1" customWidth="1"/>
    <col min="47" max="47" width="10.81640625" style="1" bestFit="1" customWidth="1"/>
    <col min="48" max="48" width="8.54296875" style="1" bestFit="1" customWidth="1"/>
    <col min="49" max="49" width="14.453125" style="2" bestFit="1" customWidth="1"/>
    <col min="50" max="50" width="15.453125" style="1" bestFit="1" customWidth="1"/>
    <col min="51" max="51" width="14.81640625" style="3" bestFit="1" customWidth="1"/>
    <col min="52" max="52" width="11.81640625" style="3" bestFit="1" customWidth="1"/>
    <col min="53" max="54" width="11" style="4" bestFit="1" customWidth="1"/>
    <col min="55" max="55" width="18.81640625" style="4" bestFit="1" customWidth="1"/>
    <col min="56" max="56" width="21.1796875" style="4" bestFit="1" customWidth="1"/>
    <col min="57" max="57" width="11.453125" style="4" bestFit="1" customWidth="1"/>
    <col min="58" max="58" width="24.54296875" style="4" bestFit="1" customWidth="1"/>
    <col min="59" max="59" width="15.1796875" style="4" bestFit="1" customWidth="1"/>
    <col min="60" max="60" width="31" style="4" bestFit="1" customWidth="1"/>
    <col min="61" max="61" width="21.453125" style="4" bestFit="1" customWidth="1"/>
    <col min="62" max="63" width="21.453125" style="4" customWidth="1"/>
    <col min="64" max="64" width="13.1796875" style="4" bestFit="1" customWidth="1"/>
    <col min="65" max="65" width="11.26953125" style="2" bestFit="1" customWidth="1"/>
    <col min="66" max="66" width="12.453125" style="3" bestFit="1" customWidth="1"/>
    <col min="67" max="67" width="9.7265625" style="1" bestFit="1" customWidth="1"/>
    <col min="68" max="68" width="6.453125" style="1" bestFit="1" customWidth="1"/>
    <col min="69" max="16384" width="9.1796875" style="1"/>
  </cols>
  <sheetData>
    <row r="1" spans="1:70" ht="15.65" customHeight="1" x14ac:dyDescent="0.35">
      <c r="A1" s="48" t="s">
        <v>0</v>
      </c>
      <c r="B1" s="50" t="s">
        <v>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8"/>
      <c r="Q1" s="9"/>
      <c r="R1" s="9"/>
      <c r="S1" s="10"/>
      <c r="T1" s="52" t="s">
        <v>14</v>
      </c>
      <c r="U1" s="48" t="s">
        <v>17</v>
      </c>
      <c r="V1" s="48" t="s">
        <v>58</v>
      </c>
      <c r="W1" s="48" t="s">
        <v>59</v>
      </c>
      <c r="X1" s="48" t="s">
        <v>49</v>
      </c>
      <c r="Y1" s="48" t="s">
        <v>50</v>
      </c>
      <c r="Z1" s="48" t="s">
        <v>52</v>
      </c>
      <c r="AA1" s="48" t="s">
        <v>55</v>
      </c>
      <c r="AB1" s="48" t="s">
        <v>68</v>
      </c>
      <c r="AC1" s="48" t="s">
        <v>60</v>
      </c>
      <c r="AD1" s="46" t="s">
        <v>88</v>
      </c>
      <c r="AE1" s="46" t="s">
        <v>87</v>
      </c>
      <c r="AF1" s="50" t="s">
        <v>8</v>
      </c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2"/>
      <c r="AW1" s="50" t="s">
        <v>15</v>
      </c>
      <c r="AX1" s="51" t="s">
        <v>16</v>
      </c>
      <c r="AY1" s="52" t="s">
        <v>22</v>
      </c>
      <c r="AZ1" s="52" t="s">
        <v>17</v>
      </c>
      <c r="BA1" s="48" t="s">
        <v>62</v>
      </c>
      <c r="BB1" s="48" t="s">
        <v>61</v>
      </c>
      <c r="BC1" s="48" t="s">
        <v>49</v>
      </c>
      <c r="BD1" s="48" t="s">
        <v>50</v>
      </c>
      <c r="BE1" s="48" t="s">
        <v>52</v>
      </c>
      <c r="BF1" s="48" t="s">
        <v>63</v>
      </c>
      <c r="BG1" s="48" t="s">
        <v>64</v>
      </c>
      <c r="BH1" s="48" t="s">
        <v>68</v>
      </c>
      <c r="BI1" s="48" t="s">
        <v>60</v>
      </c>
      <c r="BJ1" s="46" t="s">
        <v>88</v>
      </c>
      <c r="BK1" s="46" t="s">
        <v>87</v>
      </c>
      <c r="BL1" s="48" t="s">
        <v>23</v>
      </c>
      <c r="BM1" s="50" t="s">
        <v>33</v>
      </c>
      <c r="BN1" s="52" t="s">
        <v>34</v>
      </c>
      <c r="BO1" s="11" t="s">
        <v>11</v>
      </c>
      <c r="BP1" s="11">
        <v>0.95</v>
      </c>
      <c r="BR1" s="1" t="s">
        <v>66</v>
      </c>
    </row>
    <row r="2" spans="1:70" ht="16" thickBot="1" x14ac:dyDescent="0.4">
      <c r="A2" s="49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5"/>
      <c r="U2" s="49"/>
      <c r="V2" s="49"/>
      <c r="W2" s="49"/>
      <c r="X2" s="49"/>
      <c r="Y2" s="49"/>
      <c r="Z2" s="49"/>
      <c r="AA2" s="49"/>
      <c r="AB2" s="49"/>
      <c r="AC2" s="49"/>
      <c r="AD2" s="47" t="s">
        <v>86</v>
      </c>
      <c r="AE2" s="47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3"/>
      <c r="AX2" s="54"/>
      <c r="AY2" s="55"/>
      <c r="AZ2" s="55"/>
      <c r="BA2" s="49"/>
      <c r="BB2" s="49"/>
      <c r="BC2" s="49"/>
      <c r="BD2" s="49"/>
      <c r="BE2" s="49"/>
      <c r="BF2" s="49"/>
      <c r="BG2" s="49"/>
      <c r="BH2" s="49"/>
      <c r="BI2" s="49"/>
      <c r="BJ2" s="47" t="s">
        <v>86</v>
      </c>
      <c r="BK2" s="47"/>
      <c r="BL2" s="49"/>
      <c r="BM2" s="53"/>
      <c r="BN2" s="55"/>
      <c r="BO2" s="11" t="s">
        <v>12</v>
      </c>
      <c r="BP2" s="11">
        <v>0.99</v>
      </c>
      <c r="BR2" s="1" t="s">
        <v>67</v>
      </c>
    </row>
    <row r="3" spans="1:70" s="71" customFormat="1" x14ac:dyDescent="0.35">
      <c r="A3" s="64">
        <v>-29</v>
      </c>
      <c r="B3" s="65" t="e">
        <f>0.151140511695727*[56]syngas_streams_zaryad!$E$2</f>
        <v>#REF!</v>
      </c>
      <c r="C3" s="65">
        <f>[20]gas_streams_zaryad!$E$13</f>
        <v>0.71119697718562724</v>
      </c>
      <c r="D3" s="66">
        <f>[20]electric_zaryad!$E$5</f>
        <v>30.47714394085261</v>
      </c>
      <c r="E3" s="66">
        <f>[20]GTU_input_zaryad!$B$3</f>
        <v>0.69675929966999617</v>
      </c>
      <c r="F3" s="66">
        <f>[20]electric_zaryad!$C$5</f>
        <v>115.4251455833316</v>
      </c>
      <c r="G3" s="66">
        <f>[20]electric_zaryad!$B$7</f>
        <v>31.0026061532459</v>
      </c>
      <c r="H3" s="66">
        <f>[20]electric_zaryad!$C$12</f>
        <v>4.5471052768506118E-2</v>
      </c>
      <c r="I3" s="66">
        <f>[20]electric_zaryad!$C$6</f>
        <v>6.1947937343316832</v>
      </c>
      <c r="J3" s="66">
        <f>[20]electric_zaryad!$C$2</f>
        <v>2.5903467147276968</v>
      </c>
      <c r="K3" s="66">
        <f>[20]heaters_zaryad!$B$9</f>
        <v>95.690187064317669</v>
      </c>
      <c r="L3" s="66">
        <f>[20]heaters_zaryad!$B$8</f>
        <v>17.247831977501018</v>
      </c>
      <c r="M3" s="66">
        <f>[20]heaters_zaryad!$B$10</f>
        <v>7.8354259874629522</v>
      </c>
      <c r="N3" s="66">
        <f t="shared" ref="N3:N10" si="0">K3+L3+M3</f>
        <v>120.77344502928165</v>
      </c>
      <c r="O3" s="66">
        <f>[20]heaters_zaryad!$B$17/1000</f>
        <v>36.441166432105838</v>
      </c>
      <c r="P3" s="67">
        <f>[20]heaters_zaryad!$B$11/1000</f>
        <v>34.590798215383657</v>
      </c>
      <c r="Q3" s="66">
        <f>[20]gas_streams_zaryad!$E$4</f>
        <v>13.652983569159071</v>
      </c>
      <c r="R3" s="66">
        <f>[2]!PropsSI("H","P",[20]gas_streams_zaryad!$C$4*10^6,"T",[20]gas_streams_zaryad!$B$4+273.15,"REFPROP::"&amp;[2]!MixtureString($R$16:$R$20,$S$16:$S$20))/1000-[2]!PropsSI("H","P",[20]gas_streams_zaryad!$C$4*10^6,"T",S13+273.15,"REFPROP::"&amp;[2]!MixtureString($R$16:$R$20,$S$16:$S$20))/1000</f>
        <v>1246.7674708223194</v>
      </c>
      <c r="S3" s="68">
        <f t="shared" ref="S3:S10" si="1">R3*Q3/1000</f>
        <v>17.02209579369914</v>
      </c>
      <c r="T3" s="66">
        <f t="shared" ref="T3:T11" si="2">F3+G3*$BP$2*$BP$3-H3/$BP$1/$BP$2-I3-J3/$BP$1/$BP$2</f>
        <v>136.50650961320528</v>
      </c>
      <c r="U3" s="64">
        <f>N3+O3</f>
        <v>157.21461146138748</v>
      </c>
      <c r="V3" s="64">
        <f>C3*$R$14</f>
        <v>35.70208825471849</v>
      </c>
      <c r="W3" s="64" t="e">
        <f t="shared" ref="W3:W11" si="3">B3*$R$14</f>
        <v>#REF!</v>
      </c>
      <c r="X3" s="69">
        <f t="shared" ref="X3:X9" si="4">T3/((100*F3)/D3-N3)</f>
        <v>0.52919044716064079</v>
      </c>
      <c r="Y3" s="69">
        <f t="shared" ref="Y3:Y11" si="5">T3/((100*F3)/D3-N3-P3+S3)</f>
        <v>0.5678667317214352</v>
      </c>
      <c r="Z3" s="69">
        <f t="shared" ref="Z3:Z10" si="6">(T3+P3+N3)/((100*F3)/D3+S3)</f>
        <v>0.737514809618244</v>
      </c>
      <c r="AA3" s="69" t="e">
        <f t="shared" ref="AA3:AA11" si="7">(AF3+AG3)*AH3/(V3+W3-O3-S3+P3)</f>
        <v>#REF!</v>
      </c>
      <c r="AB3" s="69" t="e">
        <f t="shared" ref="AB3:AB11" si="8">(T3)/((100*F3)/D3+$R$14*(B3+C3)-(AF3+AG3)*AH3-U3)</f>
        <v>#REF!</v>
      </c>
      <c r="AC3" s="69" t="e">
        <f t="shared" ref="AC3:AC11" si="9">((AF3+AG3)*AH3+U3+T3)/((100*F3)/D3+$R$14*(B3+C3))</f>
        <v>#REF!</v>
      </c>
      <c r="AD3" s="64" t="e">
        <f>(100*F3)/D3+$R$14*(B3+C3)</f>
        <v>#REF!</v>
      </c>
      <c r="AE3" s="64" t="e">
        <f>AD3/$R$14</f>
        <v>#REF!</v>
      </c>
      <c r="AF3" s="65">
        <f>[20]syngas_streams_razryad!$E$10</f>
        <v>1.0811111111111109</v>
      </c>
      <c r="AG3" s="65">
        <f>[20]syngas_streams_razryad!$E$9</f>
        <v>3.2997870354208629</v>
      </c>
      <c r="AH3" s="66">
        <f>[20]accumulation_razryad!$E$3</f>
        <v>23.54273504191962</v>
      </c>
      <c r="AI3" s="66">
        <f>[20]electric_razryad!$E$5</f>
        <v>34.07583168780608</v>
      </c>
      <c r="AJ3" s="66">
        <f>[20]GTU_input_razryad!$B$3</f>
        <v>1</v>
      </c>
      <c r="AK3" s="66">
        <f>[20]electric_razryad!$C$5</f>
        <v>165.66</v>
      </c>
      <c r="AL3" s="66">
        <f>[20]electric_razryad!$B$7</f>
        <v>54.336217415950678</v>
      </c>
      <c r="AM3" s="66">
        <f>[20]electric_razryad!$C$12</f>
        <v>0.24566596349945991</v>
      </c>
      <c r="AN3" s="66">
        <f>[20]electric_razryad!$C$6</f>
        <v>6.3013810203264402</v>
      </c>
      <c r="AO3" s="66">
        <f>[20]electric_razryad!$C$2</f>
        <v>1.175930534514412</v>
      </c>
      <c r="AP3" s="66">
        <f>[20]electric_razryad!$B$13</f>
        <v>46778.792791445863</v>
      </c>
      <c r="AQ3" s="66">
        <f>[20]electric_razryad!$B$14</f>
        <v>70193.160472000105</v>
      </c>
      <c r="AR3" s="66">
        <f>[20]heaters_razryad!$B$9</f>
        <v>87.768446094812475</v>
      </c>
      <c r="AS3" s="66">
        <f>[20]heaters_razryad!$B$8</f>
        <v>28.210242700696661</v>
      </c>
      <c r="AT3" s="66">
        <f>[20]heaters_razryad!$B$10</f>
        <v>7.374022736010188</v>
      </c>
      <c r="AU3" s="66">
        <f t="shared" ref="AU3:AU10" si="10">AT3+AS3+AR3</f>
        <v>123.35271153151933</v>
      </c>
      <c r="AV3" s="66">
        <f>[20]heaters_razryad!$B$18/1000</f>
        <v>33.847514915620501</v>
      </c>
      <c r="AW3" s="67">
        <f>AK3+AL3*$BP$2*$BP$3-AM3/$BP$1/$BP$2-AN3-AO3/$BP$1/$BP$2</f>
        <v>210.56408442336587</v>
      </c>
      <c r="AX3" s="66">
        <f t="shared" ref="AX3:AX11" si="11">(-AP3/1000/$BP$2+AQ3/1000)*$BP$2*$BP$3</f>
        <v>22.258187354317553</v>
      </c>
      <c r="AY3" s="68">
        <f t="shared" ref="AY3:AY11" si="12">AW3+AX3</f>
        <v>232.82227177768343</v>
      </c>
      <c r="AZ3" s="68">
        <f t="shared" ref="AZ3:AZ10" si="13">AU3+AV3</f>
        <v>157.20022644713984</v>
      </c>
      <c r="BA3" s="64">
        <f>(100*AK3)/AI3</f>
        <v>486.15101024601216</v>
      </c>
      <c r="BB3" s="64">
        <f>AG3*AH3</f>
        <v>77.686011869674815</v>
      </c>
      <c r="BC3" s="69">
        <f t="shared" ref="BC3:BC11" si="14">AW3/((100*AK3)/AI3-AU3)</f>
        <v>0.58038884187015183</v>
      </c>
      <c r="BD3" s="69">
        <f>AW3/(BA3-AU3)</f>
        <v>0.58038884187015183</v>
      </c>
      <c r="BE3" s="69">
        <f>(AW3+AU3)/(BA3)</f>
        <v>0.68685817558192408</v>
      </c>
      <c r="BF3" s="69">
        <f>AX3/(BB3-AV3)</f>
        <v>0.5077315350853755</v>
      </c>
      <c r="BG3" s="69">
        <f>(AX3+AV3)/(BB3)</f>
        <v>0.72221112809935906</v>
      </c>
      <c r="BH3" s="69">
        <f>AY3/(BB3+BA3-AZ3)</f>
        <v>0.57255583916084829</v>
      </c>
      <c r="BI3" s="69">
        <f>(AY3+AZ3)/(BA3+BB3)</f>
        <v>0.69172913967468996</v>
      </c>
      <c r="BJ3" s="64">
        <f>BA3-AF3*AH3</f>
        <v>460.69869780624794</v>
      </c>
      <c r="BK3" s="64">
        <f>BJ3/$R$14</f>
        <v>9.1772648965388033</v>
      </c>
      <c r="BL3" s="64">
        <f t="shared" ref="BL3:BL11" si="15">ABS(AZ3-U3)/U3*100</f>
        <v>9.14992195313203E-3</v>
      </c>
      <c r="BM3" s="67">
        <f>T3-'Без ПКМ'!B3</f>
        <v>-38.557745891908979</v>
      </c>
      <c r="BN3" s="68">
        <f>AY3-'Без ПКМ'!H3</f>
        <v>27.684582188773248</v>
      </c>
      <c r="BO3" s="70" t="s">
        <v>13</v>
      </c>
      <c r="BP3" s="70">
        <v>0.98</v>
      </c>
      <c r="BR3" s="71" t="s">
        <v>65</v>
      </c>
    </row>
    <row r="4" spans="1:70" s="71" customFormat="1" x14ac:dyDescent="0.35">
      <c r="A4" s="64">
        <v>-25</v>
      </c>
      <c r="B4" s="65">
        <f>0.151140511695727*[55]syngas_streams_zaryad!$E$2</f>
        <v>3.1670834447206282</v>
      </c>
      <c r="C4" s="65">
        <f>[55]gas_streams_zaryad!$E$13</f>
        <v>1.2348264096652879</v>
      </c>
      <c r="D4" s="66">
        <f>[55]electric_zaryad!$E$5</f>
        <v>29.631567138217719</v>
      </c>
      <c r="E4" s="66">
        <f>[55]GTU_input_zaryad!$B$3</f>
        <v>0.62504579743630484</v>
      </c>
      <c r="F4" s="66">
        <f>[55]electric_zaryad!$C$5</f>
        <v>103.5450868032983</v>
      </c>
      <c r="G4" s="66">
        <f>[55]electric_zaryad!$B$7</f>
        <v>24.221456545602379</v>
      </c>
      <c r="H4" s="66">
        <f>[55]electric_zaryad!$C$12</f>
        <v>4.1995889352767608E-2</v>
      </c>
      <c r="I4" s="66">
        <f>[55]electric_zaryad!$C$6</f>
        <v>6.1695868687494926</v>
      </c>
      <c r="J4" s="66">
        <f>[55]electric_zaryad!$C$2</f>
        <v>2.3543463520123908</v>
      </c>
      <c r="K4" s="66">
        <f>[55]heaters_zaryad!$B$9</f>
        <v>83.288372658399922</v>
      </c>
      <c r="L4" s="66">
        <f>[55]heaters_zaryad!$B$8</f>
        <v>11.34712348816668</v>
      </c>
      <c r="M4" s="66">
        <f>[55]heaters_zaryad!$B$10</f>
        <v>6.827950691641778</v>
      </c>
      <c r="N4" s="66">
        <f t="shared" si="0"/>
        <v>101.46344683820837</v>
      </c>
      <c r="O4" s="66">
        <f>[55]heaters_zaryad!$B$17/1000</f>
        <v>62.476493834040113</v>
      </c>
      <c r="P4" s="67">
        <f>[55]heaters_zaryad!$B$11/1000</f>
        <v>60.845742758619785</v>
      </c>
      <c r="Q4" s="66">
        <f>[55]gas_streams_zaryad!$E$4</f>
        <v>23.705197326117901</v>
      </c>
      <c r="R4" s="66">
        <f>[2]!PropsSI("H","P",[55]gas_streams_zaryad!$C$4*10^6,"T",[55]gas_streams_zaryad!$B$4+273.15,"REFPROP::"&amp;[2]!MixtureString($R$16:$R$20,$S$16:$S$20))/1000-[2]!PropsSI("H","P",[55]gas_streams_zaryad!$C$4*10^6,"T",R14+273.15,"REFPROP::"&amp;[2]!MixtureString($R$16:$R$20,$S$16:$S$20))/1000</f>
        <v>1005.1820610676375</v>
      </c>
      <c r="S4" s="68">
        <f t="shared" si="1"/>
        <v>23.82803910628224</v>
      </c>
      <c r="T4" s="66">
        <f t="shared" si="2"/>
        <v>118.3272121081968</v>
      </c>
      <c r="U4" s="64">
        <f t="shared" ref="U4:U10" si="16">N4+O4</f>
        <v>163.9399406722485</v>
      </c>
      <c r="V4" s="64">
        <f t="shared" ref="V4:V11" si="17">C4*$R$14</f>
        <v>61.988285765197453</v>
      </c>
      <c r="W4" s="64">
        <f t="shared" si="3"/>
        <v>158.98758892497554</v>
      </c>
      <c r="X4" s="69">
        <f t="shared" si="4"/>
        <v>0.47716747119974806</v>
      </c>
      <c r="Y4" s="69">
        <f t="shared" si="5"/>
        <v>0.56089703216483056</v>
      </c>
      <c r="Z4" s="69">
        <f t="shared" si="6"/>
        <v>0.75183247892163385</v>
      </c>
      <c r="AA4" s="69">
        <f t="shared" si="7"/>
        <v>0.92315240888168371</v>
      </c>
      <c r="AB4" s="69">
        <f t="shared" si="8"/>
        <v>0.52360490254208947</v>
      </c>
      <c r="AC4" s="69">
        <f t="shared" si="9"/>
        <v>0.81126379238129043</v>
      </c>
      <c r="AD4" s="64">
        <f t="shared" ref="AD4:AD11" si="18">(100*F4)/D4+$R$14*(B4+C4)</f>
        <v>570.41769233116315</v>
      </c>
      <c r="AE4" s="64">
        <f t="shared" ref="AE4:AE11" si="19">AD4/$R$14</f>
        <v>11.362902237672571</v>
      </c>
      <c r="AF4" s="65">
        <f>[55]syngas_streams_razryad!$E$10</f>
        <v>1.0811111111111109</v>
      </c>
      <c r="AG4" s="65">
        <f>[55]syngas_streams_razryad!$E$9</f>
        <v>6.5895018458730323</v>
      </c>
      <c r="AH4" s="66">
        <f>[55]accumulation_razryad!$E$3</f>
        <v>23.530331741895409</v>
      </c>
      <c r="AI4" s="66">
        <f>[55]electric_razryad!$E$5</f>
        <v>34.082383064645562</v>
      </c>
      <c r="AJ4" s="66">
        <f>[55]GTU_input_razryad!$B$3</f>
        <v>1</v>
      </c>
      <c r="AK4" s="66">
        <f>[55]electric_razryad!$C$5</f>
        <v>165.66</v>
      </c>
      <c r="AL4" s="66">
        <f>[55]electric_razryad!$B$7</f>
        <v>61.025467027589293</v>
      </c>
      <c r="AM4" s="66">
        <f>[55]electric_razryad!$C$12</f>
        <v>0.36108020273718222</v>
      </c>
      <c r="AN4" s="66">
        <f>[55]electric_razryad!$C$6</f>
        <v>6.3013810203264402</v>
      </c>
      <c r="AO4" s="66">
        <f>[55]electric_razryad!$C$2</f>
        <v>1.08056876539303</v>
      </c>
      <c r="AP4" s="66">
        <f>[55]electric_razryad!$B$13</f>
        <v>93749.526669200117</v>
      </c>
      <c r="AQ4" s="66">
        <f>[55]electric_razryad!$B$14</f>
        <v>140651.46069193369</v>
      </c>
      <c r="AR4" s="66">
        <f>[55]heaters_razryad!$B$9</f>
        <v>66.626445375085538</v>
      </c>
      <c r="AS4" s="66">
        <f>[55]heaters_razryad!$B$8</f>
        <v>23.268269867580251</v>
      </c>
      <c r="AT4" s="66">
        <f>[55]heaters_razryad!$B$10</f>
        <v>5.6435972279781206</v>
      </c>
      <c r="AU4" s="66">
        <f t="shared" si="10"/>
        <v>95.538312470643916</v>
      </c>
      <c r="AV4" s="66">
        <f>[55]heaters_razryad!$B$18/1000</f>
        <v>68.433370340526878</v>
      </c>
      <c r="AW4" s="67">
        <f t="shared" ref="AW4:AW11" si="20">AK4+AL4*$BP$2*$BP$3-AM4/$BP$1/$BP$2-AN4-AO4/$BP$1/$BP$2</f>
        <v>217.03267332255709</v>
      </c>
      <c r="AX4" s="66">
        <f t="shared" si="11"/>
        <v>44.585511027497951</v>
      </c>
      <c r="AY4" s="68">
        <f t="shared" si="12"/>
        <v>261.61818435005506</v>
      </c>
      <c r="AZ4" s="68">
        <f t="shared" si="13"/>
        <v>163.97168281117081</v>
      </c>
      <c r="BA4" s="64">
        <f t="shared" ref="BA4:BA11" si="21">(100*AK4)/AI4</f>
        <v>486.0575614263397</v>
      </c>
      <c r="BB4" s="64">
        <f t="shared" ref="BB4:BB11" si="22">AG4*AH4</f>
        <v>155.05316444722462</v>
      </c>
      <c r="BC4" s="69">
        <f t="shared" si="14"/>
        <v>0.555754098941175</v>
      </c>
      <c r="BD4" s="69">
        <f t="shared" ref="BD4:BD11" si="23">AW4/(BA4-AU4)</f>
        <v>0.555754098941175</v>
      </c>
      <c r="BE4" s="69">
        <f t="shared" ref="BE4:BE11" si="24">(AW4+AU4)/(BA4)</f>
        <v>0.64307401139066533</v>
      </c>
      <c r="BF4" s="69">
        <f t="shared" ref="BF4:BF11" si="25">AX4/(BB4-AV4)</f>
        <v>0.51472658746542144</v>
      </c>
      <c r="BG4" s="69">
        <f t="shared" ref="BG4:BG11" si="26">(AX4+AV4)/(BB4)</f>
        <v>0.72890406184836698</v>
      </c>
      <c r="BH4" s="69">
        <f t="shared" ref="BH4:BH11" si="27">AY4/(BB4+BA4-AZ4)</f>
        <v>0.54830596689578459</v>
      </c>
      <c r="BI4" s="69">
        <f t="shared" ref="BI4:BI11" si="28">(AY4+AZ4)/(BA4+BB4)</f>
        <v>0.66383208077095557</v>
      </c>
      <c r="BJ4" s="64">
        <f t="shared" ref="BJ4:BJ11" si="29">BA4-AF4*AH4</f>
        <v>460.6186583320461</v>
      </c>
      <c r="BK4" s="64">
        <f t="shared" ref="BK4:BK11" si="30">BJ4/$R$14</f>
        <v>9.1756704847021133</v>
      </c>
      <c r="BL4" s="64">
        <f t="shared" si="15"/>
        <v>1.9362053439906258E-2</v>
      </c>
      <c r="BM4" s="67">
        <f>T4-'Без ПКМ'!B4</f>
        <v>-69.130008563552266</v>
      </c>
      <c r="BN4" s="68">
        <f>AY4-'Без ПКМ'!H4</f>
        <v>56.490072345440524</v>
      </c>
      <c r="BO4" s="66" t="s">
        <v>28</v>
      </c>
      <c r="BP4" s="66">
        <v>50.2</v>
      </c>
      <c r="BR4" s="71" t="s">
        <v>31</v>
      </c>
    </row>
    <row r="5" spans="1:70" s="71" customFormat="1" x14ac:dyDescent="0.35">
      <c r="A5" s="64">
        <v>-20</v>
      </c>
      <c r="B5" s="65">
        <f>0.151140511695727*[52]syngas_streams_zaryad!$E$2</f>
        <v>3.167058804038088</v>
      </c>
      <c r="C5" s="65">
        <f>[52]gas_streams_zaryad!$E$13</f>
        <v>1.23541101988292</v>
      </c>
      <c r="D5" s="66">
        <f>[52]electric_zaryad!$E$5</f>
        <v>30.020086039722081</v>
      </c>
      <c r="E5" s="66">
        <f>[52]GTU_input_zaryad!$B$3</f>
        <v>0.65798929781902338</v>
      </c>
      <c r="F5" s="66">
        <f>[52]electric_zaryad!$C$5</f>
        <v>109.0025070766994</v>
      </c>
      <c r="G5" s="66">
        <f>[52]electric_zaryad!$B$7</f>
        <v>26.536631305761752</v>
      </c>
      <c r="H5" s="66">
        <f>[52]electric_zaryad!$C$12</f>
        <v>4.3845592482974913E-2</v>
      </c>
      <c r="I5" s="66">
        <f>[52]electric_zaryad!$C$6</f>
        <v>6.1811663113940316</v>
      </c>
      <c r="J5" s="66">
        <f>[52]electric_zaryad!$C$2</f>
        <v>2.3587016649553161</v>
      </c>
      <c r="K5" s="66">
        <f>[52]heaters_zaryad!$B$9</f>
        <v>84.605265115578831</v>
      </c>
      <c r="L5" s="66">
        <f>[52]heaters_zaryad!$B$8</f>
        <v>13.648196922705869</v>
      </c>
      <c r="M5" s="66">
        <f>[52]heaters_zaryad!$B$10</f>
        <v>7.1003973595318524</v>
      </c>
      <c r="N5" s="66">
        <f t="shared" si="0"/>
        <v>105.35385939781655</v>
      </c>
      <c r="O5" s="66">
        <f>[52]heaters_zaryad!$B$17/1000</f>
        <v>63.238721297742138</v>
      </c>
      <c r="P5" s="67">
        <f>[52]heaters_zaryad!$B$11/1000</f>
        <v>60.826331775370448</v>
      </c>
      <c r="Q5" s="66">
        <f>[52]gas_streams_zaryad!$E$4</f>
        <v>23.716420199599838</v>
      </c>
      <c r="R5" s="66">
        <f>[2]!PropsSI("H","P",[52]gas_streams_zaryad!$C$4*10^6,"T",[52]gas_streams_zaryad!$B$4+273.15,"REFPROP::"&amp;[2]!MixtureString($R$16:$R$20,$S$16:$S$20))/1000-[2]!PropsSI("H","P",[52]gas_streams_zaryad!$C$4*10^6,"T",S15+273.15,"REFPROP::"&amp;[2]!MixtureString($R$16:$R$20,$S$16:$S$20))/1000</f>
        <v>1246.7674708223194</v>
      </c>
      <c r="S5" s="68">
        <f t="shared" si="1"/>
        <v>29.568861229214455</v>
      </c>
      <c r="T5" s="66">
        <f t="shared" si="2"/>
        <v>126.0126379196777</v>
      </c>
      <c r="U5" s="64">
        <f t="shared" si="16"/>
        <v>168.59258069555869</v>
      </c>
      <c r="V5" s="64">
        <f t="shared" si="17"/>
        <v>62.017633198122589</v>
      </c>
      <c r="W5" s="64">
        <f t="shared" si="3"/>
        <v>158.98635196271204</v>
      </c>
      <c r="X5" s="69">
        <f t="shared" si="4"/>
        <v>0.48890482053464301</v>
      </c>
      <c r="Y5" s="69">
        <f t="shared" si="5"/>
        <v>0.55637849867789968</v>
      </c>
      <c r="Z5" s="69">
        <f t="shared" si="6"/>
        <v>0.74412287868628935</v>
      </c>
      <c r="AA5" s="69">
        <f t="shared" si="7"/>
        <v>0.95486962510413875</v>
      </c>
      <c r="AB5" s="69">
        <f t="shared" si="8"/>
        <v>0.53618310411951053</v>
      </c>
      <c r="AC5" s="69">
        <f t="shared" si="9"/>
        <v>0.81337989578487069</v>
      </c>
      <c r="AD5" s="64">
        <f t="shared" si="18"/>
        <v>584.102568331013</v>
      </c>
      <c r="AE5" s="64">
        <f t="shared" si="19"/>
        <v>11.635509329303048</v>
      </c>
      <c r="AF5" s="65">
        <f>[52]syngas_streams_razryad!$E$10</f>
        <v>1.0811111111111109</v>
      </c>
      <c r="AG5" s="65">
        <f>[52]syngas_streams_razryad!$E$9</f>
        <v>6.5929248318381477</v>
      </c>
      <c r="AH5" s="66">
        <f>[52]accumulation_razryad!$E$3</f>
        <v>23.51983609190032</v>
      </c>
      <c r="AI5" s="66">
        <f>[52]electric_razryad!$E$5</f>
        <v>34.091218921592109</v>
      </c>
      <c r="AJ5" s="66">
        <f>[52]GTU_input_razryad!$B$3</f>
        <v>1</v>
      </c>
      <c r="AK5" s="66">
        <f>[52]electric_razryad!$C$5</f>
        <v>165.66</v>
      </c>
      <c r="AL5" s="66">
        <f>[52]electric_razryad!$B$7</f>
        <v>62.46807994081027</v>
      </c>
      <c r="AM5" s="66">
        <f>[52]electric_razryad!$C$12</f>
        <v>0.35133211771237471</v>
      </c>
      <c r="AN5" s="66">
        <f>[52]electric_razryad!$C$6</f>
        <v>6.3013810203264402</v>
      </c>
      <c r="AO5" s="66">
        <f>[52]electric_razryad!$C$2</f>
        <v>0.95622764418658213</v>
      </c>
      <c r="AP5" s="66">
        <f>[52]electric_razryad!$B$13</f>
        <v>93806.779342823676</v>
      </c>
      <c r="AQ5" s="66">
        <f>[52]electric_razryad!$B$14</f>
        <v>140736.4234641658</v>
      </c>
      <c r="AR5" s="66">
        <f>[52]heaters_razryad!$B$9</f>
        <v>65.34297208175029</v>
      </c>
      <c r="AS5" s="66">
        <f>[52]heaters_razryad!$B$8</f>
        <v>27.67888347015182</v>
      </c>
      <c r="AT5" s="66">
        <f>[52]heaters_razryad!$B$10</f>
        <v>5.6484741682837507</v>
      </c>
      <c r="AU5" s="66">
        <f t="shared" si="10"/>
        <v>98.670329720185862</v>
      </c>
      <c r="AV5" s="66">
        <f>[52]heaters_razryad!$B$18/1000</f>
        <v>69.951461183647197</v>
      </c>
      <c r="AW5" s="67">
        <f t="shared" si="20"/>
        <v>218.5748686263934</v>
      </c>
      <c r="AX5" s="66">
        <f t="shared" si="11"/>
        <v>44.611834288966442</v>
      </c>
      <c r="AY5" s="68">
        <f t="shared" si="12"/>
        <v>263.18670291535983</v>
      </c>
      <c r="AZ5" s="68">
        <f t="shared" si="13"/>
        <v>168.62179090383307</v>
      </c>
      <c r="BA5" s="64">
        <f t="shared" si="21"/>
        <v>485.93158367557555</v>
      </c>
      <c r="BB5" s="64">
        <f t="shared" si="22"/>
        <v>155.06451141105271</v>
      </c>
      <c r="BC5" s="69">
        <f t="shared" si="14"/>
        <v>0.56441192191040102</v>
      </c>
      <c r="BD5" s="69">
        <f t="shared" si="23"/>
        <v>0.56441192191040102</v>
      </c>
      <c r="BE5" s="69">
        <f t="shared" si="24"/>
        <v>0.652859803733982</v>
      </c>
      <c r="BF5" s="69">
        <f t="shared" si="25"/>
        <v>0.5241479910515755</v>
      </c>
      <c r="BG5" s="69">
        <f t="shared" si="26"/>
        <v>0.73881054040097915</v>
      </c>
      <c r="BH5" s="69">
        <f t="shared" si="27"/>
        <v>0.55715711160595693</v>
      </c>
      <c r="BI5" s="69">
        <f t="shared" si="28"/>
        <v>0.67365230011398991</v>
      </c>
      <c r="BJ5" s="64">
        <f t="shared" si="29"/>
        <v>460.50402754510998</v>
      </c>
      <c r="BK5" s="64">
        <f t="shared" si="30"/>
        <v>9.173387002890637</v>
      </c>
      <c r="BL5" s="64">
        <f t="shared" si="15"/>
        <v>1.7325915620880962E-2</v>
      </c>
      <c r="BM5" s="67">
        <f>T5-'Без ПКМ'!B5</f>
        <v>-71.839389079694939</v>
      </c>
      <c r="BN5" s="68">
        <f>AY5-'Без ПКМ'!H5</f>
        <v>56.237343404014808</v>
      </c>
      <c r="BO5" s="66"/>
      <c r="BP5" s="66"/>
    </row>
    <row r="6" spans="1:70" x14ac:dyDescent="0.35">
      <c r="A6" s="16">
        <v>-15</v>
      </c>
      <c r="B6" s="7">
        <f>0.151140511695727*[46]syngas_streams_zaryad!$E$2</f>
        <v>3.1670545196869417</v>
      </c>
      <c r="C6" s="7">
        <f>[46]gas_streams_zaryad!$E$13</f>
        <v>1.2343029426076539</v>
      </c>
      <c r="D6" s="17">
        <f>[46]electric_zaryad!$E$5</f>
        <v>29.91661462835377</v>
      </c>
      <c r="E6" s="17">
        <f>[46]GTU_input_zaryad!$B$3</f>
        <v>0.64887820143372965</v>
      </c>
      <c r="F6" s="17">
        <f>[46]electric_zaryad!$C$5</f>
        <v>107.49316284951161</v>
      </c>
      <c r="G6" s="17">
        <f>[46]electric_zaryad!$B$7</f>
        <v>28.016923549419211</v>
      </c>
      <c r="H6" s="17">
        <f>[46]electric_zaryad!$C$12</f>
        <v>4.5232163947190318E-2</v>
      </c>
      <c r="I6" s="17">
        <f>[46]electric_zaryad!$C$6</f>
        <v>6.1779638157030234</v>
      </c>
      <c r="J6" s="17">
        <f>[46]electric_zaryad!$C$2</f>
        <v>2.3583295545065099</v>
      </c>
      <c r="K6" s="17">
        <f>[46]heaters_zaryad!$B$9</f>
        <v>81.54902794665766</v>
      </c>
      <c r="L6" s="17">
        <f>[46]heaters_zaryad!$B$8</f>
        <v>16.273313976424379</v>
      </c>
      <c r="M6" s="17">
        <f>[46]heaters_zaryad!$B$10</f>
        <v>6.8487900932102717</v>
      </c>
      <c r="N6" s="17">
        <f t="shared" si="0"/>
        <v>104.6711320162923</v>
      </c>
      <c r="O6" s="17">
        <f>[46]heaters_zaryad!$B$17/1000</f>
        <v>63.668215757489477</v>
      </c>
      <c r="P6" s="18">
        <f>[46]heaters_zaryad!$B$11/1000</f>
        <v>60.861510422990015</v>
      </c>
      <c r="Q6" s="17">
        <f>[46]gas_streams_zaryad!$E$4</f>
        <v>23.695148229501719</v>
      </c>
      <c r="R6" s="17">
        <f>[2]!PropsSI("H","P",[46]gas_streams_zaryad!$C$4*10^6,"T",[46]gas_streams_zaryad!$B$4+273.15,"REFPROP::"&amp;[2]!MixtureString($R$16:$R$20,$S$16:$S$20))/1000-[2]!PropsSI("H","P",[46]gas_streams_zaryad!$C$4*10^6,"T",S16+273.15,"REFPROP::"&amp;[2]!MixtureString($R$16:$R$20,$S$16:$S$20))/1000</f>
        <v>1245.3598293915852</v>
      </c>
      <c r="S6" s="19">
        <f t="shared" si="1"/>
        <v>29.508985756500586</v>
      </c>
      <c r="T6" s="17">
        <f t="shared" si="2"/>
        <v>125.94159708287592</v>
      </c>
      <c r="U6" s="16">
        <f t="shared" si="16"/>
        <v>168.33934777378178</v>
      </c>
      <c r="V6" s="16">
        <f t="shared" si="17"/>
        <v>61.962007718904232</v>
      </c>
      <c r="W6" s="16">
        <f t="shared" si="3"/>
        <v>158.98613688828448</v>
      </c>
      <c r="X6" s="20">
        <f t="shared" si="4"/>
        <v>0.49459051691776118</v>
      </c>
      <c r="Y6" s="20">
        <f t="shared" si="5"/>
        <v>0.56403817512141063</v>
      </c>
      <c r="Z6" s="20">
        <f t="shared" si="6"/>
        <v>0.74964138693802251</v>
      </c>
      <c r="AA6" s="20">
        <f t="shared" si="7"/>
        <v>0.95684525211367277</v>
      </c>
      <c r="AB6" s="20">
        <f t="shared" si="8"/>
        <v>0.54419818776630802</v>
      </c>
      <c r="AC6" s="20">
        <f t="shared" si="9"/>
        <v>0.81821105425015139</v>
      </c>
      <c r="AD6" s="16">
        <f t="shared" si="18"/>
        <v>580.25739194306175</v>
      </c>
      <c r="AE6" s="16">
        <f t="shared" si="19"/>
        <v>11.55891219010083</v>
      </c>
      <c r="AF6" s="7">
        <f>[46]syngas_streams_razryad!$E$10</f>
        <v>1.0811111111111109</v>
      </c>
      <c r="AG6" s="7">
        <f>[46]syngas_streams_razryad!$E$9</f>
        <v>6.5968115638008449</v>
      </c>
      <c r="AH6" s="17">
        <f>[46]accumulation_razryad!$E$3</f>
        <v>23.507929837752361</v>
      </c>
      <c r="AI6" s="17">
        <f>[46]electric_razryad!$E$5</f>
        <v>34.094845350390223</v>
      </c>
      <c r="AJ6" s="17">
        <f>[46]GTU_input_razryad!$B$3</f>
        <v>1</v>
      </c>
      <c r="AK6" s="17">
        <f>[46]electric_razryad!$C$5</f>
        <v>165.66</v>
      </c>
      <c r="AL6" s="17">
        <f>[46]electric_razryad!$B$7</f>
        <v>65.724446631379521</v>
      </c>
      <c r="AM6" s="17">
        <f>[46]electric_razryad!$C$12</f>
        <v>0.36118689198631682</v>
      </c>
      <c r="AN6" s="17">
        <f>[46]electric_razryad!$C$6</f>
        <v>6.3013810203264402</v>
      </c>
      <c r="AO6" s="17">
        <f>[46]electric_razryad!$C$2</f>
        <v>0.83295077774145942</v>
      </c>
      <c r="AP6" s="17">
        <f>[46]electric_razryad!$B$13</f>
        <v>93864.574577340318</v>
      </c>
      <c r="AQ6" s="17">
        <f>[46]electric_razryad!$B$14</f>
        <v>140822.5557915073</v>
      </c>
      <c r="AR6" s="17">
        <f>[46]heaters_razryad!$B$9</f>
        <v>56.87479104375047</v>
      </c>
      <c r="AS6" s="17">
        <f>[46]heaters_razryad!$B$8</f>
        <v>35.109835830307183</v>
      </c>
      <c r="AT6" s="17">
        <f>[46]heaters_razryad!$B$10</f>
        <v>4.908946589467523</v>
      </c>
      <c r="AU6" s="17">
        <f t="shared" si="10"/>
        <v>96.893573463525172</v>
      </c>
      <c r="AV6" s="17">
        <f>[46]heaters_razryad!$B$18/1000</f>
        <v>71.471237035856703</v>
      </c>
      <c r="AW6" s="18">
        <f t="shared" si="20"/>
        <v>221.8547932420783</v>
      </c>
      <c r="AX6" s="17">
        <f t="shared" si="11"/>
        <v>44.638760543126885</v>
      </c>
      <c r="AY6" s="19">
        <f t="shared" si="12"/>
        <v>266.49355378520517</v>
      </c>
      <c r="AZ6" s="19">
        <f t="shared" si="13"/>
        <v>168.36481049938186</v>
      </c>
      <c r="BA6" s="16">
        <f t="shared" si="21"/>
        <v>485.87989855218387</v>
      </c>
      <c r="BB6" s="16">
        <f t="shared" si="22"/>
        <v>155.0773833947037</v>
      </c>
      <c r="BC6" s="20">
        <f t="shared" si="14"/>
        <v>0.57034085501980725</v>
      </c>
      <c r="BD6" s="20">
        <f t="shared" si="23"/>
        <v>0.57034085501980725</v>
      </c>
      <c r="BE6" s="20">
        <f t="shared" si="24"/>
        <v>0.65602295475775818</v>
      </c>
      <c r="BF6" s="20">
        <f t="shared" si="25"/>
        <v>0.53391721167881956</v>
      </c>
      <c r="BG6" s="20">
        <f t="shared" si="26"/>
        <v>0.74872296035238006</v>
      </c>
      <c r="BH6" s="20">
        <f t="shared" si="27"/>
        <v>0.56389716274777035</v>
      </c>
      <c r="BI6" s="20">
        <f t="shared" si="28"/>
        <v>0.67845139845157598</v>
      </c>
      <c r="BJ6" s="16">
        <f t="shared" si="29"/>
        <v>460.46521440536941</v>
      </c>
      <c r="BK6" s="16">
        <f t="shared" si="30"/>
        <v>9.1726138327762818</v>
      </c>
      <c r="BL6" s="16">
        <f t="shared" si="15"/>
        <v>1.5125831207506024E-2</v>
      </c>
      <c r="BM6" s="18">
        <f>T6-'Без ПКМ'!B6</f>
        <v>-72.544888070489321</v>
      </c>
      <c r="BN6" s="19">
        <f>AY6-'Без ПКМ'!H6</f>
        <v>56.798670954668211</v>
      </c>
      <c r="BO6" s="17"/>
      <c r="BP6" s="17"/>
    </row>
    <row r="7" spans="1:70" x14ac:dyDescent="0.35">
      <c r="A7" s="16">
        <v>-10</v>
      </c>
      <c r="B7" s="7">
        <f>0.151140511695727*[47]syngas_streams_zaryad!$E$2</f>
        <v>3.1670624564218519</v>
      </c>
      <c r="C7" s="7">
        <f>[47]gas_streams_zaryad!$E$13</f>
        <v>1.2329998584688731</v>
      </c>
      <c r="D7" s="17">
        <f>[47]electric_zaryad!$E$5</f>
        <v>29.769245585451099</v>
      </c>
      <c r="E7" s="17">
        <f>[47]GTU_input_zaryad!$B$3</f>
        <v>0.63673422140126423</v>
      </c>
      <c r="F7" s="17">
        <f>[47]electric_zaryad!$C$5</f>
        <v>105.4813911173334</v>
      </c>
      <c r="G7" s="17">
        <f>[47]electric_zaryad!$B$7</f>
        <v>29.454535886990829</v>
      </c>
      <c r="H7" s="17">
        <f>[47]electric_zaryad!$C$12</f>
        <v>4.5243323594566752E-2</v>
      </c>
      <c r="I7" s="17">
        <f>[47]electric_zaryad!$C$6</f>
        <v>6.1736952796146083</v>
      </c>
      <c r="J7" s="17">
        <f>[47]electric_zaryad!$C$2</f>
        <v>2.3617012074226542</v>
      </c>
      <c r="K7" s="17">
        <f>[47]heaters_zaryad!$B$9</f>
        <v>77.872937748119568</v>
      </c>
      <c r="L7" s="17">
        <f>[47]heaters_zaryad!$B$8</f>
        <v>19.590624466764218</v>
      </c>
      <c r="M7" s="17">
        <f>[47]heaters_zaryad!$B$10</f>
        <v>6.5440784858133929</v>
      </c>
      <c r="N7" s="17">
        <f t="shared" si="0"/>
        <v>104.00764070069717</v>
      </c>
      <c r="O7" s="17">
        <f>[47]heaters_zaryad!$B$17/1000</f>
        <v>64.084667619328812</v>
      </c>
      <c r="P7" s="18">
        <f>[47]heaters_zaryad!$B$11/1000</f>
        <v>60.90329054695566</v>
      </c>
      <c r="Q7" s="17">
        <f>[47]gas_streams_zaryad!$E$4</f>
        <v>23.670132675574031</v>
      </c>
      <c r="R7" s="17">
        <f>[2]!PropsSI("H","P",[47]gas_streams_zaryad!$C$4*10^6,"T",[47]gas_streams_zaryad!$B$4+273.15,"REFPROP::"&amp;[2]!MixtureString($R$16:$R$20,$S$16:$S$20))/1000-[2]!PropsSI("H","P",[47]gas_streams_zaryad!$C$4*10^6,"T",S17+273.15,"REFPROP::"&amp;[2]!MixtureString($R$16:$R$20,$S$16:$S$20))/1000</f>
        <v>1246.4115417513406</v>
      </c>
      <c r="S7" s="19">
        <f t="shared" si="1"/>
        <v>29.502726561621014</v>
      </c>
      <c r="T7" s="17">
        <f t="shared" si="2"/>
        <v>125.32526855313247</v>
      </c>
      <c r="U7" s="16">
        <f t="shared" si="16"/>
        <v>168.09230832002598</v>
      </c>
      <c r="V7" s="16">
        <f t="shared" si="17"/>
        <v>61.896592895137431</v>
      </c>
      <c r="W7" s="16">
        <f t="shared" si="3"/>
        <v>158.98653531237699</v>
      </c>
      <c r="X7" s="20">
        <f t="shared" si="4"/>
        <v>0.50065535427445118</v>
      </c>
      <c r="Y7" s="20">
        <f t="shared" si="5"/>
        <v>0.57246572317476285</v>
      </c>
      <c r="Z7" s="20">
        <f t="shared" si="6"/>
        <v>0.75615266937829329</v>
      </c>
      <c r="AA7" s="20">
        <f t="shared" si="7"/>
        <v>0.95904890022960054</v>
      </c>
      <c r="AB7" s="20">
        <f t="shared" si="8"/>
        <v>0.55299790558454132</v>
      </c>
      <c r="AC7" s="20">
        <f t="shared" si="9"/>
        <v>0.82388519467314691</v>
      </c>
      <c r="AD7" s="16">
        <f t="shared" si="18"/>
        <v>575.21320625586281</v>
      </c>
      <c r="AE7" s="16">
        <f t="shared" si="19"/>
        <v>11.458430403503243</v>
      </c>
      <c r="AF7" s="7">
        <f>[47]syngas_streams_razryad!$E$10</f>
        <v>1.0811111111111109</v>
      </c>
      <c r="AG7" s="7">
        <f>[47]syngas_streams_razryad!$E$9</f>
        <v>6.6012978893482526</v>
      </c>
      <c r="AH7" s="17">
        <f>[47]accumulation_razryad!$E$3</f>
        <v>23.494201822725891</v>
      </c>
      <c r="AI7" s="17">
        <f>[47]electric_razryad!$E$5</f>
        <v>34.086911016241331</v>
      </c>
      <c r="AJ7" s="17">
        <f>[47]GTU_input_razryad!$B$3</f>
        <v>1</v>
      </c>
      <c r="AK7" s="17">
        <f>[47]electric_razryad!$C$5</f>
        <v>165.66</v>
      </c>
      <c r="AL7" s="17">
        <f>[47]electric_razryad!$B$7</f>
        <v>68.037753112208364</v>
      </c>
      <c r="AM7" s="17">
        <f>[47]electric_razryad!$C$12</f>
        <v>0.37499435523589519</v>
      </c>
      <c r="AN7" s="17">
        <f>[47]electric_razryad!$C$6</f>
        <v>6.3013810203264402</v>
      </c>
      <c r="AO7" s="17">
        <f>[47]electric_razryad!$C$2</f>
        <v>0.71077151371814773</v>
      </c>
      <c r="AP7" s="17">
        <f>[47]electric_razryad!$B$13</f>
        <v>93923.053373803603</v>
      </c>
      <c r="AQ7" s="17">
        <f>[47]electric_razryad!$B$14</f>
        <v>140910.17455984239</v>
      </c>
      <c r="AR7" s="17">
        <f>[47]heaters_razryad!$B$9</f>
        <v>56.476099942421378</v>
      </c>
      <c r="AS7" s="17">
        <f>[47]heaters_razryad!$B$8</f>
        <v>33.789145955463717</v>
      </c>
      <c r="AT7" s="17">
        <f>[47]heaters_razryad!$B$10</f>
        <v>4.8544828915198099</v>
      </c>
      <c r="AU7" s="17">
        <f t="shared" si="10"/>
        <v>95.119728789404903</v>
      </c>
      <c r="AV7" s="17">
        <f>[47]heaters_razryad!$B$18/1000</f>
        <v>72.992949140624717</v>
      </c>
      <c r="AW7" s="18">
        <f t="shared" si="20"/>
        <v>224.21439104812373</v>
      </c>
      <c r="AX7" s="17">
        <f t="shared" si="11"/>
        <v>44.666459051631549</v>
      </c>
      <c r="AY7" s="19">
        <f t="shared" si="12"/>
        <v>268.88085009975526</v>
      </c>
      <c r="AZ7" s="19">
        <f t="shared" si="13"/>
        <v>168.11267793002963</v>
      </c>
      <c r="BA7" s="16">
        <f t="shared" si="21"/>
        <v>485.99299573102496</v>
      </c>
      <c r="BB7" s="16">
        <f t="shared" si="22"/>
        <v>155.09222490428229</v>
      </c>
      <c r="BC7" s="20">
        <f t="shared" si="14"/>
        <v>0.57362426651094534</v>
      </c>
      <c r="BD7" s="20">
        <f t="shared" si="23"/>
        <v>0.57362426651094534</v>
      </c>
      <c r="BE7" s="20">
        <f t="shared" si="24"/>
        <v>0.65707556002363776</v>
      </c>
      <c r="BF7" s="20">
        <f t="shared" si="25"/>
        <v>0.54405423965266941</v>
      </c>
      <c r="BG7" s="20">
        <f t="shared" si="26"/>
        <v>0.75864156481649359</v>
      </c>
      <c r="BH7" s="20">
        <f t="shared" si="27"/>
        <v>0.5684914573726163</v>
      </c>
      <c r="BI7" s="20">
        <f t="shared" si="28"/>
        <v>0.68164654863939922</v>
      </c>
      <c r="BJ7" s="16">
        <f t="shared" si="29"/>
        <v>460.59315309378911</v>
      </c>
      <c r="BK7" s="16">
        <f t="shared" si="30"/>
        <v>9.1751624122268751</v>
      </c>
      <c r="BL7" s="16">
        <f t="shared" si="15"/>
        <v>1.2118109512110528E-2</v>
      </c>
      <c r="BM7" s="18">
        <f>T7-'Без ПКМ'!B7</f>
        <v>-73.507586769642614</v>
      </c>
      <c r="BN7" s="19">
        <f>AY7-'Без ПКМ'!H7</f>
        <v>56.580275128378361</v>
      </c>
      <c r="BO7" s="17"/>
      <c r="BP7" s="17"/>
    </row>
    <row r="8" spans="1:70" x14ac:dyDescent="0.35">
      <c r="A8" s="16">
        <v>-5</v>
      </c>
      <c r="B8" s="7">
        <f>0.151140511695727*[48]syngas_streams_zaryad!$E$2</f>
        <v>3.1670589668623843</v>
      </c>
      <c r="C8" s="7">
        <f>[48]gas_streams_zaryad!$E$13</f>
        <v>1.2317638161844859</v>
      </c>
      <c r="D8" s="17">
        <f>[48]electric_zaryad!$E$5</f>
        <v>29.676014785581479</v>
      </c>
      <c r="E8" s="17">
        <f>[48]GTU_input_zaryad!$B$3</f>
        <v>0.6305662645108554</v>
      </c>
      <c r="F8" s="17">
        <f>[48]electric_zaryad!$C$5</f>
        <v>104.4596073788683</v>
      </c>
      <c r="G8" s="17">
        <f>[48]electric_zaryad!$B$7</f>
        <v>31.073478912791181</v>
      </c>
      <c r="H8" s="17">
        <f>[48]electric_zaryad!$C$12</f>
        <v>4.5232466832812977E-2</v>
      </c>
      <c r="I8" s="17">
        <f>[48]electric_zaryad!$C$6</f>
        <v>6.1715272797901592</v>
      </c>
      <c r="J8" s="17">
        <f>[48]electric_zaryad!$C$2</f>
        <v>2.3488677860071538</v>
      </c>
      <c r="K8" s="17">
        <f>[48]heaters_zaryad!$B$9</f>
        <v>73.359775174865618</v>
      </c>
      <c r="L8" s="17">
        <f>[48]heaters_zaryad!$B$8</f>
        <v>23.762444396954219</v>
      </c>
      <c r="M8" s="17">
        <f>[48]heaters_zaryad!$B$10</f>
        <v>6.1682635654688944</v>
      </c>
      <c r="N8" s="17">
        <f t="shared" si="0"/>
        <v>103.29048313728873</v>
      </c>
      <c r="O8" s="17">
        <f>[48]heaters_zaryad!$B$17/1000</f>
        <v>64.560923752103534</v>
      </c>
      <c r="P8" s="18">
        <f>[48]heaters_zaryad!$B$11/1000</f>
        <v>60.9425725585211</v>
      </c>
      <c r="Q8" s="17">
        <f>[48]gas_streams_zaryad!$E$4</f>
        <v>23.646404136869741</v>
      </c>
      <c r="R8" s="17">
        <f>[2]!PropsSI("H","P",[48]gas_streams_zaryad!$C$4*10^6,"T",[48]gas_streams_zaryad!$B$4+273.15,"REFPROP::"&amp;[2]!MixtureString($R$16:$R$20,$S$16:$S$20))/1000-[2]!PropsSI("H","P",[48]gas_streams_zaryad!$C$4*10^6,"T",S18+273.15,"REFPROP::"&amp;[2]!MixtureString($R$16:$R$20,$S$16:$S$20))/1000</f>
        <v>1246.5891221948264</v>
      </c>
      <c r="S8" s="19">
        <f t="shared" si="1"/>
        <v>29.47735017604456</v>
      </c>
      <c r="T8" s="17">
        <f t="shared" si="2"/>
        <v>125.89000819955581</v>
      </c>
      <c r="U8" s="16">
        <f t="shared" si="16"/>
        <v>167.85140688939225</v>
      </c>
      <c r="V8" s="16">
        <f t="shared" si="17"/>
        <v>61.8345435724612</v>
      </c>
      <c r="W8" s="16">
        <f t="shared" si="3"/>
        <v>158.9863601364917</v>
      </c>
      <c r="X8" s="20">
        <f t="shared" si="4"/>
        <v>0.50617262065535917</v>
      </c>
      <c r="Y8" s="20">
        <f t="shared" si="5"/>
        <v>0.57948559479799022</v>
      </c>
      <c r="Z8" s="20">
        <f t="shared" si="6"/>
        <v>0.76052476827240068</v>
      </c>
      <c r="AA8" s="20">
        <f t="shared" si="7"/>
        <v>0.96146955918719268</v>
      </c>
      <c r="AB8" s="20">
        <f t="shared" si="8"/>
        <v>0.56081336030724194</v>
      </c>
      <c r="AC8" s="20">
        <f t="shared" si="9"/>
        <v>0.8278911977327319</v>
      </c>
      <c r="AD8" s="16">
        <f t="shared" si="18"/>
        <v>572.82102277352999</v>
      </c>
      <c r="AE8" s="16">
        <f>AD8/$R$14</f>
        <v>11.410777346086254</v>
      </c>
      <c r="AF8" s="7">
        <f>[48]syngas_streams_razryad!$E$10</f>
        <v>1.0811111111111109</v>
      </c>
      <c r="AG8" s="7">
        <f>[48]syngas_streams_razryad!$E$9</f>
        <v>6.6065314664575068</v>
      </c>
      <c r="AH8" s="17">
        <f>[48]accumulation_razryad!$E$3</f>
        <v>23.47820748953221</v>
      </c>
      <c r="AI8" s="17">
        <f>[48]electric_razryad!$E$5</f>
        <v>34.061064584346838</v>
      </c>
      <c r="AJ8" s="17">
        <f>[48]GTU_input_razryad!$B$3</f>
        <v>1</v>
      </c>
      <c r="AK8" s="17">
        <f>[48]electric_razryad!$C$5</f>
        <v>165.66</v>
      </c>
      <c r="AL8" s="17">
        <f>[48]electric_razryad!$B$7</f>
        <v>69.457936045736218</v>
      </c>
      <c r="AM8" s="17">
        <f>[48]electric_razryad!$C$12</f>
        <v>0.39005712391587177</v>
      </c>
      <c r="AN8" s="17">
        <f>[48]electric_razryad!$C$6</f>
        <v>6.3013810203264402</v>
      </c>
      <c r="AO8" s="17">
        <f>[48]electric_razryad!$C$2</f>
        <v>0.71658035433281053</v>
      </c>
      <c r="AP8" s="17">
        <f>[48]electric_razryad!$B$13</f>
        <v>93982.369994346838</v>
      </c>
      <c r="AQ8" s="17">
        <f>[48]electric_razryad!$B$14</f>
        <v>140999.62562878951</v>
      </c>
      <c r="AR8" s="17">
        <f>[48]heaters_razryad!$B$9</f>
        <v>65.059827374907485</v>
      </c>
      <c r="AS8" s="17">
        <f>[48]heaters_razryad!$B$8</f>
        <v>22.72089529762787</v>
      </c>
      <c r="AT8" s="17">
        <f>[48]heaters_razryad!$B$10</f>
        <v>5.5679068339395883</v>
      </c>
      <c r="AU8" s="17">
        <f t="shared" si="10"/>
        <v>93.348629506474936</v>
      </c>
      <c r="AV8" s="17">
        <f>[48]heaters_razryad!$B$18/1000</f>
        <v>74.516879556387067</v>
      </c>
      <c r="AW8" s="18">
        <f t="shared" si="20"/>
        <v>225.57006049483144</v>
      </c>
      <c r="AX8" s="17">
        <f t="shared" si="11"/>
        <v>44.695114190591681</v>
      </c>
      <c r="AY8" s="19">
        <f t="shared" si="12"/>
        <v>270.26517468542312</v>
      </c>
      <c r="AZ8" s="19">
        <f t="shared" si="13"/>
        <v>167.865509062862</v>
      </c>
      <c r="BA8" s="16">
        <f t="shared" si="21"/>
        <v>486.36178000182355</v>
      </c>
      <c r="BB8" s="16">
        <f t="shared" si="22"/>
        <v>155.10951655561286</v>
      </c>
      <c r="BC8" s="20">
        <f t="shared" si="14"/>
        <v>0.57395041415414705</v>
      </c>
      <c r="BD8" s="20">
        <f t="shared" si="23"/>
        <v>0.57395041415414705</v>
      </c>
      <c r="BE8" s="20">
        <f t="shared" si="24"/>
        <v>0.65572317380718237</v>
      </c>
      <c r="BF8" s="20">
        <f t="shared" si="25"/>
        <v>0.55458061498869982</v>
      </c>
      <c r="BG8" s="20">
        <f t="shared" si="26"/>
        <v>0.76856659987226872</v>
      </c>
      <c r="BH8" s="20">
        <f t="shared" si="27"/>
        <v>0.57065429059715456</v>
      </c>
      <c r="BI8" s="20">
        <f t="shared" si="28"/>
        <v>0.68300902331809255</v>
      </c>
      <c r="BJ8" s="16">
        <f t="shared" si="29"/>
        <v>460.97922901591818</v>
      </c>
      <c r="BK8" s="16">
        <f>BJ8/$R$14</f>
        <v>9.1828531676477727</v>
      </c>
      <c r="BL8" s="16">
        <f t="shared" si="15"/>
        <v>8.4015819295721085E-3</v>
      </c>
      <c r="BM8" s="18">
        <f>T8-'Без ПКМ'!B8</f>
        <v>-73.818201727185283</v>
      </c>
      <c r="BN8" s="19">
        <f>AY8-'Без ПКМ'!H8</f>
        <v>55.851769107273213</v>
      </c>
      <c r="BO8" s="17"/>
      <c r="BP8" s="17"/>
    </row>
    <row r="9" spans="1:70" x14ac:dyDescent="0.35">
      <c r="A9" s="16">
        <v>0</v>
      </c>
      <c r="B9" s="7">
        <f>0.151140511695727*[49]syngas_streams_zaryad!$E$2</f>
        <v>3.1670638883050657</v>
      </c>
      <c r="C9" s="7">
        <f>[49]gas_streams_zaryad!$E$13</f>
        <v>1.230127329251604</v>
      </c>
      <c r="D9" s="17">
        <f>[49]electric_zaryad!$E$5</f>
        <v>29.598689616988459</v>
      </c>
      <c r="E9" s="17">
        <f>[49]GTU_input_zaryad!$B$3</f>
        <v>0.62752604905195075</v>
      </c>
      <c r="F9" s="17">
        <f>[49]electric_zaryad!$C$5</f>
        <v>103.10541647906111</v>
      </c>
      <c r="G9" s="17">
        <f>[49]electric_zaryad!$B$7</f>
        <v>32.508753795977277</v>
      </c>
      <c r="H9" s="17">
        <f>[49]electric_zaryad!$C$12</f>
        <v>4.5246098208699702E-2</v>
      </c>
      <c r="I9" s="17">
        <f>[49]electric_zaryad!$C$6</f>
        <v>6.1686539852538189</v>
      </c>
      <c r="J9" s="17">
        <f>[49]electric_zaryad!$C$2</f>
        <v>2.3471000791046981</v>
      </c>
      <c r="K9" s="17">
        <f>[49]heaters_zaryad!$B$9</f>
        <v>67.99171255179526</v>
      </c>
      <c r="L9" s="17">
        <f>[49]heaters_zaryad!$B$8</f>
        <v>28.91427061677739</v>
      </c>
      <c r="M9" s="17">
        <f>[49]heaters_zaryad!$B$10</f>
        <v>5.7166534662120112</v>
      </c>
      <c r="N9" s="17">
        <f t="shared" si="0"/>
        <v>102.62263663478466</v>
      </c>
      <c r="O9" s="17">
        <f>[49]heaters_zaryad!$B$17/1000</f>
        <v>64.993681639705216</v>
      </c>
      <c r="P9" s="18">
        <f>[49]heaters_zaryad!$B$11/1000</f>
        <v>60.994882763891155</v>
      </c>
      <c r="Q9" s="17">
        <f>[49]gas_streams_zaryad!$E$4</f>
        <v>23.614988186123991</v>
      </c>
      <c r="R9" s="17">
        <f>[2]!PropsSI("H","P",[49]gas_streams_zaryad!$C$4*10^6,"T",[49]gas_streams_zaryad!$B$4+273.15,"REFPROP::"&amp;[2]!MixtureString($R$16:$R$20,$S$16:$S$20))/1000-[2]!PropsSI("H","P",[49]gas_streams_zaryad!$C$4*10^6,"T",S19+273.15,"REFPROP::"&amp;[2]!MixtureString($R$16:$R$20,$S$16:$S$20))/1000</f>
        <v>1246.7478520836039</v>
      </c>
      <c r="S9" s="19">
        <f t="shared" si="1"/>
        <v>29.441935798029768</v>
      </c>
      <c r="T9" s="17">
        <f t="shared" si="2"/>
        <v>125.93305933170068</v>
      </c>
      <c r="U9" s="16">
        <f t="shared" si="16"/>
        <v>167.61631827448986</v>
      </c>
      <c r="V9" s="16">
        <f t="shared" si="17"/>
        <v>61.752391928430519</v>
      </c>
      <c r="W9" s="16">
        <f t="shared" si="3"/>
        <v>158.98660719291431</v>
      </c>
      <c r="X9" s="20">
        <f t="shared" si="4"/>
        <v>0.51250239520794938</v>
      </c>
      <c r="Y9" s="20">
        <f t="shared" si="5"/>
        <v>0.58800802338063396</v>
      </c>
      <c r="Z9" s="20">
        <f t="shared" si="6"/>
        <v>0.76643978624318709</v>
      </c>
      <c r="AA9" s="20">
        <f t="shared" si="7"/>
        <v>0.96366118540361301</v>
      </c>
      <c r="AB9" s="20">
        <f t="shared" si="8"/>
        <v>0.56989694394213353</v>
      </c>
      <c r="AC9" s="20">
        <f t="shared" si="9"/>
        <v>0.83299097618517881</v>
      </c>
      <c r="AD9" s="16">
        <f t="shared" si="18"/>
        <v>569.08352995450286</v>
      </c>
      <c r="AE9" s="16">
        <f t="shared" si="19"/>
        <v>11.336325297898464</v>
      </c>
      <c r="AF9" s="7">
        <f>[49]syngas_streams_razryad!$E$10</f>
        <v>1.0811111111111109</v>
      </c>
      <c r="AG9" s="7">
        <f>[49]syngas_streams_razryad!$E$9</f>
        <v>6.6126740283890078</v>
      </c>
      <c r="AH9" s="17">
        <f>[49]accumulation_razryad!$E$3</f>
        <v>23.459462965097199</v>
      </c>
      <c r="AI9" s="17">
        <f>[49]electric_razryad!$E$5</f>
        <v>34.012096926621403</v>
      </c>
      <c r="AJ9" s="17">
        <f>[49]GTU_input_razryad!$B$3</f>
        <v>1</v>
      </c>
      <c r="AK9" s="17">
        <f>[49]electric_razryad!$C$5</f>
        <v>164.30459999999999</v>
      </c>
      <c r="AL9" s="17">
        <f>[49]electric_razryad!$B$7</f>
        <v>70.253019129840311</v>
      </c>
      <c r="AM9" s="17">
        <f>[49]electric_razryad!$C$12</f>
        <v>0.3997070947504941</v>
      </c>
      <c r="AN9" s="17">
        <f>[49]electric_razryad!$C$6</f>
        <v>6.2985051603460569</v>
      </c>
      <c r="AO9" s="17">
        <f>[49]electric_razryad!$C$2</f>
        <v>0.72181604171357694</v>
      </c>
      <c r="AP9" s="17">
        <f>[49]electric_razryad!$B$13</f>
        <v>94042.693884891167</v>
      </c>
      <c r="AQ9" s="17">
        <f>[49]electric_razryad!$B$14</f>
        <v>141091.28849584729</v>
      </c>
      <c r="AR9" s="17">
        <f>[49]heaters_razryad!$B$9</f>
        <v>72.708060035640372</v>
      </c>
      <c r="AS9" s="17">
        <f>[49]heaters_razryad!$B$8</f>
        <v>12.678014510861781</v>
      </c>
      <c r="AT9" s="17">
        <f>[49]heaters_razryad!$B$10</f>
        <v>6.1940680207836234</v>
      </c>
      <c r="AU9" s="17">
        <f t="shared" si="10"/>
        <v>91.580142567285776</v>
      </c>
      <c r="AV9" s="17">
        <f>[49]heaters_razryad!$B$18/1000</f>
        <v>76.043345546908412</v>
      </c>
      <c r="AW9" s="18">
        <f t="shared" si="20"/>
        <v>224.97309857522077</v>
      </c>
      <c r="AX9" s="17">
        <f t="shared" si="11"/>
        <v>44.7249280914777</v>
      </c>
      <c r="AY9" s="19">
        <f t="shared" si="12"/>
        <v>269.69802666669847</v>
      </c>
      <c r="AZ9" s="19">
        <f t="shared" si="13"/>
        <v>167.62348811419417</v>
      </c>
      <c r="BA9" s="16">
        <f t="shared" si="21"/>
        <v>483.07694863529019</v>
      </c>
      <c r="BB9" s="16">
        <f t="shared" si="22"/>
        <v>155.12978146925204</v>
      </c>
      <c r="BC9" s="20">
        <f t="shared" si="14"/>
        <v>0.57464861804298384</v>
      </c>
      <c r="BD9" s="20">
        <f t="shared" si="23"/>
        <v>0.57464861804298384</v>
      </c>
      <c r="BE9" s="20">
        <f t="shared" si="24"/>
        <v>0.65528533712233805</v>
      </c>
      <c r="BF9" s="20">
        <f t="shared" si="25"/>
        <v>0.56551958082159504</v>
      </c>
      <c r="BG9" s="20">
        <f t="shared" si="26"/>
        <v>0.77849831602014707</v>
      </c>
      <c r="BH9" s="20">
        <f t="shared" si="27"/>
        <v>0.57311438785197999</v>
      </c>
      <c r="BI9" s="20">
        <f t="shared" si="28"/>
        <v>0.68523488417186806</v>
      </c>
      <c r="BJ9" s="16">
        <f t="shared" si="29"/>
        <v>457.71466256302398</v>
      </c>
      <c r="BK9" s="16">
        <f t="shared" si="30"/>
        <v>9.1178219634068522</v>
      </c>
      <c r="BL9" s="16">
        <f t="shared" si="15"/>
        <v>4.2775308383617219E-3</v>
      </c>
      <c r="BM9" s="18">
        <f>T9-'Без ПКМ'!B9</f>
        <v>-72.806419522398201</v>
      </c>
      <c r="BN9" s="19">
        <f>AY9-'Без ПКМ'!H9</f>
        <v>55.524429646358215</v>
      </c>
      <c r="BO9" s="17"/>
      <c r="BP9" s="17"/>
    </row>
    <row r="10" spans="1:70" x14ac:dyDescent="0.35">
      <c r="A10" s="16">
        <v>5</v>
      </c>
      <c r="B10" s="7">
        <f>0.151140511695727*[50]syngas_streams_zaryad!$E$2</f>
        <v>3.167060285956441</v>
      </c>
      <c r="C10" s="7">
        <f>[50]gas_streams_zaryad!$E$13</f>
        <v>1.2280602600981461</v>
      </c>
      <c r="D10" s="17">
        <f>[50]electric_zaryad!$E$5</f>
        <v>29.539045429410901</v>
      </c>
      <c r="E10" s="17">
        <f>[50]GTU_input_zaryad!$B$3</f>
        <v>0.63620440349817831</v>
      </c>
      <c r="F10" s="17">
        <f>[50]electric_zaryad!$C$5</f>
        <v>101.656938540002</v>
      </c>
      <c r="G10" s="17">
        <f>[50]electric_zaryad!$B$7</f>
        <v>33.705130559555649</v>
      </c>
      <c r="H10" s="17">
        <f>[50]electric_zaryad!$C$12</f>
        <v>4.5267247702726679E-2</v>
      </c>
      <c r="I10" s="17">
        <f>[50]electric_zaryad!$C$6</f>
        <v>6.1655806344072728</v>
      </c>
      <c r="J10" s="17">
        <f>[50]electric_zaryad!$C$2</f>
        <v>2.351048804072629</v>
      </c>
      <c r="K10" s="17">
        <f>[50]heaters_zaryad!$B$9</f>
        <v>61.806284916632819</v>
      </c>
      <c r="L10" s="17">
        <f>[50]heaters_zaryad!$B$8</f>
        <v>34.977821105862311</v>
      </c>
      <c r="M10" s="17">
        <f>[50]heaters_zaryad!$B$10</f>
        <v>5.1884505451821141</v>
      </c>
      <c r="N10" s="17">
        <f t="shared" si="0"/>
        <v>101.97255656767726</v>
      </c>
      <c r="O10" s="17">
        <f>[50]heaters_zaryad!$B$17/1000</f>
        <v>65.414589501591962</v>
      </c>
      <c r="P10" s="18">
        <f>[50]heaters_zaryad!$B$11/1000</f>
        <v>61.060645862462614</v>
      </c>
      <c r="Q10" s="17">
        <f>[50]gas_streams_zaryad!$E$4</f>
        <v>23.575306266636421</v>
      </c>
      <c r="R10" s="17">
        <f>[2]!PropsSI("H","P",[50]gas_streams_zaryad!$C$4*10^6,"T",[50]gas_streams_zaryad!$B$4+273.15,"REFPROP::"&amp;[2]!MixtureString($R$16:$R$20,$S$16:$S$20))/1000-[2]!PropsSI("H","P",[50]gas_streams_zaryad!$C$4*10^6,"T",S20+273.15,"REFPROP::"&amp;[2]!MixtureString($R$16:$R$20,$S$16:$S$20))/1000</f>
        <v>1246.7504596517715</v>
      </c>
      <c r="S10" s="19">
        <f t="shared" si="1"/>
        <v>29.392523924360248</v>
      </c>
      <c r="T10" s="17">
        <f t="shared" si="2"/>
        <v>125.644158454034</v>
      </c>
      <c r="U10" s="16">
        <f t="shared" si="16"/>
        <v>167.38714606926922</v>
      </c>
      <c r="V10" s="16">
        <f t="shared" si="17"/>
        <v>61.648625056926939</v>
      </c>
      <c r="W10" s="16">
        <f t="shared" si="3"/>
        <v>158.98642635501335</v>
      </c>
      <c r="X10" s="20">
        <f>T10/((100*F10)/D10-N10)</f>
        <v>0.51882255627468221</v>
      </c>
      <c r="Y10" s="20">
        <f t="shared" si="5"/>
        <v>0.59687411919490263</v>
      </c>
      <c r="Z10" s="20">
        <f t="shared" si="6"/>
        <v>0.77282171166046698</v>
      </c>
      <c r="AA10" s="20">
        <f t="shared" si="7"/>
        <v>0.96577363809380978</v>
      </c>
      <c r="AB10" s="20">
        <f t="shared" si="8"/>
        <v>0.57927193955110268</v>
      </c>
      <c r="AC10" s="20">
        <f t="shared" si="9"/>
        <v>0.83842190441840525</v>
      </c>
      <c r="AD10" s="16">
        <f t="shared" si="18"/>
        <v>564.7793426786651</v>
      </c>
      <c r="AE10" s="16">
        <f t="shared" si="19"/>
        <v>11.250584515511257</v>
      </c>
      <c r="AF10" s="7">
        <f>[50]syngas_streams_razryad!$E$10</f>
        <v>1.0811111111111109</v>
      </c>
      <c r="AG10" s="7">
        <f>[50]syngas_streams_razryad!$E$9</f>
        <v>6.6199036090013097</v>
      </c>
      <c r="AH10" s="17">
        <f>[50]accumulation_razryad!$E$3</f>
        <v>23.437439623395939</v>
      </c>
      <c r="AI10" s="17">
        <f>[50]electric_razryad!$E$5</f>
        <v>33.830241541168107</v>
      </c>
      <c r="AJ10" s="17">
        <f>[50]GTU_input_razryad!$B$3</f>
        <v>1</v>
      </c>
      <c r="AK10" s="17">
        <f>[50]electric_razryad!$C$5</f>
        <v>159.78659999999999</v>
      </c>
      <c r="AL10" s="17">
        <f>[50]electric_razryad!$B$7</f>
        <v>70.107323297229016</v>
      </c>
      <c r="AM10" s="17">
        <f>[50]electric_razryad!$C$12</f>
        <v>0.40106947166417589</v>
      </c>
      <c r="AN10" s="17">
        <f>[50]electric_razryad!$C$6</f>
        <v>6.2889189604114444</v>
      </c>
      <c r="AO10" s="17">
        <f>[50]electric_razryad!$C$2</f>
        <v>0.71593844601656897</v>
      </c>
      <c r="AP10" s="17">
        <f>[50]electric_razryad!$B$13</f>
        <v>94104.211383100395</v>
      </c>
      <c r="AQ10" s="17">
        <f>[50]electric_razryad!$B$14</f>
        <v>141185.58061720381</v>
      </c>
      <c r="AR10" s="17">
        <f>[50]heaters_razryad!$B$9</f>
        <v>79.180426464182972</v>
      </c>
      <c r="AS10" s="17">
        <f>[50]heaters_razryad!$B$8</f>
        <v>3.9220191011038228</v>
      </c>
      <c r="AT10" s="17">
        <f>[50]heaters_razryad!$B$10</f>
        <v>6.7117760118372241</v>
      </c>
      <c r="AU10" s="17">
        <f t="shared" si="10"/>
        <v>89.814221577124016</v>
      </c>
      <c r="AV10" s="17">
        <f>[50]heaters_razryad!$B$18/1000</f>
        <v>77.572704082046243</v>
      </c>
      <c r="AW10" s="18">
        <f t="shared" si="20"/>
        <v>220.32813154893893</v>
      </c>
      <c r="AX10" s="17">
        <f t="shared" si="11"/>
        <v>44.756123159372748</v>
      </c>
      <c r="AY10" s="19">
        <f t="shared" si="12"/>
        <v>265.08425470831168</v>
      </c>
      <c r="AZ10" s="19">
        <f t="shared" si="13"/>
        <v>167.38692565917026</v>
      </c>
      <c r="BA10" s="16">
        <f t="shared" si="21"/>
        <v>472.31882694527997</v>
      </c>
      <c r="BB10" s="16">
        <f t="shared" si="22"/>
        <v>155.15359114866908</v>
      </c>
      <c r="BC10" s="20">
        <f t="shared" si="14"/>
        <v>0.57601432363638039</v>
      </c>
      <c r="BD10" s="20">
        <f t="shared" si="23"/>
        <v>0.57601432363638039</v>
      </c>
      <c r="BE10" s="20">
        <f t="shared" si="24"/>
        <v>0.65663771044636809</v>
      </c>
      <c r="BF10" s="20">
        <f t="shared" si="25"/>
        <v>0.5768962543691758</v>
      </c>
      <c r="BG10" s="20">
        <f t="shared" si="26"/>
        <v>0.78843696968768706</v>
      </c>
      <c r="BH10" s="20">
        <f t="shared" si="27"/>
        <v>0.57616303723354145</v>
      </c>
      <c r="BI10" s="20">
        <f t="shared" si="28"/>
        <v>0.68922739533505628</v>
      </c>
      <c r="BJ10" s="16">
        <f t="shared" si="29"/>
        <v>446.98035055243082</v>
      </c>
      <c r="BK10" s="16">
        <f t="shared" si="30"/>
        <v>8.9039910468611705</v>
      </c>
      <c r="BL10" s="16">
        <f>ABS(AZ10-U10)/U10*100</f>
        <v>1.3167683668515015E-4</v>
      </c>
      <c r="BM10" s="18">
        <f>T10-'Без ПКМ'!B10</f>
        <v>-68.648286233536453</v>
      </c>
      <c r="BN10" s="19">
        <f>AY10-'Без ПКМ'!H10</f>
        <v>55.990783056956047</v>
      </c>
      <c r="BO10" s="17"/>
      <c r="BP10" s="17"/>
    </row>
    <row r="11" spans="1:70" x14ac:dyDescent="0.35">
      <c r="A11" s="16">
        <v>8</v>
      </c>
      <c r="B11" s="7">
        <f>0.151140511695727*[51]syngas_streams_zaryad!$E$2</f>
        <v>3.1670676503474025</v>
      </c>
      <c r="C11" s="7">
        <f>[51]gas_streams_zaryad!$E$13</f>
        <v>1.226582832504812</v>
      </c>
      <c r="D11" s="17">
        <f>[51]electric_zaryad!$E$5</f>
        <v>29.441852298900098</v>
      </c>
      <c r="E11" s="17">
        <f>[51]GTU_input_zaryad!$B$3</f>
        <v>0.6375671956793002</v>
      </c>
      <c r="F11" s="17">
        <f>[51]electric_zaryad!$C$5</f>
        <v>100.1463773150826</v>
      </c>
      <c r="G11" s="17">
        <f>[51]electric_zaryad!$B$7</f>
        <v>33.772890546698463</v>
      </c>
      <c r="H11" s="17">
        <f>[51]electric_zaryad!$C$12</f>
        <v>4.5215358858241822E-2</v>
      </c>
      <c r="I11" s="17">
        <f>[51]electric_zaryad!$C$6</f>
        <v>6.1623755565153839</v>
      </c>
      <c r="J11" s="17">
        <f>[51]electric_zaryad!$C$2</f>
        <v>2.3651386854685379</v>
      </c>
      <c r="K11" s="17">
        <f>[51]heaters_zaryad!$B$9</f>
        <v>60.03598755449449</v>
      </c>
      <c r="L11" s="17">
        <f>[51]heaters_zaryad!$B$8</f>
        <v>36.21063362500886</v>
      </c>
      <c r="M11" s="17">
        <f>[51]heaters_zaryad!$B$10</f>
        <v>5.0218021780980413</v>
      </c>
      <c r="N11" s="17">
        <f>K11+L11+M11</f>
        <v>101.26842335760139</v>
      </c>
      <c r="O11" s="17">
        <f>[51]heaters_zaryad!$B$17/1000</f>
        <v>65.458671737587082</v>
      </c>
      <c r="P11" s="18">
        <f>[51]heaters_zaryad!$B$11/1000</f>
        <v>61.107964168790986</v>
      </c>
      <c r="Q11" s="17">
        <f>[51]gas_streams_zaryad!$E$4</f>
        <v>23.546943808269091</v>
      </c>
      <c r="R11" s="17">
        <f>[2]!PropsSI("H","P",[51]gas_streams_zaryad!$C$4*10^6,"T",[51]gas_streams_zaryad!$B$4+273.15,"REFPROP::"&amp;[2]!MixtureString($R$16:$R$20,$S$16:$S$20))/1000-[2]!PropsSI("H","P",[51]gas_streams_zaryad!$C$4*10^6,"T",S21+273.15,"REFPROP::"&amp;[2]!MixtureString($R$16:$R$20,$S$16:$S$20))/1000</f>
        <v>896.4142916678345</v>
      </c>
      <c r="S11" s="19">
        <f>R11*Q11/1000</f>
        <v>21.10781695483184</v>
      </c>
      <c r="T11" s="17">
        <f t="shared" si="2"/>
        <v>124.1876169513156</v>
      </c>
      <c r="U11" s="16">
        <f>N11+O11</f>
        <v>166.72709509518847</v>
      </c>
      <c r="V11" s="16">
        <f t="shared" si="17"/>
        <v>61.57445819174157</v>
      </c>
      <c r="W11" s="16">
        <f t="shared" si="3"/>
        <v>158.98679604743961</v>
      </c>
      <c r="X11" s="20">
        <f>T11/((100*F11)/D11-N11)</f>
        <v>0.51987166925322914</v>
      </c>
      <c r="Y11" s="20">
        <f t="shared" si="5"/>
        <v>0.62443132038880245</v>
      </c>
      <c r="Z11" s="20">
        <f>(T11+P11+N11)/((100*F11)/D11+S11)</f>
        <v>0.79324021628174102</v>
      </c>
      <c r="AA11" s="20">
        <f t="shared" si="7"/>
        <v>0.92511297922209279</v>
      </c>
      <c r="AB11" s="20">
        <f t="shared" si="8"/>
        <v>0.58169733857055417</v>
      </c>
      <c r="AC11" s="20">
        <f t="shared" si="9"/>
        <v>0.84073043627031685</v>
      </c>
      <c r="AD11" s="16">
        <f t="shared" si="18"/>
        <v>560.71097137781351</v>
      </c>
      <c r="AE11" s="16">
        <f t="shared" si="19"/>
        <v>11.169541262506245</v>
      </c>
      <c r="AF11" s="7">
        <f>[51]syngas_streams_razryad!$E$10</f>
        <v>1.0811111111111109</v>
      </c>
      <c r="AG11" s="7">
        <f>[51]syngas_streams_razryad!$E$9</f>
        <v>6.6248440569847622</v>
      </c>
      <c r="AH11" s="17">
        <f>[51]accumulation_razryad!$E$3</f>
        <v>23.42241339383726</v>
      </c>
      <c r="AI11" s="17">
        <f>[51]electric_razryad!$E$5</f>
        <v>33.701191319931901</v>
      </c>
      <c r="AJ11" s="17">
        <f>[51]GTU_input_razryad!$B$3</f>
        <v>1</v>
      </c>
      <c r="AK11" s="17">
        <f>[51]electric_razryad!$C$5</f>
        <v>157.07579999999999</v>
      </c>
      <c r="AL11" s="17">
        <f>[51]electric_razryad!$B$7</f>
        <v>69.849913560413597</v>
      </c>
      <c r="AM11" s="17">
        <f>[51]electric_razryad!$C$12</f>
        <v>0.40099653686907832</v>
      </c>
      <c r="AN11" s="17">
        <f>[51]electric_razryad!$C$6</f>
        <v>6.2831672404506769</v>
      </c>
      <c r="AO11" s="17">
        <f>[51]electric_razryad!$C$2</f>
        <v>0.71181881817561077</v>
      </c>
      <c r="AP11" s="17">
        <f>[51]electric_razryad!$B$13</f>
        <v>94141.77916595884</v>
      </c>
      <c r="AQ11" s="17">
        <f>[51]electric_razryad!$B$14</f>
        <v>141243.60718225199</v>
      </c>
      <c r="AR11" s="17">
        <f>[51]heaters_razryad!$B$9</f>
        <v>80.17916592523423</v>
      </c>
      <c r="AS11" s="17">
        <f>[51]heaters_razryad!$B$8</f>
        <v>1.878197552062367</v>
      </c>
      <c r="AT11" s="17">
        <f>[51]heaters_razryad!$B$10</f>
        <v>6.7684852705165888</v>
      </c>
      <c r="AU11" s="17">
        <f>AT11+AS11+AR11</f>
        <v>88.825848747813183</v>
      </c>
      <c r="AV11" s="17">
        <f>[51]heaters_razryad!$B$18/1000</f>
        <v>77.899331499305035</v>
      </c>
      <c r="AW11" s="18">
        <f t="shared" si="20"/>
        <v>217.37780214408727</v>
      </c>
      <c r="AX11" s="17">
        <f t="shared" si="11"/>
        <v>44.775604105581216</v>
      </c>
      <c r="AY11" s="19">
        <f t="shared" si="12"/>
        <v>262.15340624966848</v>
      </c>
      <c r="AZ11" s="19">
        <f>AU11+AV11</f>
        <v>166.7251802471182</v>
      </c>
      <c r="BA11" s="16">
        <f t="shared" si="21"/>
        <v>466.08382032803871</v>
      </c>
      <c r="BB11" s="16">
        <f t="shared" si="22"/>
        <v>155.16983617240308</v>
      </c>
      <c r="BC11" s="20">
        <f t="shared" si="14"/>
        <v>0.5762046623787801</v>
      </c>
      <c r="BD11" s="20">
        <f t="shared" si="23"/>
        <v>0.5762046623787801</v>
      </c>
      <c r="BE11" s="20">
        <f t="shared" si="24"/>
        <v>0.65697120890484562</v>
      </c>
      <c r="BF11" s="20">
        <f t="shared" si="25"/>
        <v>0.5794656615096494</v>
      </c>
      <c r="BG11" s="20">
        <f t="shared" si="26"/>
        <v>0.7905849399015088</v>
      </c>
      <c r="BH11" s="20">
        <f t="shared" si="27"/>
        <v>0.57675903699279296</v>
      </c>
      <c r="BI11" s="20">
        <f t="shared" si="28"/>
        <v>0.69034376218030624</v>
      </c>
      <c r="BJ11" s="16">
        <f t="shared" si="29"/>
        <v>440.76158895892354</v>
      </c>
      <c r="BK11" s="16">
        <f t="shared" si="30"/>
        <v>8.7801113338430987</v>
      </c>
      <c r="BL11" s="16">
        <f t="shared" si="15"/>
        <v>1.1484924326054255E-3</v>
      </c>
      <c r="BM11" s="18">
        <f>T11-'Без ПКМ'!B11</f>
        <v>-66.984844584420713</v>
      </c>
      <c r="BN11" s="19">
        <f>AY11-'Без ПКМ'!H11</f>
        <v>56.200323322895514</v>
      </c>
      <c r="BO11" s="17"/>
      <c r="BP11" s="17"/>
    </row>
    <row r="14" spans="1:70" x14ac:dyDescent="0.35">
      <c r="Q14" s="1" t="s">
        <v>54</v>
      </c>
      <c r="R14" s="17">
        <f>BP4</f>
        <v>50.2</v>
      </c>
      <c r="S14" s="3" t="s">
        <v>53</v>
      </c>
    </row>
    <row r="15" spans="1:70" x14ac:dyDescent="0.3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70" x14ac:dyDescent="0.35">
      <c r="R16" s="1" t="s">
        <v>41</v>
      </c>
      <c r="S16" s="3">
        <v>0.71032059101601497</v>
      </c>
      <c r="BL16" s="16">
        <f t="shared" ref="BL16:BL23" si="31">(BM16-BN16)*100</f>
        <v>-7.6274715594713438</v>
      </c>
      <c r="BM16" s="18">
        <v>0.57074242025422373</v>
      </c>
      <c r="BN16" s="16">
        <v>0.64701713584893716</v>
      </c>
    </row>
    <row r="17" spans="18:66" x14ac:dyDescent="0.35">
      <c r="R17" s="6" t="s">
        <v>44</v>
      </c>
      <c r="S17" s="3">
        <v>0.18053127301225799</v>
      </c>
      <c r="BL17" s="16">
        <f t="shared" si="31"/>
        <v>-7.356977695775857</v>
      </c>
      <c r="BM17" s="18">
        <v>0.58765218465126401</v>
      </c>
      <c r="BN17" s="16">
        <v>0.66122196160902258</v>
      </c>
    </row>
    <row r="18" spans="18:66" x14ac:dyDescent="0.35">
      <c r="R18" s="6" t="s">
        <v>43</v>
      </c>
      <c r="S18" s="3">
        <v>9.0538556815177001E-2</v>
      </c>
      <c r="BL18" s="16">
        <f t="shared" si="31"/>
        <v>-7.5876016894403371</v>
      </c>
      <c r="BM18" s="18">
        <v>0.59542528960195196</v>
      </c>
      <c r="BN18" s="16">
        <v>0.67130130649635533</v>
      </c>
    </row>
    <row r="19" spans="18:66" x14ac:dyDescent="0.35">
      <c r="R19" s="6" t="s">
        <v>42</v>
      </c>
      <c r="S19" s="3">
        <v>9.9671027033589304E-3</v>
      </c>
      <c r="BL19" s="16">
        <f t="shared" si="31"/>
        <v>-7.7236127271791748</v>
      </c>
      <c r="BM19" s="18">
        <v>0.60350314070988964</v>
      </c>
      <c r="BN19" s="16">
        <v>0.68073926798168138</v>
      </c>
    </row>
    <row r="20" spans="18:66" x14ac:dyDescent="0.35">
      <c r="R20" s="1" t="s">
        <v>45</v>
      </c>
      <c r="S20" s="3">
        <v>8.6424764531917806E-3</v>
      </c>
      <c r="BL20" s="16">
        <f t="shared" si="31"/>
        <v>-7.7035963168916481</v>
      </c>
      <c r="BM20" s="18">
        <v>0.61098447735087835</v>
      </c>
      <c r="BN20" s="16">
        <v>0.68802044051979483</v>
      </c>
    </row>
    <row r="21" spans="18:66" x14ac:dyDescent="0.35">
      <c r="R21" s="1" t="s">
        <v>46</v>
      </c>
      <c r="S21" s="3">
        <v>60</v>
      </c>
      <c r="BL21" s="16">
        <f t="shared" si="31"/>
        <v>-7.6120262086908586</v>
      </c>
      <c r="BM21" s="18">
        <v>0.61942422261697849</v>
      </c>
      <c r="BN21" s="16">
        <v>0.69554448470388708</v>
      </c>
    </row>
    <row r="22" spans="18:66" x14ac:dyDescent="0.35">
      <c r="BL22" s="16">
        <f t="shared" si="31"/>
        <v>-7.5036700812799895</v>
      </c>
      <c r="BM22" s="18">
        <v>0.6292258242027684</v>
      </c>
      <c r="BN22" s="16">
        <v>0.7042625250155683</v>
      </c>
    </row>
    <row r="23" spans="18:66" x14ac:dyDescent="0.35">
      <c r="R23" s="1" t="s">
        <v>47</v>
      </c>
      <c r="S23" s="3">
        <f>[2]!PropsSI("Q","P",0.1*10^6,"T",S21+273.15,"REFPROP::"&amp;[2]!MixtureString($R$16:$R$20,$S$16:$S$20))</f>
        <v>998</v>
      </c>
      <c r="BL23" s="16">
        <f t="shared" si="31"/>
        <v>-7.5390528498794236</v>
      </c>
      <c r="BM23" s="18">
        <v>0.63183866161787383</v>
      </c>
      <c r="BN23" s="16">
        <v>0.70722919011666807</v>
      </c>
    </row>
    <row r="24" spans="18:66" x14ac:dyDescent="0.35">
      <c r="BL24" s="16">
        <f>AVERAGE(BL15:BL23)</f>
        <v>-7.550687794079959</v>
      </c>
    </row>
    <row r="39" spans="18:20" x14ac:dyDescent="0.35">
      <c r="R39" s="6"/>
      <c r="S39" s="5"/>
      <c r="T39" s="6"/>
    </row>
  </sheetData>
  <mergeCells count="33">
    <mergeCell ref="BL1:BL2"/>
    <mergeCell ref="BM1:BM2"/>
    <mergeCell ref="BN1:BN2"/>
    <mergeCell ref="BF1:BF2"/>
    <mergeCell ref="BG1:BG2"/>
    <mergeCell ref="BH1:BH2"/>
    <mergeCell ref="BI1:BI2"/>
    <mergeCell ref="BJ1:BJ2"/>
    <mergeCell ref="BK1:BK2"/>
    <mergeCell ref="AZ1:AZ2"/>
    <mergeCell ref="BA1:BA2"/>
    <mergeCell ref="BB1:BB2"/>
    <mergeCell ref="BC1:BC2"/>
    <mergeCell ref="BD1:BD2"/>
    <mergeCell ref="BE1:BE2"/>
    <mergeCell ref="AD1:AD2"/>
    <mergeCell ref="AE1:AE2"/>
    <mergeCell ref="AF1:AV1"/>
    <mergeCell ref="AW1:AW2"/>
    <mergeCell ref="AX1:AX2"/>
    <mergeCell ref="AY1:AY2"/>
    <mergeCell ref="X1:X2"/>
    <mergeCell ref="Y1:Y2"/>
    <mergeCell ref="Z1:Z2"/>
    <mergeCell ref="AA1:AA2"/>
    <mergeCell ref="AB1:AB2"/>
    <mergeCell ref="AC1:AC2"/>
    <mergeCell ref="A1:A2"/>
    <mergeCell ref="B1:O1"/>
    <mergeCell ref="T1:T2"/>
    <mergeCell ref="U1:U2"/>
    <mergeCell ref="V1:V2"/>
    <mergeCell ref="W1:W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O12"/>
  <sheetViews>
    <sheetView workbookViewId="0">
      <selection activeCell="K17" sqref="K17"/>
    </sheetView>
  </sheetViews>
  <sheetFormatPr defaultColWidth="9.1796875" defaultRowHeight="15.5" x14ac:dyDescent="0.35"/>
  <cols>
    <col min="1" max="1" width="9.1796875" style="4"/>
    <col min="2" max="2" width="12" style="2" bestFit="1" customWidth="1"/>
    <col min="3" max="3" width="12" style="1" bestFit="1" customWidth="1"/>
    <col min="4" max="6" width="12" style="1" customWidth="1"/>
    <col min="7" max="7" width="12" style="3" customWidth="1"/>
    <col min="8" max="8" width="12" style="2" bestFit="1" customWidth="1"/>
    <col min="9" max="9" width="12" style="1" bestFit="1" customWidth="1"/>
    <col min="10" max="12" width="9.1796875" style="1"/>
    <col min="13" max="13" width="9.1796875" style="3"/>
    <col min="14" max="16384" width="9.1796875" style="1"/>
  </cols>
  <sheetData>
    <row r="1" spans="1:15" ht="14.5" customHeight="1" x14ac:dyDescent="0.35">
      <c r="A1" s="56" t="s">
        <v>0</v>
      </c>
      <c r="B1" s="58" t="s">
        <v>31</v>
      </c>
      <c r="C1" s="59"/>
      <c r="D1" s="59"/>
      <c r="E1" s="59"/>
      <c r="F1" s="59"/>
      <c r="G1" s="60"/>
      <c r="H1" s="58" t="s">
        <v>32</v>
      </c>
      <c r="I1" s="59"/>
      <c r="J1" s="59"/>
      <c r="K1" s="59"/>
      <c r="L1" s="59"/>
      <c r="M1" s="60"/>
    </row>
    <row r="2" spans="1:15" ht="16" thickBot="1" x14ac:dyDescent="0.4">
      <c r="A2" s="57"/>
      <c r="B2" s="22" t="s">
        <v>30</v>
      </c>
      <c r="C2" s="39" t="s">
        <v>29</v>
      </c>
      <c r="D2" s="39" t="s">
        <v>51</v>
      </c>
      <c r="E2" s="39" t="s">
        <v>92</v>
      </c>
      <c r="F2" s="39" t="s">
        <v>91</v>
      </c>
      <c r="G2" s="40" t="s">
        <v>93</v>
      </c>
      <c r="H2" s="22" t="s">
        <v>30</v>
      </c>
      <c r="I2" s="39" t="s">
        <v>29</v>
      </c>
      <c r="J2" s="39" t="s">
        <v>51</v>
      </c>
      <c r="K2" s="39" t="s">
        <v>92</v>
      </c>
      <c r="L2" s="39" t="s">
        <v>91</v>
      </c>
      <c r="M2" s="40" t="s">
        <v>93</v>
      </c>
    </row>
    <row r="3" spans="1:15" x14ac:dyDescent="0.35">
      <c r="A3" s="4">
        <v>-29</v>
      </c>
      <c r="B3" s="2">
        <v>175.06425550511426</v>
      </c>
      <c r="C3" s="1">
        <v>0.63051292317147878</v>
      </c>
      <c r="D3" s="1">
        <f>'[29]400m3 обр'!AJ3</f>
        <v>0.7639810595067742</v>
      </c>
      <c r="E3" s="1">
        <v>142.44489999999999</v>
      </c>
      <c r="F3" s="1">
        <v>32.771099999999997</v>
      </c>
      <c r="G3" s="3">
        <f>E3/(F3/100)/'10x15x8'!$R$14</f>
        <v>8.6586895428134554</v>
      </c>
      <c r="H3" s="2">
        <v>205.13768958891018</v>
      </c>
      <c r="I3" s="1">
        <v>0.62325556396576853</v>
      </c>
      <c r="J3" s="1">
        <f>'[29]400m3 обр'!AJ15</f>
        <v>0.74493284017830408</v>
      </c>
      <c r="K3" s="1">
        <v>165.66</v>
      </c>
      <c r="L3" s="1">
        <v>34.075800000000001</v>
      </c>
      <c r="M3" s="3">
        <f>K3/(L3/100)/'10x15x8'!$R$14</f>
        <v>9.6842920782490793</v>
      </c>
      <c r="O3" s="1">
        <f>J3-D3</f>
        <v>-1.9048219328470117E-2</v>
      </c>
    </row>
    <row r="4" spans="1:15" x14ac:dyDescent="0.35">
      <c r="A4" s="4">
        <v>-25</v>
      </c>
      <c r="B4" s="2">
        <v>187.45722067174907</v>
      </c>
      <c r="C4" s="1">
        <v>0.64701713584893716</v>
      </c>
      <c r="D4" s="1">
        <f>'[29]400m3 обр'!AJ4</f>
        <v>0.77440816895601972</v>
      </c>
      <c r="E4" s="1">
        <v>152.02770000000001</v>
      </c>
      <c r="F4" s="1">
        <v>33.535600000000002</v>
      </c>
      <c r="G4" s="3">
        <f>E4/(F4/100)/'10x15x8'!$R$14</f>
        <v>9.0305235005302542</v>
      </c>
      <c r="H4" s="2">
        <v>205.12811200461454</v>
      </c>
      <c r="I4" s="1">
        <v>0.63615415876698722</v>
      </c>
      <c r="J4" s="1">
        <f>'[29]400m3 обр'!AJ16</f>
        <v>0.75862474836327864</v>
      </c>
      <c r="K4" s="1">
        <v>165.66</v>
      </c>
      <c r="L4" s="1">
        <v>34.0824</v>
      </c>
      <c r="M4" s="3">
        <f>K4/(L4/100)/'10x15x8'!$R$14</f>
        <v>9.6824167312161116</v>
      </c>
      <c r="O4" s="1">
        <f t="shared" ref="O4:O11" si="0">J4-D4</f>
        <v>-1.5783420592741071E-2</v>
      </c>
    </row>
    <row r="5" spans="1:15" x14ac:dyDescent="0.35">
      <c r="A5" s="4">
        <v>-20</v>
      </c>
      <c r="B5" s="2">
        <v>197.85202699937264</v>
      </c>
      <c r="C5" s="1">
        <v>0.66122196160902258</v>
      </c>
      <c r="D5" s="1">
        <f>'[29]400m3 обр'!AJ5</f>
        <v>0.78318443733754983</v>
      </c>
      <c r="E5" s="1">
        <v>158.5907</v>
      </c>
      <c r="F5" s="1">
        <v>33.920299999999997</v>
      </c>
      <c r="G5" s="3">
        <f>E5/(F5/100)/'10x15x8'!$R$14</f>
        <v>9.3135299240768905</v>
      </c>
      <c r="H5" s="2">
        <v>206.94935951134502</v>
      </c>
      <c r="I5" s="1">
        <v>0.65157412488013533</v>
      </c>
      <c r="J5" s="1">
        <f>'[29]400m3 обр'!AJ17</f>
        <v>0.77226211226929653</v>
      </c>
      <c r="K5" s="1">
        <v>165.66</v>
      </c>
      <c r="L5" s="1">
        <v>34.091200000000001</v>
      </c>
      <c r="M5" s="3">
        <f>K5/(L5/100)/'10x15x8'!$R$14</f>
        <v>9.6799173980382029</v>
      </c>
      <c r="O5" s="1">
        <f t="shared" si="0"/>
        <v>-1.0922325068253302E-2</v>
      </c>
    </row>
    <row r="6" spans="1:15" x14ac:dyDescent="0.35">
      <c r="A6" s="4">
        <v>-15</v>
      </c>
      <c r="B6" s="2">
        <v>198.48648515336524</v>
      </c>
      <c r="C6" s="1">
        <v>0.67130130649635533</v>
      </c>
      <c r="D6" s="1">
        <f>'[29]400m3 обр'!AJ6</f>
        <v>0.79045599530444199</v>
      </c>
      <c r="E6" s="1">
        <v>156.98759999999999</v>
      </c>
      <c r="F6" s="1">
        <v>33.847700000000003</v>
      </c>
      <c r="G6" s="3">
        <f>E6/(F6/100)/'10x15x8'!$R$14</f>
        <v>9.2391596116972377</v>
      </c>
      <c r="H6" s="2">
        <v>209.69488283053695</v>
      </c>
      <c r="I6" s="1">
        <v>0.65993888017537883</v>
      </c>
      <c r="J6" s="1">
        <f>'[29]400m3 обр'!AJ18</f>
        <v>0.77761187775024698</v>
      </c>
      <c r="K6" s="1">
        <v>165.66</v>
      </c>
      <c r="L6" s="1">
        <v>34.094799999999999</v>
      </c>
      <c r="M6" s="3">
        <f>K6/(L6/100)/'10x15x8'!$R$14</f>
        <v>9.6788953154146675</v>
      </c>
      <c r="O6" s="1">
        <f t="shared" si="0"/>
        <v>-1.2844117554195011E-2</v>
      </c>
    </row>
    <row r="7" spans="1:15" x14ac:dyDescent="0.35">
      <c r="A7" s="4">
        <v>-10</v>
      </c>
      <c r="B7" s="2">
        <v>198.83285532277509</v>
      </c>
      <c r="C7" s="1">
        <v>0.68073926798168138</v>
      </c>
      <c r="D7" s="1">
        <f>'[29]400m3 обр'!AJ7</f>
        <v>0.79729374357630034</v>
      </c>
      <c r="E7" s="1">
        <v>155.2319</v>
      </c>
      <c r="F7" s="1">
        <v>33.743899999999996</v>
      </c>
      <c r="G7" s="3">
        <f>E7/(F7/100)/'10x15x8'!$R$14</f>
        <v>9.1639345905564813</v>
      </c>
      <c r="H7" s="2">
        <v>212.3005749713769</v>
      </c>
      <c r="I7" s="1">
        <v>0.66751247292528593</v>
      </c>
      <c r="J7" s="1">
        <f>'[29]400m3 обр'!AJ19</f>
        <v>0.78241097181044472</v>
      </c>
      <c r="K7" s="1">
        <v>165.66</v>
      </c>
      <c r="L7" s="1">
        <v>34.0869</v>
      </c>
      <c r="M7" s="3">
        <f>K7/(L7/100)/'10x15x8'!$R$14</f>
        <v>9.6811385018878209</v>
      </c>
      <c r="O7" s="1">
        <f t="shared" si="0"/>
        <v>-1.4882771765855618E-2</v>
      </c>
    </row>
    <row r="8" spans="1:15" x14ac:dyDescent="0.35">
      <c r="A8" s="4">
        <v>-5</v>
      </c>
      <c r="B8" s="2">
        <v>199.70820992674109</v>
      </c>
      <c r="C8" s="1">
        <v>0.68802044051979483</v>
      </c>
      <c r="D8" s="1">
        <f>'[29]400m3 обр'!AJ8</f>
        <v>0.80228865312812969</v>
      </c>
      <c r="E8" s="1">
        <v>154.13730000000001</v>
      </c>
      <c r="F8" s="1">
        <v>33.6526</v>
      </c>
      <c r="G8" s="3">
        <f>E8/(F8/100)/'10x15x8'!$R$14</f>
        <v>9.1240027321107284</v>
      </c>
      <c r="H8" s="2">
        <v>214.41340557814991</v>
      </c>
      <c r="I8" s="1">
        <v>0.67298351536860157</v>
      </c>
      <c r="J8" s="1">
        <f>'[29]400m3 обр'!AJ20</f>
        <v>0.78578091179149601</v>
      </c>
      <c r="K8" s="1">
        <v>165.66</v>
      </c>
      <c r="L8" s="1">
        <v>34.061100000000003</v>
      </c>
      <c r="M8" s="3">
        <f>K8/(L8/100)/'10x15x8'!$R$14</f>
        <v>9.6884715995666593</v>
      </c>
      <c r="O8" s="1">
        <f t="shared" si="0"/>
        <v>-1.6507741336633686E-2</v>
      </c>
    </row>
    <row r="9" spans="1:15" x14ac:dyDescent="0.35">
      <c r="A9" s="4">
        <v>0</v>
      </c>
      <c r="B9" s="2">
        <v>198.73947885409888</v>
      </c>
      <c r="C9" s="1">
        <v>0.69554448470388708</v>
      </c>
      <c r="D9" s="1">
        <f>'[29]400m3 обр'!AJ9</f>
        <v>0.80809278865932643</v>
      </c>
      <c r="E9" s="1">
        <v>152.10830000000001</v>
      </c>
      <c r="F9" s="1">
        <v>33.555300000000003</v>
      </c>
      <c r="G9" s="3">
        <f>E9/(F9/100)/'10x15x8'!$R$14</f>
        <v>9.0300066360100111</v>
      </c>
      <c r="H9" s="2">
        <v>214.17359702034025</v>
      </c>
      <c r="I9" s="1">
        <v>0.67883262410718481</v>
      </c>
      <c r="J9" s="1">
        <f>'[29]400m3 обр'!AJ21</f>
        <v>0.79024207756967935</v>
      </c>
      <c r="K9" s="1">
        <v>164.30459999999999</v>
      </c>
      <c r="L9" s="1">
        <v>34.012099999999997</v>
      </c>
      <c r="M9" s="3">
        <f>K9/(L9/100)/'10x15x8'!$R$14</f>
        <v>9.6230459160122432</v>
      </c>
      <c r="O9" s="1">
        <f t="shared" si="0"/>
        <v>-1.7850711089647087E-2</v>
      </c>
    </row>
    <row r="10" spans="1:15" x14ac:dyDescent="0.35">
      <c r="A10" s="4">
        <v>5</v>
      </c>
      <c r="B10" s="2">
        <v>194.29244468757045</v>
      </c>
      <c r="C10" s="1">
        <v>0.7042625250155683</v>
      </c>
      <c r="D10" s="1">
        <f>'[29]400m3 обр'!AJ10</f>
        <v>0.81593961541559257</v>
      </c>
      <c r="E10" s="1">
        <v>147.953</v>
      </c>
      <c r="F10" s="1">
        <v>33.377699999999997</v>
      </c>
      <c r="G10" s="3">
        <f>E10/(F10/100)/'10x15x8'!$R$14</f>
        <v>8.830059939224876</v>
      </c>
      <c r="H10" s="2">
        <v>209.09347165135563</v>
      </c>
      <c r="I10" s="1">
        <v>0.68570725290387591</v>
      </c>
      <c r="J10" s="1">
        <f>'[29]400m3 обр'!AJ22</f>
        <v>0.79709147270920655</v>
      </c>
      <c r="K10" s="1">
        <v>159.78659999999999</v>
      </c>
      <c r="L10" s="1">
        <v>33.830199999999998</v>
      </c>
      <c r="M10" s="3">
        <f>K10/(L10/100)/'10x15x8'!$R$14</f>
        <v>9.408753125905255</v>
      </c>
      <c r="O10" s="1">
        <f t="shared" si="0"/>
        <v>-1.8848142706386017E-2</v>
      </c>
    </row>
    <row r="11" spans="1:15" x14ac:dyDescent="0.35">
      <c r="A11" s="4">
        <v>8</v>
      </c>
      <c r="B11" s="2">
        <v>191.17246153573632</v>
      </c>
      <c r="C11" s="1">
        <v>0.70722919011666807</v>
      </c>
      <c r="D11" s="1">
        <f>'[29]400m3 обр'!AJ11</f>
        <v>0.81892324418297935</v>
      </c>
      <c r="E11" s="1">
        <v>145.26900000000001</v>
      </c>
      <c r="F11" s="1">
        <v>33.238599999999998</v>
      </c>
      <c r="G11" s="3">
        <f>E11/(F11/100)/'10x15x8'!$R$14</f>
        <v>8.7061572415098532</v>
      </c>
      <c r="H11" s="2">
        <v>205.95308292677296</v>
      </c>
      <c r="I11" s="1">
        <v>0.6880089886857067</v>
      </c>
      <c r="J11" s="1">
        <f>'[29]400m3 обр'!AJ23</f>
        <v>0.79962093224874631</v>
      </c>
      <c r="K11" s="1">
        <v>157.07579999999999</v>
      </c>
      <c r="L11" s="1">
        <v>33.7012</v>
      </c>
      <c r="M11" s="3">
        <f>K11/(L11/100)/'10x15x8'!$R$14</f>
        <v>9.2845358622244909</v>
      </c>
      <c r="O11" s="1">
        <f t="shared" si="0"/>
        <v>-1.9302311934233041E-2</v>
      </c>
    </row>
    <row r="12" spans="1:15" x14ac:dyDescent="0.35">
      <c r="O12" s="1">
        <f>AVERAGE(O3:O11)</f>
        <v>-1.6221084597379438E-2</v>
      </c>
    </row>
  </sheetData>
  <mergeCells count="3">
    <mergeCell ref="A1:A2"/>
    <mergeCell ref="H1:M1"/>
    <mergeCell ref="B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803-12D3-4BCE-9ADA-0023F403184A}">
  <dimension ref="A2:BP48"/>
  <sheetViews>
    <sheetView topLeftCell="AS16" zoomScale="70" zoomScaleNormal="70" workbookViewId="0">
      <selection activeCell="BG58" sqref="BG58"/>
    </sheetView>
  </sheetViews>
  <sheetFormatPr defaultRowHeight="14.5" x14ac:dyDescent="0.35"/>
  <cols>
    <col min="1" max="1" width="12.1796875" bestFit="1" customWidth="1"/>
    <col min="2" max="2" width="16.26953125" bestFit="1" customWidth="1"/>
    <col min="3" max="3" width="17.7265625" bestFit="1" customWidth="1"/>
    <col min="4" max="4" width="15.26953125" bestFit="1" customWidth="1"/>
    <col min="5" max="5" width="15.7265625" bestFit="1" customWidth="1"/>
    <col min="6" max="6" width="17.1796875" bestFit="1" customWidth="1"/>
    <col min="7" max="7" width="14.7265625" bestFit="1" customWidth="1"/>
    <col min="8" max="8" width="9.26953125" bestFit="1" customWidth="1"/>
    <col min="9" max="9" width="15.81640625" bestFit="1" customWidth="1"/>
    <col min="10" max="10" width="14.26953125" bestFit="1" customWidth="1"/>
    <col min="11" max="11" width="10" bestFit="1" customWidth="1"/>
    <col min="12" max="12" width="14.26953125" bestFit="1" customWidth="1"/>
    <col min="13" max="13" width="9.81640625" bestFit="1" customWidth="1"/>
    <col min="14" max="14" width="14.26953125" bestFit="1" customWidth="1"/>
    <col min="15" max="15" width="10" bestFit="1" customWidth="1"/>
    <col min="16" max="16" width="14.26953125" bestFit="1" customWidth="1"/>
    <col min="17" max="17" width="9.81640625" bestFit="1" customWidth="1"/>
    <col min="18" max="18" width="14.26953125" bestFit="1" customWidth="1"/>
    <col min="19" max="19" width="10" bestFit="1" customWidth="1"/>
    <col min="20" max="20" width="14.26953125" bestFit="1" customWidth="1"/>
    <col min="21" max="21" width="9.81640625" bestFit="1" customWidth="1"/>
    <col min="22" max="22" width="17.90625" bestFit="1" customWidth="1"/>
    <col min="23" max="23" width="10" bestFit="1" customWidth="1"/>
    <col min="24" max="24" width="14.26953125" bestFit="1" customWidth="1"/>
    <col min="25" max="25" width="9.81640625" bestFit="1" customWidth="1"/>
    <col min="26" max="26" width="17.90625" bestFit="1" customWidth="1"/>
    <col min="27" max="27" width="10" bestFit="1" customWidth="1"/>
    <col min="28" max="28" width="14.26953125" bestFit="1" customWidth="1"/>
    <col min="29" max="29" width="9.81640625" bestFit="1" customWidth="1"/>
    <col min="30" max="30" width="17.90625" bestFit="1" customWidth="1"/>
    <col min="31" max="31" width="10" bestFit="1" customWidth="1"/>
    <col min="32" max="32" width="14.26953125" bestFit="1" customWidth="1"/>
    <col min="33" max="33" width="9.81640625" bestFit="1" customWidth="1"/>
    <col min="34" max="34" width="17.90625" bestFit="1" customWidth="1"/>
    <col min="35" max="35" width="10" bestFit="1" customWidth="1"/>
    <col min="36" max="36" width="14.26953125" bestFit="1" customWidth="1"/>
    <col min="37" max="37" width="14.26953125" customWidth="1"/>
    <col min="39" max="39" width="14.26953125" bestFit="1" customWidth="1"/>
    <col min="40" max="40" width="13.7265625" bestFit="1" customWidth="1"/>
    <col min="41" max="45" width="12.7265625" bestFit="1" customWidth="1"/>
    <col min="46" max="46" width="11.7265625" bestFit="1" customWidth="1"/>
    <col min="47" max="50" width="12.7265625" bestFit="1" customWidth="1"/>
    <col min="51" max="51" width="11" bestFit="1" customWidth="1"/>
    <col min="52" max="52" width="12.7265625" bestFit="1" customWidth="1"/>
    <col min="53" max="53" width="11.7265625" bestFit="1" customWidth="1"/>
    <col min="54" max="55" width="12.7265625" bestFit="1" customWidth="1"/>
    <col min="56" max="56" width="11" bestFit="1" customWidth="1"/>
    <col min="57" max="57" width="12.7265625" bestFit="1" customWidth="1"/>
    <col min="58" max="58" width="11.7265625" bestFit="1" customWidth="1"/>
    <col min="59" max="63" width="11.7265625" customWidth="1"/>
    <col min="64" max="65" width="12.7265625" bestFit="1" customWidth="1"/>
    <col min="66" max="66" width="11" bestFit="1" customWidth="1"/>
    <col min="67" max="67" width="12.7265625" bestFit="1" customWidth="1"/>
    <col min="68" max="68" width="11.7265625" bestFit="1" customWidth="1"/>
  </cols>
  <sheetData>
    <row r="2" spans="2:63" x14ac:dyDescent="0.35">
      <c r="C2" t="s">
        <v>69</v>
      </c>
      <c r="D2">
        <v>3</v>
      </c>
      <c r="G2" t="s">
        <v>69</v>
      </c>
      <c r="H2">
        <v>25</v>
      </c>
    </row>
    <row r="3" spans="2:63" x14ac:dyDescent="0.35">
      <c r="C3" t="s">
        <v>70</v>
      </c>
      <c r="D3" s="21">
        <f>SUM(D5:D9)</f>
        <v>1551.2977876</v>
      </c>
      <c r="G3" t="s">
        <v>70</v>
      </c>
      <c r="H3" s="21">
        <f>SUM(H5:H9)</f>
        <v>788.548</v>
      </c>
    </row>
    <row r="4" spans="2:63" x14ac:dyDescent="0.35">
      <c r="B4" t="s">
        <v>71</v>
      </c>
      <c r="C4" t="s">
        <v>72</v>
      </c>
      <c r="F4" t="s">
        <v>71</v>
      </c>
      <c r="G4" t="s">
        <v>73</v>
      </c>
    </row>
    <row r="5" spans="2:63" x14ac:dyDescent="0.35">
      <c r="B5">
        <v>3</v>
      </c>
      <c r="C5" s="21">
        <v>5.9388000000000002E-3</v>
      </c>
      <c r="D5" s="21">
        <f>$D$2^B5*C5</f>
        <v>0.16034760000000001</v>
      </c>
      <c r="F5">
        <v>3</v>
      </c>
      <c r="G5" s="21">
        <v>-5.8154000000000001E-3</v>
      </c>
      <c r="H5" s="21">
        <f>$H$2^F5*G5</f>
        <v>-90.865624999999994</v>
      </c>
    </row>
    <row r="6" spans="2:63" x14ac:dyDescent="0.35">
      <c r="B6">
        <v>2</v>
      </c>
      <c r="C6" s="21">
        <f xml:space="preserve"> 0.37666</f>
        <v>0.37665999999999999</v>
      </c>
      <c r="D6" s="21">
        <f>$D$2^B6*C6</f>
        <v>3.3899400000000002</v>
      </c>
      <c r="F6">
        <v>2</v>
      </c>
      <c r="G6">
        <f xml:space="preserve"> 0.062513</f>
        <v>6.2512999999999999E-2</v>
      </c>
      <c r="H6" s="21">
        <f>$H$2^F6*G6</f>
        <v>39.070625</v>
      </c>
    </row>
    <row r="7" spans="2:63" x14ac:dyDescent="0.35">
      <c r="B7">
        <v>1</v>
      </c>
      <c r="C7">
        <f>2.1825</f>
        <v>2.1825000000000001</v>
      </c>
      <c r="D7" s="21">
        <f>$D$2^B7*C7</f>
        <v>6.5475000000000003</v>
      </c>
      <c r="F7">
        <v>1</v>
      </c>
      <c r="G7">
        <f xml:space="preserve"> - 0.37628</f>
        <v>-0.37628</v>
      </c>
      <c r="H7" s="21">
        <f>$H$2^F7*G7</f>
        <v>-9.407</v>
      </c>
    </row>
    <row r="8" spans="2:63" x14ac:dyDescent="0.35">
      <c r="B8">
        <v>0</v>
      </c>
      <c r="C8">
        <f>1541.2</f>
        <v>1541.2</v>
      </c>
      <c r="D8" s="21">
        <f>C8</f>
        <v>1541.2</v>
      </c>
      <c r="F8">
        <v>0</v>
      </c>
      <c r="G8">
        <f xml:space="preserve"> + 849.75</f>
        <v>849.75</v>
      </c>
      <c r="H8" s="21">
        <f>G8</f>
        <v>849.75</v>
      </c>
      <c r="AL8" t="s">
        <v>105</v>
      </c>
      <c r="AM8" t="s">
        <v>104</v>
      </c>
      <c r="AN8" t="s">
        <v>94</v>
      </c>
      <c r="AO8" t="s">
        <v>95</v>
      </c>
    </row>
    <row r="9" spans="2:63" x14ac:dyDescent="0.35">
      <c r="D9" s="21"/>
      <c r="V9" s="41" t="s">
        <v>99</v>
      </c>
      <c r="W9">
        <f>5303/1000</f>
        <v>5.3029999999999999</v>
      </c>
      <c r="Z9" s="41" t="s">
        <v>99</v>
      </c>
      <c r="AA9">
        <f>5303/1000</f>
        <v>5.3029999999999999</v>
      </c>
      <c r="AD9" s="41" t="s">
        <v>99</v>
      </c>
      <c r="AE9">
        <f>5303/1000</f>
        <v>5.3029999999999999</v>
      </c>
      <c r="AH9" s="41" t="s">
        <v>99</v>
      </c>
      <c r="AI9">
        <f>5303/1000</f>
        <v>5.3029999999999999</v>
      </c>
      <c r="AL9">
        <v>1</v>
      </c>
      <c r="AM9">
        <v>1</v>
      </c>
      <c r="AN9" t="s">
        <v>96</v>
      </c>
      <c r="AO9" t="s">
        <v>97</v>
      </c>
    </row>
    <row r="10" spans="2:63" x14ac:dyDescent="0.35">
      <c r="C10" t="s">
        <v>69</v>
      </c>
      <c r="D10">
        <v>3</v>
      </c>
      <c r="G10" t="s">
        <v>69</v>
      </c>
      <c r="H10">
        <v>25</v>
      </c>
      <c r="V10" t="s">
        <v>100</v>
      </c>
      <c r="W10">
        <v>34.700000000000003</v>
      </c>
      <c r="Z10" t="s">
        <v>100</v>
      </c>
      <c r="AA10">
        <v>34.700000000000003</v>
      </c>
      <c r="AD10" t="s">
        <v>100</v>
      </c>
      <c r="AE10">
        <v>34.700000000000003</v>
      </c>
      <c r="AH10" t="s">
        <v>100</v>
      </c>
      <c r="AI10">
        <v>34.700000000000003</v>
      </c>
      <c r="AL10">
        <v>2</v>
      </c>
      <c r="AM10">
        <v>2</v>
      </c>
      <c r="AN10" t="s">
        <v>98</v>
      </c>
      <c r="AO10" t="s">
        <v>98</v>
      </c>
    </row>
    <row r="11" spans="2:63" x14ac:dyDescent="0.35">
      <c r="C11" t="s">
        <v>70</v>
      </c>
      <c r="D11" s="21">
        <f>SUM(D13:D17)</f>
        <v>1285.039573476</v>
      </c>
      <c r="G11" t="s">
        <v>70</v>
      </c>
      <c r="H11" s="21">
        <f>SUM(H13:H17)</f>
        <v>1282.4106875</v>
      </c>
      <c r="V11" t="s">
        <v>101</v>
      </c>
      <c r="W11">
        <f>W9/W10</f>
        <v>0.15282420749279538</v>
      </c>
      <c r="Z11" t="s">
        <v>101</v>
      </c>
      <c r="AA11">
        <f>AA9/AA10</f>
        <v>0.15282420749279538</v>
      </c>
      <c r="AD11" t="s">
        <v>101</v>
      </c>
      <c r="AE11">
        <f>AE9/AE10</f>
        <v>0.15282420749279538</v>
      </c>
      <c r="AH11" t="s">
        <v>101</v>
      </c>
      <c r="AI11">
        <f>AI9/AI10</f>
        <v>0.15282420749279538</v>
      </c>
      <c r="AL11">
        <v>3</v>
      </c>
      <c r="AM11">
        <v>3</v>
      </c>
      <c r="AN11" t="s">
        <v>97</v>
      </c>
      <c r="AO11" t="s">
        <v>96</v>
      </c>
    </row>
    <row r="12" spans="2:63" x14ac:dyDescent="0.35">
      <c r="B12" t="s">
        <v>74</v>
      </c>
      <c r="C12" t="s">
        <v>72</v>
      </c>
      <c r="F12" t="s">
        <v>75</v>
      </c>
      <c r="G12" t="s">
        <v>73</v>
      </c>
      <c r="AL12">
        <v>4</v>
      </c>
      <c r="AM12">
        <v>4</v>
      </c>
      <c r="AN12" t="s">
        <v>97</v>
      </c>
      <c r="AO12" t="s">
        <v>97</v>
      </c>
      <c r="BH12" s="32">
        <f t="shared" ref="BG12:BJ12" si="0">(((($G28*(AD28-$I28))-($AN$19*(AE28-$J28)))*$AM$19)+((($C28*(AF28-$K28))-($AN$19*(AG28-$L28)))*$AM$19))/1000</f>
        <v>341121.5670290314</v>
      </c>
      <c r="BI12" s="32" t="e">
        <f t="shared" si="0"/>
        <v>#REF!</v>
      </c>
      <c r="BJ12" s="32" t="e">
        <f t="shared" si="0"/>
        <v>#REF!</v>
      </c>
      <c r="BK12" s="32" t="e">
        <f>(((($G28*(AG28-$I28))-($AN$19*(AH28-$J28)))*$AM$19)+((($C28*(AI28-$K28))-($AN$19*(AJ28-$L28)))*$AM$19))/1000</f>
        <v>#REF!</v>
      </c>
    </row>
    <row r="13" spans="2:63" x14ac:dyDescent="0.35">
      <c r="B13">
        <v>3</v>
      </c>
      <c r="C13" s="21">
        <f>C5/100</f>
        <v>5.9388000000000001E-5</v>
      </c>
      <c r="D13" s="21">
        <f>$D$2^B13*C13</f>
        <v>1.6034759999999999E-3</v>
      </c>
      <c r="F13">
        <v>3</v>
      </c>
      <c r="G13" s="21">
        <f>G5*-0.1</f>
        <v>5.8154000000000007E-4</v>
      </c>
      <c r="H13" s="21">
        <f>$H$2^F13*G13</f>
        <v>9.0865625000000012</v>
      </c>
      <c r="V13">
        <v>50.2</v>
      </c>
      <c r="W13" t="s">
        <v>106</v>
      </c>
      <c r="Z13">
        <v>50.2</v>
      </c>
      <c r="AA13" t="s">
        <v>106</v>
      </c>
      <c r="AD13">
        <v>50.2</v>
      </c>
      <c r="AE13" t="s">
        <v>106</v>
      </c>
      <c r="AH13">
        <v>50.2</v>
      </c>
      <c r="AI13" t="s">
        <v>106</v>
      </c>
      <c r="AL13">
        <v>5</v>
      </c>
      <c r="AM13">
        <v>5</v>
      </c>
      <c r="AN13" t="s">
        <v>98</v>
      </c>
      <c r="AO13" t="s">
        <v>96</v>
      </c>
      <c r="BH13" s="32">
        <f t="shared" ref="BG13:BJ13" si="1">(((($G29*(AD29-$I29))-($AN$19*(AE29-$J29)))*$AM$19)+((($C29*(AF29-$K29))-($AN$19*(AG29-$L29)))*$AM$19))/1000</f>
        <v>333482.83625413186</v>
      </c>
      <c r="BI13" s="32">
        <f t="shared" si="1"/>
        <v>-577.15165945142951</v>
      </c>
      <c r="BJ13" s="32">
        <f t="shared" si="1"/>
        <v>364473.36590387975</v>
      </c>
      <c r="BK13" s="32">
        <f>(((($G29*(AG29-$I29))-($AN$19*(AH29-$J29)))*$AM$19)+((($C29*(AI29-$K29))-($AN$19*(AJ29-$L29)))*$AM$19))/1000</f>
        <v>-38.052279067221797</v>
      </c>
    </row>
    <row r="14" spans="2:63" x14ac:dyDescent="0.35">
      <c r="B14">
        <v>2</v>
      </c>
      <c r="C14" s="21">
        <f>C6*0.5</f>
        <v>0.18833</v>
      </c>
      <c r="D14" s="21">
        <f>$D$2^B14*C14</f>
        <v>1.6949700000000001</v>
      </c>
      <c r="F14">
        <v>2</v>
      </c>
      <c r="G14" s="21">
        <f>G6*5</f>
        <v>0.31256499999999998</v>
      </c>
      <c r="H14" s="21">
        <f>$H$2^F14*G14</f>
        <v>195.35312499999998</v>
      </c>
      <c r="BH14" s="32">
        <f t="shared" ref="BG14:BJ14" si="2">(((($G30*(AD30-$I30))-($AN$19*(AE30-$J30)))*$AM$19)+((($C30*(AF30-$K30))-($AN$19*(AG30-$L30)))*$AM$19))/1000</f>
        <v>323505.23509626335</v>
      </c>
      <c r="BI14" s="32">
        <f t="shared" si="2"/>
        <v>-567.00595494719187</v>
      </c>
      <c r="BJ14" s="32">
        <f t="shared" si="2"/>
        <v>358921.44851320557</v>
      </c>
      <c r="BK14" s="32">
        <f>(((($G30*(AG30-$I30))-($AN$19*(AH30-$J30)))*$AM$19)+((($C30*(AI30-$K30))-($AN$19*(AJ30-$L30)))*$AM$19))/1000</f>
        <v>-37.365297881120121</v>
      </c>
    </row>
    <row r="15" spans="2:63" x14ac:dyDescent="0.35">
      <c r="B15">
        <v>1</v>
      </c>
      <c r="C15">
        <f>C7*-1.2</f>
        <v>-2.6190000000000002</v>
      </c>
      <c r="D15" s="21">
        <f>$D$2^B15*C15</f>
        <v>-7.8570000000000011</v>
      </c>
      <c r="F15">
        <v>1</v>
      </c>
      <c r="G15" s="21">
        <f>G7*-3</f>
        <v>1.1288400000000001</v>
      </c>
      <c r="H15" s="21">
        <f>$H$2^F15*G15</f>
        <v>28.221</v>
      </c>
      <c r="BH15" s="32">
        <f t="shared" ref="BG15:BJ15" si="3">(((($G31*(AD31-$I31))-($AN$19*(AE31-$J31)))*$AM$19)+((($C31*(AF31-$K31))-($AN$19*(AG31-$L31)))*$AM$19))/1000</f>
        <v>312994.16033068742</v>
      </c>
      <c r="BI15" s="32">
        <f t="shared" si="3"/>
        <v>-577.20601321171387</v>
      </c>
      <c r="BJ15" s="32">
        <f t="shared" si="3"/>
        <v>347722.0501862946</v>
      </c>
      <c r="BK15" s="32">
        <f>(((($G31*(AG31-$I31))-($AN$19*(AH31-$J31)))*$AM$19)+((($C31*(AI31-$K31))-($AN$19*(AJ31-$L31)))*$AM$19))/1000</f>
        <v>-31.049074815129803</v>
      </c>
    </row>
    <row r="16" spans="2:63" x14ac:dyDescent="0.35">
      <c r="B16">
        <v>0</v>
      </c>
      <c r="C16">
        <f>C8-250</f>
        <v>1291.2</v>
      </c>
      <c r="D16" s="21">
        <f>C16</f>
        <v>1291.2</v>
      </c>
      <c r="F16">
        <v>0</v>
      </c>
      <c r="G16" s="21">
        <f>G8+200</f>
        <v>1049.75</v>
      </c>
      <c r="H16" s="21">
        <f>G16</f>
        <v>1049.75</v>
      </c>
      <c r="BH16" s="32">
        <f t="shared" ref="BG16:BJ16" si="4">(((($G32*(AD32-$I32))-($AN$19*(AE32-$J32)))*$AM$19)+((($C32*(AF32-$K32))-($AN$19*(AG32-$L32)))*$AM$19))/1000</f>
        <v>305491.25271164044</v>
      </c>
      <c r="BI16" s="32">
        <f t="shared" si="4"/>
        <v>-585.59321028667659</v>
      </c>
      <c r="BJ16" s="32">
        <f t="shared" si="4"/>
        <v>338721.29929415043</v>
      </c>
      <c r="BK16" s="32">
        <f>(((($G32*(AG32-$I32))-($AN$19*(AH32-$J32)))*$AM$19)+((($C32*(AI32-$K32))-($AN$19*(AJ32-$L32)))*$AM$19))/1000</f>
        <v>-30.215384901385754</v>
      </c>
    </row>
    <row r="17" spans="1:68" x14ac:dyDescent="0.35">
      <c r="BH17" s="32">
        <f t="shared" ref="BG17:BJ17" si="5">(((($G33*(AD33-$I33))-($AN$19*(AE33-$J33)))*$AM$19)+((($C33*(AF33-$K33))-($AN$19*(AG33-$L33)))*$AM$19))/1000</f>
        <v>301336.91332158289</v>
      </c>
      <c r="BI17" s="32">
        <f t="shared" si="5"/>
        <v>-592.33148140311243</v>
      </c>
      <c r="BJ17" s="32">
        <f t="shared" si="5"/>
        <v>333786.30487046693</v>
      </c>
      <c r="BK17" s="32">
        <f>(((($G33*(AG33-$I33))-($AN$19*(AH33-$J33)))*$AM$19)+((($C33*(AI33-$K33))-($AN$19*(AJ33-$L33)))*$AM$19))/1000</f>
        <v>-33.060958337961289</v>
      </c>
    </row>
    <row r="18" spans="1:68" x14ac:dyDescent="0.35">
      <c r="C18" t="s">
        <v>69</v>
      </c>
      <c r="D18">
        <v>3</v>
      </c>
      <c r="G18" t="s">
        <v>69</v>
      </c>
      <c r="H18">
        <v>25</v>
      </c>
      <c r="AM18" t="s">
        <v>103</v>
      </c>
      <c r="AN18" t="s">
        <v>102</v>
      </c>
      <c r="BH18" s="32">
        <f t="shared" ref="BG18:BJ18" si="6">(((($G34*(AD34-$I34))-($AN$19*(AE34-$J34)))*$AM$19)+((($C34*(AF34-$K34))-($AN$19*(AG34-$L34)))*$AM$19))/1000</f>
        <v>297926.31202268641</v>
      </c>
      <c r="BI18" s="32">
        <f t="shared" si="6"/>
        <v>-595.09695302764931</v>
      </c>
      <c r="BJ18" s="32">
        <f t="shared" si="6"/>
        <v>330581.73718539474</v>
      </c>
      <c r="BK18" s="32">
        <f>(((($G34*(AG34-$I34))-($AN$19*(AH34-$J34)))*$AM$19)+((($C34*(AI34-$K34))-($AN$19*(AJ34-$L34)))*$AM$19))/1000</f>
        <v>-31.338946587741784</v>
      </c>
    </row>
    <row r="19" spans="1:68" x14ac:dyDescent="0.35">
      <c r="C19" t="s">
        <v>70</v>
      </c>
      <c r="D19" s="21">
        <f>SUM(G21:G25)</f>
        <v>597.86591024999996</v>
      </c>
      <c r="G19" t="s">
        <v>70</v>
      </c>
      <c r="H19" s="21">
        <f>SUM(K21:K26)</f>
        <v>0</v>
      </c>
      <c r="M19" t="s">
        <v>89</v>
      </c>
      <c r="AM19">
        <f>4</f>
        <v>4</v>
      </c>
      <c r="AN19">
        <f>V13*W11</f>
        <v>7.6717752161383288</v>
      </c>
      <c r="BH19" s="32">
        <f t="shared" ref="BG19:BJ19" si="7">(((($G35*(AD35-$I35))-($AN$19*(AE35-$J35)))*$AM$19)+((($C35*(AF35-$K35))-($AN$19*(AG35-$L35)))*$AM$19))/1000</f>
        <v>293426.83418568474</v>
      </c>
      <c r="BI19" s="32">
        <f t="shared" si="7"/>
        <v>-588.18783907584657</v>
      </c>
      <c r="BJ19" s="32">
        <f t="shared" si="7"/>
        <v>328942.59859898221</v>
      </c>
      <c r="BK19" s="32">
        <f>(((($G35*(AG35-$I35))-($AN$19*(AH35-$J35)))*$AM$19)+((($C35*(AI35-$K35))-($AN$19*(AJ35-$L35)))*$AM$19))/1000</f>
        <v>-23.675913601222621</v>
      </c>
    </row>
    <row r="20" spans="1:68" ht="15" thickBot="1" x14ac:dyDescent="0.4">
      <c r="B20" t="s">
        <v>75</v>
      </c>
      <c r="C20" t="s">
        <v>72</v>
      </c>
      <c r="F20" t="s">
        <v>74</v>
      </c>
      <c r="G20" t="s">
        <v>73</v>
      </c>
      <c r="M20" t="s">
        <v>90</v>
      </c>
      <c r="BH20" s="76">
        <f t="shared" ref="BG20:BJ20" si="8">(((($G36*(AD36-$I36))-($AN$19*(AE36-$J36)))*$AM$19)+((($C36*(AF36-$K36))-($AN$19*(AG36-$L36)))*$AM$19))/1000</f>
        <v>291642.88688225352</v>
      </c>
      <c r="BI20" s="76">
        <f t="shared" si="8"/>
        <v>-591.59594856462741</v>
      </c>
      <c r="BJ20" s="76">
        <f t="shared" si="8"/>
        <v>328856.14986689854</v>
      </c>
      <c r="BK20" s="76">
        <f>(((($G36*(AG36-$I36))-($AN$19*(AH36-$J36)))*$AM$19)+((($C36*(AI36-$K36))-($AN$19*(AJ36-$L36)))*$AM$19))/1000</f>
        <v>-15.841438434833661</v>
      </c>
    </row>
    <row r="21" spans="1:68" x14ac:dyDescent="0.35">
      <c r="B21">
        <v>3</v>
      </c>
      <c r="C21" s="21">
        <f>C5</f>
        <v>5.9388000000000002E-3</v>
      </c>
      <c r="D21" s="21">
        <f>$D$2^B21*C21</f>
        <v>0.16034760000000001</v>
      </c>
      <c r="F21">
        <v>3</v>
      </c>
      <c r="G21" s="21">
        <f>G5</f>
        <v>-5.8154000000000001E-3</v>
      </c>
      <c r="H21" s="21">
        <f>$H$2^F21*G21</f>
        <v>-90.865624999999994</v>
      </c>
    </row>
    <row r="22" spans="1:68" x14ac:dyDescent="0.35">
      <c r="B22">
        <v>2</v>
      </c>
      <c r="C22" s="21">
        <f>C6</f>
        <v>0.37665999999999999</v>
      </c>
      <c r="D22" s="21">
        <f>$D$2^B22*C22</f>
        <v>3.3899400000000002</v>
      </c>
      <c r="F22">
        <v>2</v>
      </c>
      <c r="G22">
        <f>G6/20</f>
        <v>3.1256499999999998E-3</v>
      </c>
      <c r="H22" s="21">
        <f>$H$2^F22*G22</f>
        <v>1.9535312499999999</v>
      </c>
    </row>
    <row r="23" spans="1:68" ht="15" thickBot="1" x14ac:dyDescent="0.4">
      <c r="B23">
        <v>1</v>
      </c>
      <c r="C23">
        <f>C7*1.5</f>
        <v>3.2737500000000002</v>
      </c>
      <c r="D23" s="21">
        <f>$D$2^B23*C23</f>
        <v>9.8212500000000009</v>
      </c>
      <c r="F23">
        <v>1</v>
      </c>
      <c r="G23">
        <f>G7*5</f>
        <v>-1.8814</v>
      </c>
      <c r="H23" s="21">
        <f>$H$2^F23*G23</f>
        <v>-47.034999999999997</v>
      </c>
    </row>
    <row r="24" spans="1:68" ht="15" thickBot="1" x14ac:dyDescent="0.4">
      <c r="B24">
        <v>0</v>
      </c>
      <c r="C24">
        <f>C8+250</f>
        <v>1791.2</v>
      </c>
      <c r="D24" s="21">
        <f>C24</f>
        <v>1791.2</v>
      </c>
      <c r="F24">
        <v>0</v>
      </c>
      <c r="G24">
        <f>G8-250</f>
        <v>599.75</v>
      </c>
      <c r="H24" s="21">
        <f>G24</f>
        <v>599.75</v>
      </c>
      <c r="AM24" s="61" t="s">
        <v>80</v>
      </c>
      <c r="AN24" s="62"/>
      <c r="AO24" s="62"/>
      <c r="AP24" s="62"/>
      <c r="AQ24" s="63"/>
      <c r="AR24" s="61" t="s">
        <v>84</v>
      </c>
      <c r="AS24" s="62"/>
      <c r="AT24" s="62"/>
      <c r="AU24" s="62"/>
      <c r="AV24" s="63"/>
      <c r="AW24" s="61" t="s">
        <v>85</v>
      </c>
      <c r="AX24" s="62"/>
      <c r="AY24" s="62"/>
      <c r="AZ24" s="62"/>
      <c r="BA24" s="63"/>
      <c r="BB24" s="61" t="s">
        <v>107</v>
      </c>
      <c r="BC24" s="62"/>
      <c r="BD24" s="62"/>
      <c r="BE24" s="62"/>
      <c r="BF24" s="63"/>
      <c r="BG24" s="61" t="s">
        <v>108</v>
      </c>
      <c r="BH24" s="62"/>
      <c r="BI24" s="62"/>
      <c r="BJ24" s="62"/>
      <c r="BK24" s="63"/>
      <c r="BL24" s="61" t="s">
        <v>109</v>
      </c>
      <c r="BM24" s="62"/>
      <c r="BN24" s="62"/>
      <c r="BO24" s="62"/>
      <c r="BP24" s="63"/>
    </row>
    <row r="25" spans="1:68" ht="15" thickBot="1" x14ac:dyDescent="0.4">
      <c r="B25" s="23"/>
      <c r="C25" s="23" t="s">
        <v>72</v>
      </c>
      <c r="D25" s="23"/>
      <c r="E25" s="25"/>
      <c r="F25" s="25" t="s">
        <v>73</v>
      </c>
      <c r="G25" s="25"/>
      <c r="H25" s="21"/>
      <c r="I25" s="28" t="s">
        <v>81</v>
      </c>
      <c r="J25" s="29"/>
      <c r="K25" s="29"/>
      <c r="L25" s="30"/>
      <c r="M25" s="28" t="s">
        <v>80</v>
      </c>
      <c r="N25" s="29"/>
      <c r="O25" s="29"/>
      <c r="P25" s="30"/>
      <c r="Q25" s="28" t="s">
        <v>84</v>
      </c>
      <c r="R25" s="29"/>
      <c r="S25" s="29"/>
      <c r="T25" s="30"/>
      <c r="U25" s="28" t="s">
        <v>85</v>
      </c>
      <c r="V25" s="29"/>
      <c r="W25" s="29"/>
      <c r="X25" s="30"/>
      <c r="Y25" s="28" t="s">
        <v>107</v>
      </c>
      <c r="Z25" s="29"/>
      <c r="AA25" s="29"/>
      <c r="AB25" s="30"/>
      <c r="AC25" s="28" t="s">
        <v>108</v>
      </c>
      <c r="AD25" s="29"/>
      <c r="AE25" s="29"/>
      <c r="AF25" s="30"/>
      <c r="AG25" s="28" t="s">
        <v>109</v>
      </c>
      <c r="AH25" s="29"/>
      <c r="AI25" s="29"/>
      <c r="AJ25" s="30"/>
      <c r="AK25" s="72"/>
      <c r="AM25" s="36">
        <v>1</v>
      </c>
      <c r="AN25" s="37">
        <v>2</v>
      </c>
      <c r="AO25" s="37">
        <v>3</v>
      </c>
      <c r="AP25" s="37">
        <v>4</v>
      </c>
      <c r="AQ25" s="38">
        <v>5</v>
      </c>
      <c r="AR25" s="36">
        <v>1</v>
      </c>
      <c r="AS25" s="37">
        <v>2</v>
      </c>
      <c r="AT25" s="37">
        <v>3</v>
      </c>
      <c r="AU25" s="37">
        <v>4</v>
      </c>
      <c r="AV25" s="38">
        <v>5</v>
      </c>
      <c r="AW25" s="36">
        <v>1</v>
      </c>
      <c r="AX25" s="37">
        <v>2</v>
      </c>
      <c r="AY25" s="37">
        <v>3</v>
      </c>
      <c r="AZ25" s="37">
        <v>4</v>
      </c>
      <c r="BA25" s="38">
        <v>5</v>
      </c>
      <c r="BB25" s="36">
        <v>1</v>
      </c>
      <c r="BC25" s="37">
        <v>2</v>
      </c>
      <c r="BD25" s="37">
        <v>3</v>
      </c>
      <c r="BE25" s="37">
        <v>4</v>
      </c>
      <c r="BF25" s="38">
        <v>5</v>
      </c>
      <c r="BG25" s="36">
        <v>1</v>
      </c>
      <c r="BH25" s="37">
        <v>2</v>
      </c>
      <c r="BI25" s="37">
        <v>3</v>
      </c>
      <c r="BJ25" s="37">
        <v>4</v>
      </c>
      <c r="BK25" s="38">
        <v>5</v>
      </c>
      <c r="BL25" s="36">
        <v>1</v>
      </c>
      <c r="BM25" s="37">
        <v>2</v>
      </c>
      <c r="BN25" s="37">
        <v>3</v>
      </c>
      <c r="BO25" s="37">
        <v>4</v>
      </c>
      <c r="BP25" s="38">
        <v>5</v>
      </c>
    </row>
    <row r="26" spans="1:68" x14ac:dyDescent="0.35">
      <c r="B26" s="23" t="s">
        <v>76</v>
      </c>
      <c r="C26" s="23" t="s">
        <v>77</v>
      </c>
      <c r="D26" s="23" t="s">
        <v>78</v>
      </c>
      <c r="E26" s="25" t="s">
        <v>76</v>
      </c>
      <c r="F26" s="25" t="s">
        <v>77</v>
      </c>
      <c r="G26" s="25" t="s">
        <v>78</v>
      </c>
      <c r="I26" s="31" t="s">
        <v>73</v>
      </c>
      <c r="K26" s="23" t="s">
        <v>72</v>
      </c>
      <c r="L26" s="32"/>
      <c r="M26" s="31" t="s">
        <v>73</v>
      </c>
      <c r="O26" s="23" t="s">
        <v>72</v>
      </c>
      <c r="P26" s="32"/>
      <c r="Q26" s="31" t="s">
        <v>73</v>
      </c>
      <c r="S26" s="23" t="s">
        <v>72</v>
      </c>
      <c r="T26" s="32"/>
      <c r="U26" s="31" t="s">
        <v>73</v>
      </c>
      <c r="W26" s="23" t="s">
        <v>72</v>
      </c>
      <c r="X26" s="32"/>
      <c r="Y26" s="31" t="s">
        <v>73</v>
      </c>
      <c r="AA26" s="23" t="s">
        <v>72</v>
      </c>
      <c r="AB26" s="32"/>
      <c r="AC26" s="31" t="s">
        <v>73</v>
      </c>
      <c r="AE26" s="23" t="s">
        <v>72</v>
      </c>
      <c r="AF26" s="32"/>
      <c r="AG26" s="31" t="s">
        <v>73</v>
      </c>
      <c r="AI26" s="23" t="s">
        <v>72</v>
      </c>
      <c r="AJ26" s="32"/>
      <c r="AK26" s="72"/>
      <c r="AM26" s="28"/>
      <c r="AN26" s="29"/>
      <c r="AO26" s="29"/>
      <c r="AP26" s="29"/>
      <c r="AQ26" s="30"/>
      <c r="AR26" s="28"/>
      <c r="AS26" s="29"/>
      <c r="AT26" s="29"/>
      <c r="AU26" s="29"/>
      <c r="AV26" s="30"/>
      <c r="AW26" s="28"/>
      <c r="AX26" s="29"/>
      <c r="AY26" s="29"/>
      <c r="AZ26" s="29"/>
      <c r="BA26" s="30"/>
      <c r="BB26" s="28"/>
      <c r="BC26" s="29"/>
      <c r="BD26" s="29"/>
      <c r="BE26" s="29"/>
      <c r="BF26" s="30"/>
      <c r="BG26" s="28"/>
      <c r="BH26" s="29"/>
      <c r="BI26" s="29"/>
      <c r="BJ26" s="29"/>
      <c r="BK26" s="30"/>
      <c r="BL26" s="28"/>
      <c r="BM26" s="29"/>
      <c r="BN26" s="29"/>
      <c r="BO26" s="29"/>
      <c r="BP26" s="30"/>
    </row>
    <row r="27" spans="1:68" x14ac:dyDescent="0.35">
      <c r="A27" t="s">
        <v>79</v>
      </c>
      <c r="B27" s="23" t="str">
        <f>$C$25&amp;" "&amp;B26</f>
        <v>Максимум сверху</v>
      </c>
      <c r="C27" s="23" t="str">
        <f>$C$25&amp;" "&amp;C26</f>
        <v>Максимум среднее</v>
      </c>
      <c r="D27" s="23" t="str">
        <f>$C$25&amp;" "&amp;D26</f>
        <v>Максимум снизу</v>
      </c>
      <c r="E27" s="25" t="str">
        <f>$F$25&amp;" "&amp;E26</f>
        <v>Минимум сверху</v>
      </c>
      <c r="F27" s="25" t="str">
        <f>$F$25&amp;" "&amp;F26</f>
        <v>Минимум среднее</v>
      </c>
      <c r="G27" s="25" t="str">
        <f>$F$25&amp;" "&amp;G26</f>
        <v>Минимум снизу</v>
      </c>
      <c r="I27" s="33" t="s">
        <v>82</v>
      </c>
      <c r="J27" t="s">
        <v>83</v>
      </c>
      <c r="K27" t="s">
        <v>82</v>
      </c>
      <c r="L27" s="32" t="s">
        <v>83</v>
      </c>
      <c r="M27" s="33" t="s">
        <v>82</v>
      </c>
      <c r="N27" t="s">
        <v>83</v>
      </c>
      <c r="O27" t="s">
        <v>82</v>
      </c>
      <c r="P27" s="32" t="s">
        <v>83</v>
      </c>
      <c r="Q27" s="33" t="s">
        <v>82</v>
      </c>
      <c r="R27" t="s">
        <v>83</v>
      </c>
      <c r="S27" t="s">
        <v>82</v>
      </c>
      <c r="T27" s="32" t="s">
        <v>83</v>
      </c>
      <c r="U27" s="33" t="s">
        <v>82</v>
      </c>
      <c r="V27" t="s">
        <v>83</v>
      </c>
      <c r="W27" t="s">
        <v>82</v>
      </c>
      <c r="X27" s="32" t="s">
        <v>83</v>
      </c>
      <c r="Y27" s="33" t="s">
        <v>82</v>
      </c>
      <c r="Z27" t="s">
        <v>83</v>
      </c>
      <c r="AA27" t="s">
        <v>82</v>
      </c>
      <c r="AB27" s="32" t="s">
        <v>83</v>
      </c>
      <c r="AC27" s="33" t="s">
        <v>82</v>
      </c>
      <c r="AD27" t="s">
        <v>83</v>
      </c>
      <c r="AE27" t="s">
        <v>82</v>
      </c>
      <c r="AF27" s="32" t="s">
        <v>83</v>
      </c>
      <c r="AG27" s="33" t="s">
        <v>82</v>
      </c>
      <c r="AH27" t="s">
        <v>83</v>
      </c>
      <c r="AI27" t="s">
        <v>82</v>
      </c>
      <c r="AJ27" s="32" t="s">
        <v>83</v>
      </c>
      <c r="AK27" s="72"/>
      <c r="AM27" s="33"/>
      <c r="AQ27" s="32"/>
      <c r="AR27" s="33"/>
      <c r="AV27" s="32"/>
      <c r="AW27" s="33"/>
      <c r="BA27" s="32"/>
      <c r="BB27" s="33"/>
      <c r="BF27" s="32"/>
      <c r="BG27" s="33"/>
      <c r="BK27" s="32"/>
      <c r="BL27" s="33"/>
      <c r="BP27" s="32"/>
    </row>
    <row r="28" spans="1:68" x14ac:dyDescent="0.35">
      <c r="A28">
        <v>-29</v>
      </c>
      <c r="B28" s="24">
        <f>A28^$B$21*$C$21+A28^$B$22*$C$22+A28^$B$23*$C$23+$C$24</f>
        <v>1868.1909168</v>
      </c>
      <c r="C28" s="24">
        <f>A28^$B$5*$C$5+A28^$B$6*$C$6+A28^$B$7*$C$7+$C$8</f>
        <v>1649.8371668</v>
      </c>
      <c r="D28" s="24">
        <f>A28^$B$13*$C$13+A28^$B$14*$C$14+A28^$B$15*$C$15+$C$16</f>
        <v>1524.0881160680001</v>
      </c>
      <c r="E28" s="26">
        <f>A28^$F$13*$G$13+A28^$F$14*$G$14+A28^$F$15*$G$15+$G$16</f>
        <v>1265.6976259399999</v>
      </c>
      <c r="F28" s="26">
        <f>A28^$F$5*$G$5+A28^$F$6*$G$6+A28^$F$7*$G$7+$G$8</f>
        <v>1055.0673436</v>
      </c>
      <c r="G28" s="26">
        <f>A28^$F$21*$G$21+A28^$F$22*$G$22+A28^$F$23*$G$23+$G$24</f>
        <v>798.77106225</v>
      </c>
      <c r="I28" s="33">
        <f>'Без ПКМ'!B3</f>
        <v>175.06425550511426</v>
      </c>
      <c r="J28">
        <f>'Без ПКМ'!G3*3600</f>
        <v>31171.282354128438</v>
      </c>
      <c r="K28">
        <f>'Без ПКМ'!H3</f>
        <v>205.13768958891018</v>
      </c>
      <c r="L28" s="32">
        <f>'Без ПКМ'!M3*3600</f>
        <v>34863.451481696684</v>
      </c>
      <c r="M28" s="34">
        <f>'10x15x4'!T3</f>
        <v>155.07887975299244</v>
      </c>
      <c r="N28" s="27">
        <f>'10x15x4'!AE3*3600</f>
        <v>33770.894828490549</v>
      </c>
      <c r="O28" s="27">
        <f>'10x15x4'!AY3</f>
        <v>213.96254922083995</v>
      </c>
      <c r="P28" s="35">
        <f>'10x15x4'!BK3*3600</f>
        <v>33038.153627539694</v>
      </c>
      <c r="Q28" s="34">
        <f>'10x15x6'!T3</f>
        <v>145.66763129388545</v>
      </c>
      <c r="R28" s="27">
        <f>'10x15x6'!AE3*3600</f>
        <v>35025.352906034386</v>
      </c>
      <c r="S28" s="27">
        <f>'10x15x6'!AY3</f>
        <v>223.22305995577676</v>
      </c>
      <c r="T28" s="35">
        <f>'10x15x6'!BK3*3600</f>
        <v>33038.153627539694</v>
      </c>
      <c r="U28" s="34">
        <f>'10x15x8'!T3</f>
        <v>136.50650961320528</v>
      </c>
      <c r="V28" s="27">
        <f>'10x15x8'!AE3*3600</f>
        <v>36235.11634627758</v>
      </c>
      <c r="W28" s="27">
        <f>'10x15x8'!AY3</f>
        <v>232.82227177768343</v>
      </c>
      <c r="X28" s="35">
        <f>'10x15x8'!BK3*3600</f>
        <v>33038.153627539694</v>
      </c>
      <c r="Y28" s="34">
        <f>'10x15x10'!T3</f>
        <v>127.07397028923255</v>
      </c>
      <c r="Z28" s="27">
        <f>'10x15x10'!AE3*3600</f>
        <v>37328.713911721417</v>
      </c>
      <c r="AA28" s="27">
        <f>'10x15x10'!AY3</f>
        <v>242.61161260205884</v>
      </c>
      <c r="AB28" s="35">
        <f>'10x15x10'!BK3*3600</f>
        <v>33038.153627539694</v>
      </c>
      <c r="AC28" s="34">
        <f>'10x15x12'!T3</f>
        <v>118.54027163063971</v>
      </c>
      <c r="AD28" s="27">
        <f>'10x15x12'!AE3*3600</f>
        <v>38493.480187031157</v>
      </c>
      <c r="AE28" s="27">
        <f>'10x15x12'!AY3</f>
        <v>252.40831575897164</v>
      </c>
      <c r="AF28" s="35">
        <f>'10x15x12'!BK3*3600</f>
        <v>33038.153627539694</v>
      </c>
      <c r="AG28" s="34">
        <f>'10x15x14'!T3</f>
        <v>136.50650961320528</v>
      </c>
      <c r="AH28" s="27" t="e">
        <f>'10x15x14'!AE3*3600</f>
        <v>#REF!</v>
      </c>
      <c r="AI28" s="27">
        <f>'10x15x14'!AY3</f>
        <v>232.82227177768343</v>
      </c>
      <c r="AJ28" s="35">
        <f>'10x15x14'!BK3*3600</f>
        <v>33038.153627539694</v>
      </c>
      <c r="AK28" s="73"/>
      <c r="AM28" s="45">
        <f>(((($E28*(M28-$I28))-($AN$19*(N28-$J28)))*$AM$19)+((($D28*(O28-$K28))-($AN$19*(P28-$L28)))*$AM$19))/1000</f>
        <v>-71.143786659081016</v>
      </c>
      <c r="AN28">
        <f t="shared" ref="AN28:AN36" si="9">(((($F28*(M28-$I28))-($AN$19*(N28-$J28)))*$AM$19)+((($C28*(O28-$K28))-($AN$19*(P28-$L28)))*$AM$19))/1000</f>
        <v>-49.86681442348614</v>
      </c>
      <c r="AO28" s="21">
        <f>(((($G28*(M28-$I28))-($AN$19*(N28-$J28)))*$AM$19)+((($B28*(O28-$K28))-($AN$19*(P28-$L28)))*$AM$19))/1000</f>
        <v>-21.670339701459074</v>
      </c>
      <c r="AP28">
        <f t="shared" ref="AP28:AP36" si="10">(((($E28*(M28-$I28))-($AN$19*(N28-$J28)))*$AM$19)+((($B28*(O28-$K28))-($AN$19*(P28-$L28)))*$AM$19))/1000</f>
        <v>-58.997150997425805</v>
      </c>
      <c r="AQ28" s="32">
        <f t="shared" ref="AQ28:AQ36" si="11">(((($G28*(M28-$I28))-($AN$19*(N28-$J28)))*$AM$19)+((($C28*(O28-$K28))-($AN$19*(P28-$L28)))*$AM$19))/1000</f>
        <v>-29.378104476881024</v>
      </c>
      <c r="AR28" s="33">
        <f t="shared" ref="AR28:AR36" si="12">(((($E28*(Q28-$I28))-($AN$19*(R28-$J28)))*$AM$19)+((($D28*(S28-$K28))-($AN$19*(T28-$L28)))*$AM$19))/1000</f>
        <v>-100.83131010296583</v>
      </c>
      <c r="AS28">
        <f t="shared" ref="AS28:AS36" si="13">(((($F28*(Q28-$I28))-($AN$19*(R28-$J28)))*$AM$19)+((($C28*(S28-$K28))-($AN$19*(T28-$L28)))*$AM$19))/1000</f>
        <v>-66.967160450069386</v>
      </c>
      <c r="AT28">
        <f t="shared" ref="AT28:AT36" si="14">(((($G28*(Q28-$I28))-($AN$19*(R28-$J28)))*$AM$19)+((($B28*(S28-$K28))-($AN$19*(T28-$L28)))*$AM$19))/1000</f>
        <v>-21.034144812767305</v>
      </c>
      <c r="AU28">
        <f t="shared" ref="AU28:AU36" si="15">(((($E28*(Q28-$I28))-($AN$19*(R28-$J28)))*$AM$19)+((($B28*(S28-$K28))-($AN$19*(T28-$L28)))*$AM$19))/1000</f>
        <v>-75.938403720908596</v>
      </c>
      <c r="AV28" s="32">
        <f t="shared" ref="AV28:AV36" si="16">(((($G28*(Q28-$I28))-($AN$19*(R28-$J28)))*$AM$19)+((($C28*(S28-$K28))-($AN$19*(T28-$L28)))*$AM$19))/1000</f>
        <v>-36.830178571744092</v>
      </c>
      <c r="AW28" s="33">
        <f t="shared" ref="AW28:AW36" si="17">(((($E28*(U28-$I28))-($AN$19*(V28-$J28)))*$AM$19)+((($D28*(W28-$K28))-($AN$19*(X28-$L28)))*$AM$19))/1000</f>
        <v>-125.81610401914554</v>
      </c>
      <c r="AX28">
        <f t="shared" ref="AX28:AX36" si="18">(((($F28*(U28-$I28))-($AN$19*(V28-$J28)))*$AM$19)+((($C28*(W28-$K28))-($AN$19*(X28-$L28)))*$AM$19))/1000</f>
        <v>-79.405148684117393</v>
      </c>
      <c r="AY28">
        <f t="shared" ref="AY28:AY36" si="19">(((($G28*(U28-$I28))-($AN$19*(V28-$J28)))*$AM$19)+((($B28*(W28-$K28))-($AN$19*(X28-$L28)))*$AM$19))/1000</f>
        <v>-15.696191774371954</v>
      </c>
      <c r="AZ28">
        <f t="shared" ref="AZ28:AZ36" si="20">(((($E28*(U28-$I28))-($AN$19*(V28-$J28)))*$AM$19)+((($B28*(W28-$K28))-($AN$19*(X28-$L28)))*$AM$19))/1000</f>
        <v>-87.710734946137066</v>
      </c>
      <c r="BA28" s="32">
        <f t="shared" ref="BA28:BA36" si="21">(((($G28*(U28-$I28))-($AN$19*(V28-$J28)))*$AM$19)+((($C28*(W28-$K28))-($AN$19*(X28-$L28)))*$AM$19))/1000</f>
        <v>-39.876321126779338</v>
      </c>
      <c r="BB28" s="33">
        <f>(((($E28*(Y28-$I28))-($AN$19*(Z28-$J28)))*$AM$19)+((($D28*(AA28-$K28))-($AN$19*(AB28-$L28)))*$AM$19))/1000</f>
        <v>-147.45114127262292</v>
      </c>
      <c r="BC28">
        <f>(((($F28*(Y28-$I28))-($AN$19*(Z28-$J28)))*$AM$19)+((($C28*(AA28-$K28))-($AN$19*(AB28-$L28)))*$AM$19))/1000</f>
        <v>-88.169070989799749</v>
      </c>
      <c r="BD28">
        <f>(((($G28*(Y28-$I28))-($AN$19*(Z28-$J28)))*$AM$19)+((($B28*(AA28-$K28))-($AN$19*(AB28-$L28)))*$AM$19))/1000</f>
        <v>-6.2398579542450605</v>
      </c>
      <c r="BE28">
        <f>(((($E28*(Y28-$I28))-($AN$19*(Z28-$J28)))*$AM$19)+((($B28*(AA28-$K28))-($AN$19*(AB28-$L28)))*$AM$19))/1000</f>
        <v>-95.871613819663708</v>
      </c>
      <c r="BF28" s="32">
        <f>(((($G28*(Y28-$I28))-($AN$19*(Z28-$J28)))*$AM$19)+((($C28*(AA28-$K28))-($AN$19*(AB28-$L28)))*$AM$19))/1000</f>
        <v>-38.970144422774318</v>
      </c>
      <c r="BG28" s="33">
        <f>(((($E28*(AC28-$I28))-($AN$19*(AD28-$J28)))*$AM$19)+((($D28*(AE28-$K28))-($AN$19*(AF28-$L28)))*$AM$19))/1000</f>
        <v>-166.67461454496959</v>
      </c>
      <c r="BH28">
        <f>(((($F28*(AC28-$I28))-($AN$19*(AD28-$J28)))*$AM$19)+((($C28*(AE28-$K28))-($AN$19*(AF28-$L28)))*$AM$19))/1000</f>
        <v>-95.275018341551018</v>
      </c>
      <c r="BI28">
        <f>(((($G28*(AC28-$I28))-($AN$19*(AD28-$J28)))*$AM$19)+((($B28*(AE28-$K28))-($AN$19*(AF28-$L28)))*$AM$19))/1000</f>
        <v>3.9594031112339581</v>
      </c>
      <c r="BJ28">
        <f>(((($E28*(AC28-$I28))-($AN$19*(AD28-$J28)))*$AM$19)+((($B28*(AE28-$K28))-($AN$19*(AF28-$L28)))*$AM$19))/1000</f>
        <v>-101.61079511507548</v>
      </c>
      <c r="BK28" s="32">
        <f>(((($G28*(AC28-$I28))-($AN$19*(AD28-$J28)))*$AM$19)+((($C28*(AE28-$K28))-($AN$19*(AF28-$L28)))*$AM$19))/1000</f>
        <v>-37.327470845090282</v>
      </c>
      <c r="BL28" s="33" t="e">
        <f>(((($E28*(AG28-$I28))-($AN$19*(AH28-$J28)))*$AM$19)+((($D28*(AI28-$K28))-($AN$19*(AJ28-$L28)))*$AM$19))/1000</f>
        <v>#REF!</v>
      </c>
      <c r="BM28" t="e">
        <f>(((($F28*(AG28-$I28))-($AN$19*(AH28-$J28)))*$AM$19)+((($C28*(AI28-$K28))-($AN$19*(AJ28-$L28)))*$AM$19))/1000</f>
        <v>#REF!</v>
      </c>
      <c r="BN28" t="e">
        <f>(((($G28*(AG28-$I28))-($AN$19*(AH28-$J28)))*$AM$19)+((($B28*(AI28-$K28))-($AN$19*(AJ28-$L28)))*$AM$19))/1000</f>
        <v>#REF!</v>
      </c>
      <c r="BO28" t="e">
        <f>(((($E28*(AG28-$I28))-($AN$19*(AH28-$J28)))*$AM$19)+((($B28*(AI28-$K28))-($AN$19*(AJ28-$L28)))*$AM$19))/1000</f>
        <v>#REF!</v>
      </c>
      <c r="BP28" s="32" t="e">
        <f>(((($G28*(AG28-$I28))-($AN$19*(AH28-$J28)))*$AM$19)+((($C28*(AI28-$K28))-($AN$19*(AJ28-$L28)))*$AM$19))/1000</f>
        <v>#REF!</v>
      </c>
    </row>
    <row r="29" spans="1:68" x14ac:dyDescent="0.35">
      <c r="A29">
        <v>-25</v>
      </c>
      <c r="B29" s="24">
        <f t="shared" ref="B29:B36" si="22">A29^$B$21*$C$21+A29^$B$22*$C$22+A29^$B$23*$C$23+$C$24</f>
        <v>1851.9749999999999</v>
      </c>
      <c r="C29" s="24">
        <f t="shared" ref="C29:C36" si="23">A29^$B$5*$C$5+A29^$B$6*$C$6+A29^$B$7*$C$7+$C$8</f>
        <v>1629.2562499999999</v>
      </c>
      <c r="D29" s="24">
        <f t="shared" ref="D29:D34" si="24">A29^$B$13*$C$13+A29^$B$14*$C$14+A29^$B$15*$C$15+$C$16</f>
        <v>1473.4533125</v>
      </c>
      <c r="E29" s="26">
        <f t="shared" ref="E29:E36" si="25">A29^$F$13*$G$13+A29^$F$14*$G$14+A29^$F$15*$G$15+$G$16</f>
        <v>1207.7955625</v>
      </c>
      <c r="F29" s="26">
        <f t="shared" ref="F29:F36" si="26">A29^$F$5*$G$5+A29^$F$6*$G$6+A29^$F$7*$G$7+$G$8</f>
        <v>989.09325000000001</v>
      </c>
      <c r="G29" s="26">
        <f t="shared" ref="G29:G36" si="27">A29^$F$21*$G$21+A29^$F$22*$G$22+A29^$F$23*$G$23+$G$24</f>
        <v>739.60415624999996</v>
      </c>
      <c r="H29" s="21"/>
      <c r="I29" s="33">
        <f>'Без ПКМ'!B4</f>
        <v>187.45722067174907</v>
      </c>
      <c r="J29">
        <f>'Без ПКМ'!G4*3600</f>
        <v>32509.884601908914</v>
      </c>
      <c r="K29">
        <f>'Без ПКМ'!H4</f>
        <v>205.12811200461454</v>
      </c>
      <c r="L29" s="32">
        <f>'Без ПКМ'!M4*3600</f>
        <v>34856.700232378003</v>
      </c>
      <c r="M29" s="34">
        <f>'10x15x4'!T4</f>
        <v>166.06990500022818</v>
      </c>
      <c r="N29" s="27">
        <f>'10x15x4'!AE4*3600</f>
        <v>35007.331086994229</v>
      </c>
      <c r="O29" s="27">
        <f>'10x15x4'!AY4</f>
        <v>213.69213395306312</v>
      </c>
      <c r="P29" s="35">
        <f>'10x15x4'!BK4*3600</f>
        <v>33031.452118559202</v>
      </c>
      <c r="Q29" s="34">
        <f>'10x15x6'!T4</f>
        <v>156.10867673908996</v>
      </c>
      <c r="R29" s="27">
        <f>'10x15x6'!AE4*3600</f>
        <v>36295.578212745073</v>
      </c>
      <c r="S29" s="27">
        <f>'10x15x6'!AY4</f>
        <v>222.7361702302484</v>
      </c>
      <c r="T29" s="35">
        <f>'10x15x6'!BK4*3600</f>
        <v>33031.452118559202</v>
      </c>
      <c r="U29" s="34">
        <f>'10x15x8'!T4</f>
        <v>146.59766219882388</v>
      </c>
      <c r="V29" s="27">
        <f>'10x15x8'!AE4*3600</f>
        <v>37563.04521050895</v>
      </c>
      <c r="W29" s="27">
        <f>'10x15x8'!AY4</f>
        <v>232.19598612288391</v>
      </c>
      <c r="X29" s="35">
        <f>'10x15x8'!BK4*3600</f>
        <v>33031.452118559202</v>
      </c>
      <c r="Y29" s="34">
        <f>'10x15x10'!T4</f>
        <v>135.76798978507458</v>
      </c>
      <c r="Z29" s="27">
        <f>'10x15x10'!AE4*3600</f>
        <v>38564.94127736408</v>
      </c>
      <c r="AA29" s="27">
        <f>'10x15x10'!AY4</f>
        <v>241.95821124656513</v>
      </c>
      <c r="AB29" s="35">
        <f>'10x15x10'!BK4*3600</f>
        <v>33031.452118559202</v>
      </c>
      <c r="AC29" s="34">
        <f>'10x15x12'!T4</f>
        <v>127.96917264907499</v>
      </c>
      <c r="AD29" s="27">
        <f>'10x15x12'!AE4*3600</f>
        <v>39903.612232878171</v>
      </c>
      <c r="AE29" s="27">
        <f>'10x15x12'!AY4</f>
        <v>251.74383609871649</v>
      </c>
      <c r="AF29" s="35">
        <f>'10x15x12'!BK4*3600</f>
        <v>33031.452118559202</v>
      </c>
      <c r="AG29" s="34">
        <f>'10x15x14'!T4</f>
        <v>118.3272121081968</v>
      </c>
      <c r="AH29" s="27">
        <f>'10x15x14'!AE4*3600</f>
        <v>40906.448055621258</v>
      </c>
      <c r="AI29" s="27">
        <f>'10x15x14'!AY4</f>
        <v>261.61818435005506</v>
      </c>
      <c r="AJ29" s="35">
        <f>'10x15x14'!BK4*3600</f>
        <v>33032.41374492761</v>
      </c>
      <c r="AK29" s="73"/>
      <c r="AM29" s="33">
        <f t="shared" ref="AM29:AM36" si="28">(((($E29*(M29-$I29))-($AN$19*(N29-$J29)))*$AM$19)+((($D29*(O29-$K29))-($AN$19*(P29-$L29)))*$AM$19))/1000</f>
        <v>-73.479093034385428</v>
      </c>
      <c r="AN29">
        <f t="shared" si="9"/>
        <v>-49.432072346737961</v>
      </c>
      <c r="AO29">
        <f t="shared" ref="AO29:AO36" si="29">(((($G29*(M29-$I29))-($AN$19*(N29-$J29)))*$AM$19)+((($B29*(O29-$K29))-($AN$19*(P29-$L29)))*$AM$19))/1000</f>
        <v>-20.458991274882138</v>
      </c>
      <c r="AP29">
        <f t="shared" si="10"/>
        <v>-60.512420875530253</v>
      </c>
      <c r="AQ29" s="32">
        <f t="shared" si="11"/>
        <v>-28.08846432820626</v>
      </c>
      <c r="AR29" s="33">
        <f t="shared" si="12"/>
        <v>-107.83231084022651</v>
      </c>
      <c r="AS29">
        <f t="shared" si="13"/>
        <v>-69.434765853005786</v>
      </c>
      <c r="AT29">
        <f t="shared" si="14"/>
        <v>-22.463707716679462</v>
      </c>
      <c r="AU29">
        <f t="shared" si="15"/>
        <v>-81.172183187565736</v>
      </c>
      <c r="AV29" s="32">
        <f t="shared" si="16"/>
        <v>-38.150286588441055</v>
      </c>
      <c r="AW29" s="33">
        <f t="shared" si="17"/>
        <v>-136.92225481894886</v>
      </c>
      <c r="AX29">
        <f t="shared" si="18"/>
        <v>-84.308917917891634</v>
      </c>
      <c r="AY29">
        <f t="shared" si="19"/>
        <v>-19.418768705037451</v>
      </c>
      <c r="AZ29">
        <f t="shared" si="20"/>
        <v>-95.939145265809287</v>
      </c>
      <c r="BA29" s="32">
        <f t="shared" si="21"/>
        <v>-43.532861060150665</v>
      </c>
      <c r="BB29" s="33">
        <f>(((($E29*(Y29-$I29))-($AN$19*(Z29-$J29)))*$AM$19)+((($D29*(AA29-$K29))-($AN$19*(AB29-$L29)))*$AM$19))/1000</f>
        <v>-162.45092983351648</v>
      </c>
      <c r="BC29">
        <f>(((($F29*(Y29-$I29))-($AN$19*(Z29-$J29)))*$AM$19)+((($C29*(AA29-$K29))-($AN$19*(AB29-$L29)))*$AM$19))/1000</f>
        <v>-94.279761927218232</v>
      </c>
      <c r="BD29">
        <f>(((($G29*(Y29-$I29))-($AN$19*(Z29-$J29)))*$AM$19)+((($B29*(AA29-$K29))-($AN$19*(AB29-$L29)))*$AM$19))/1000</f>
        <v>-9.8851497828418502</v>
      </c>
      <c r="BE29">
        <f>(((($E29*(Y29-$I29))-($AN$19*(Z29-$J29)))*$AM$19)+((($B29*(AA29-$K29))-($AN$19*(AB29-$L29)))*$AM$19))/1000</f>
        <v>-106.68696457009408</v>
      </c>
      <c r="BF29" s="32">
        <f>(((($G29*(Y29-$I29))-($AN$19*(Z29-$J29)))*$AM$19)+((($C29*(AA29-$K29))-($AN$19*(AB29-$L29)))*$AM$19))/1000</f>
        <v>-42.696164445014553</v>
      </c>
      <c r="BG29" s="33">
        <f>(((($E29*(AC29-$I29))-($AN$19*(AD29-$J29)))*$AM$19)+((($D29*(AE29-$K29))-($AN$19*(AF29-$L29)))*$AM$19))/1000</f>
        <v>-183.53372197512346</v>
      </c>
      <c r="BH29">
        <f>(((($F29*(AC29-$I29))-($AN$19*(AD29-$J29)))*$AM$19)+((($C29*(AE29-$K29))-($AN$19*(AF29-$L29)))*$AM$19))/1000</f>
        <v>-102.4415603102416</v>
      </c>
      <c r="BI29">
        <f>(((($G29*(AC29-$I29))-($AN$19*(AD29-$J29)))*$AM$19)+((($B29*(AE29-$K29))-($AN$19*(AF29-$L29)))*$AM$19))/1000</f>
        <v>-1.5463003473747521</v>
      </c>
      <c r="BJ29">
        <f>(((($E29*(AC29-$I29))-($AN$19*(AD29-$J29)))*$AM$19)+((($B29*(AE29-$K29))-($AN$19*(AF29-$L29)))*$AM$19))/1000</f>
        <v>-112.953471782588</v>
      </c>
      <c r="BK29" s="32">
        <f>(((($G29*(AC29-$I29))-($AN$19*(AD29-$J29)))*$AM$19)+((($C29*(AE29-$K29))-($AN$19*(AF29-$L29)))*$AM$19))/1000</f>
        <v>-43.075083549707834</v>
      </c>
      <c r="BL29" s="33">
        <f>(((($E29*(AG29-$I29))-($AN$19*(AH29-$J29)))*$AM$19)+((($D29*(AI29-$K29))-($AN$19*(AJ29-$L29)))*$AM$19))/1000</f>
        <v>-202.72185960502665</v>
      </c>
      <c r="BM29">
        <f>(((($F29*(AG29-$I29))-($AN$19*(AH29-$J29)))*$AM$19)+((($C29*(AI29-$K29))-($AN$19*(AJ29-$L29)))*$AM$19))/1000</f>
        <v>-107.0410118170235</v>
      </c>
      <c r="BN29">
        <f>(((($G29*(AG29-$I29))-($AN$19*(AH29-$J29)))*$AM$19)+((($B29*(AI29-$K29))-($AN$19*(AJ29-$L29)))*$AM$19))/1000</f>
        <v>12.273314133522566</v>
      </c>
      <c r="BO29">
        <f>(((($E29*(AG29-$I29))-($AN$19*(AH29-$J29)))*$AM$19)+((($B29*(AI29-$K29))-($AN$19*(AJ29-$L29)))*$AM$19))/1000</f>
        <v>-117.1909895602538</v>
      </c>
      <c r="BP29" s="32">
        <f>(((($G29*(AG29-$I29))-($AN$19*(AH29-$J29)))*$AM$19)+((($C29*(AI29-$K29))-($AN$19*(AJ29-$L29)))*$AM$19))/1000</f>
        <v>-38.052279067221797</v>
      </c>
    </row>
    <row r="30" spans="1:68" x14ac:dyDescent="0.35">
      <c r="A30">
        <v>-20</v>
      </c>
      <c r="B30" s="24">
        <f t="shared" si="22"/>
        <v>1828.8786</v>
      </c>
      <c r="C30" s="24">
        <f t="shared" si="23"/>
        <v>1600.7036000000001</v>
      </c>
      <c r="D30" s="24">
        <f t="shared" si="24"/>
        <v>1418.4368960000002</v>
      </c>
      <c r="E30" s="26">
        <f t="shared" si="25"/>
        <v>1147.5468799999999</v>
      </c>
      <c r="F30" s="26">
        <f t="shared" si="26"/>
        <v>928.80399999999997</v>
      </c>
      <c r="G30" s="26">
        <f t="shared" si="27"/>
        <v>685.15146000000004</v>
      </c>
      <c r="H30" s="21"/>
      <c r="I30" s="33">
        <f>'Без ПКМ'!B5</f>
        <v>197.85202699937264</v>
      </c>
      <c r="J30">
        <f>'Без ПКМ'!G5*3600</f>
        <v>33528.707726676803</v>
      </c>
      <c r="K30">
        <f>'Без ПКМ'!H5</f>
        <v>206.94935951134502</v>
      </c>
      <c r="L30" s="32">
        <f>'Без ПКМ'!M5*3600</f>
        <v>34847.702632937529</v>
      </c>
      <c r="M30" s="34">
        <f>'10x15x4'!T5</f>
        <v>175.10859031956619</v>
      </c>
      <c r="N30" s="27">
        <f>'10x15x4'!AE5*3600</f>
        <v>35782.975781384768</v>
      </c>
      <c r="O30" s="27">
        <f>'10x15x4'!AY5</f>
        <v>215.36788594665924</v>
      </c>
      <c r="P30" s="35">
        <f>'10x15x4'!BK5*3600</f>
        <v>33022.417857548222</v>
      </c>
      <c r="Q30" s="34">
        <f>'10x15x6'!T5</f>
        <v>164.50090500611481</v>
      </c>
      <c r="R30" s="27">
        <f>'10x15x6'!AE5*3600</f>
        <v>37050.168701942399</v>
      </c>
      <c r="S30" s="27">
        <f>'10x15x6'!AY5</f>
        <v>224.31099474321044</v>
      </c>
      <c r="T30" s="35">
        <f>'10x15x6'!BK5*3600</f>
        <v>33022.417857548222</v>
      </c>
      <c r="U30" s="34">
        <f>'10x15x8'!T5</f>
        <v>154.81180636683516</v>
      </c>
      <c r="V30" s="27">
        <f>'10x15x8'!AE5*3600</f>
        <v>38370.766252902482</v>
      </c>
      <c r="W30" s="27">
        <f>'10x15x8'!AY5</f>
        <v>233.73608830975098</v>
      </c>
      <c r="X30" s="35">
        <f>'10x15x8'!BK5*3600</f>
        <v>33022.417857548222</v>
      </c>
      <c r="Y30" s="34">
        <f>'10x15x10'!T5</f>
        <v>145.92550270858879</v>
      </c>
      <c r="Z30" s="27">
        <f>'10x15x10'!AE5*3600</f>
        <v>39717.552087098869</v>
      </c>
      <c r="AA30" s="27">
        <f>'10x15x10'!AY5</f>
        <v>243.37031733153066</v>
      </c>
      <c r="AB30" s="35">
        <f>'10x15x10'!BK5*3600</f>
        <v>33022.417857548222</v>
      </c>
      <c r="AC30" s="34">
        <f>'10x15x12'!T5</f>
        <v>135.67832405047716</v>
      </c>
      <c r="AD30" s="27">
        <f>'10x15x12'!AE5*3600</f>
        <v>40811.139201037942</v>
      </c>
      <c r="AE30" s="27">
        <f>'10x15x12'!AY5</f>
        <v>253.21649767220478</v>
      </c>
      <c r="AF30" s="35">
        <f>'10x15x12'!BK5*3600</f>
        <v>33022.766529968336</v>
      </c>
      <c r="AG30" s="34">
        <f>'10x15x14'!T5</f>
        <v>126.0126379196777</v>
      </c>
      <c r="AH30" s="27">
        <f>'10x15x14'!AE5*3600</f>
        <v>41887.833585490975</v>
      </c>
      <c r="AI30" s="27">
        <f>'10x15x14'!AY5</f>
        <v>263.18670291535983</v>
      </c>
      <c r="AJ30" s="35">
        <f>'10x15x14'!BK5*3600</f>
        <v>33024.193210406294</v>
      </c>
      <c r="AK30" s="73"/>
      <c r="AM30" s="33">
        <f t="shared" si="28"/>
        <v>-69.796298348012087</v>
      </c>
      <c r="AN30">
        <f t="shared" si="9"/>
        <v>-43.75877072265174</v>
      </c>
      <c r="AO30">
        <f t="shared" si="29"/>
        <v>-13.909197183684432</v>
      </c>
      <c r="AP30">
        <f t="shared" si="10"/>
        <v>-55.97504100689445</v>
      </c>
      <c r="AQ30" s="32">
        <f t="shared" si="11"/>
        <v>-21.592786261195723</v>
      </c>
      <c r="AR30" s="33">
        <f t="shared" si="12"/>
        <v>-106.63309813002229</v>
      </c>
      <c r="AS30">
        <f t="shared" si="13"/>
        <v>-64.794024106826512</v>
      </c>
      <c r="AT30">
        <f t="shared" si="14"/>
        <v>-16.443717288674438</v>
      </c>
      <c r="AU30">
        <f t="shared" si="15"/>
        <v>-78.129341534849203</v>
      </c>
      <c r="AV30" s="32">
        <f t="shared" si="16"/>
        <v>-32.289681764798004</v>
      </c>
      <c r="AW30" s="33">
        <f t="shared" si="17"/>
        <v>-138.15758617975357</v>
      </c>
      <c r="AX30">
        <f t="shared" si="18"/>
        <v>-80.969303835657541</v>
      </c>
      <c r="AY30">
        <f t="shared" si="19"/>
        <v>-14.573620144239801</v>
      </c>
      <c r="AZ30">
        <f t="shared" si="20"/>
        <v>-94.180023729339126</v>
      </c>
      <c r="BA30" s="32">
        <f t="shared" si="21"/>
        <v>-39.021867518544894</v>
      </c>
      <c r="BB30" s="33">
        <f>(((($E30*(Y30-$I30))-($AN$19*(Z30-$J30)))*$AM$19)+((($D30*(AA30-$K30))-($AN$19*(AB30-$L30)))*$AM$19))/1000</f>
        <v>-165.61415543167735</v>
      </c>
      <c r="BC30">
        <f>(((($F30*(Y30-$I30))-($AN$19*(Z30-$J30)))*$AM$19)+((($C30*(AA30-$K30))-($AN$19*(AB30-$L30)))*$AM$19))/1000</f>
        <v>-93.626613791020233</v>
      </c>
      <c r="BD30">
        <f>(((($G30*(Y30-$I30))-($AN$19*(Z30-$J30)))*$AM$19)+((($B30*(AA30-$K30))-($AN$19*(AB30-$L30)))*$AM$19))/1000</f>
        <v>-9.7770874412521369</v>
      </c>
      <c r="BE30">
        <f>(((($E30*(Y30-$I30))-($AN$19*(Z30-$J30)))*$AM$19)+((($B30*(AA30-$K30))-($AN$19*(AB30-$L30)))*$AM$19))/1000</f>
        <v>-105.81943547556089</v>
      </c>
      <c r="BF30" s="32">
        <f>(((($G30*(Y30-$I30))-($AN$19*(Z30-$J30)))*$AM$19)+((($C30*(AA30-$K30))-($AN$19*(AB30-$L30)))*$AM$19))/1000</f>
        <v>-43.018495643735513</v>
      </c>
      <c r="BG30" s="33">
        <f>(((($E30*(AC30-$I30))-($AN$19*(AD30-$J30)))*$AM$19)+((($D30*(AE30-$K30))-($AN$19*(AF30-$L30)))*$AM$19))/1000</f>
        <v>-190.35560291917238</v>
      </c>
      <c r="BH30">
        <f>(((($F30*(AC30-$I30))-($AN$19*(AD30-$J30)))*$AM$19)+((($C30*(AE30-$K30))-($AN$19*(AF30-$L30)))*$AM$19))/1000</f>
        <v>-102.22354844157881</v>
      </c>
      <c r="BI30">
        <f>(((($G30*(AC30-$I30))-($AN$19*(AD30-$J30)))*$AM$19)+((($B30*(AE30-$K30))-($AN$19*(AF30-$L30)))*$AM$19))/1000</f>
        <v>0.59959113665338371</v>
      </c>
      <c r="BJ30">
        <f>(((($E30*(AC30-$I30))-($AN$19*(AD30-$J30)))*$AM$19)+((($B30*(AE30-$K30))-($AN$19*(AF30-$L30)))*$AM$19))/1000</f>
        <v>-114.3957508153856</v>
      </c>
      <c r="BK30" s="32">
        <f>(((($G30*(AC30-$I30))-($AN$19*(AD30-$J30)))*$AM$19)+((($C30*(AE30-$K30))-($AN$19*(AF30-$L30)))*$AM$19))/1000</f>
        <v>-41.628425862763308</v>
      </c>
      <c r="BL30" s="33">
        <f>(((($E30*(AG30-$I30))-($AN$19*(AH30-$J30)))*$AM$19)+((($D30*(AI30-$K30))-($AN$19*(AJ30-$L30)))*$AM$19))/1000</f>
        <v>-211.2388967211796</v>
      </c>
      <c r="BM30">
        <f>(((($F30*(AG30-$I30))-($AN$19*(AH30-$J30)))*$AM$19)+((($C30*(AI30-$K30))-($AN$19*(AJ30-$L30)))*$AM$19))/1000</f>
        <v>-107.38069636638382</v>
      </c>
      <c r="BN30">
        <f>(((($G30*(AG30-$I30))-($AN$19*(AH30-$J30)))*$AM$19)+((($B30*(AI30-$K30))-($AN$19*(AJ30-$L30)))*$AM$19))/1000</f>
        <v>13.962525443724182</v>
      </c>
      <c r="BO30">
        <f>(((($E30*(AG30-$I30))-($AN$19*(AH30-$J30)))*$AM$19)+((($B30*(AI30-$K30))-($AN$19*(AJ30-$L30)))*$AM$19))/1000</f>
        <v>-118.91029250047164</v>
      </c>
      <c r="BP30" s="32">
        <f>(((($G30*(AG30-$I30))-($AN$19*(AH30-$J30)))*$AM$19)+((($C30*(AI30-$K30))-($AN$19*(AJ30-$L30)))*$AM$19))/1000</f>
        <v>-37.365297881120121</v>
      </c>
    </row>
    <row r="31" spans="1:68" x14ac:dyDescent="0.35">
      <c r="A31">
        <v>-15</v>
      </c>
      <c r="B31" s="24">
        <f t="shared" si="22"/>
        <v>1806.7988</v>
      </c>
      <c r="C31" s="24">
        <f t="shared" si="23"/>
        <v>1573.1675500000001</v>
      </c>
      <c r="D31" s="24">
        <f t="shared" si="24"/>
        <v>1372.6588154999999</v>
      </c>
      <c r="E31" s="26">
        <f t="shared" si="25"/>
        <v>1101.1818275000001</v>
      </c>
      <c r="F31" s="26">
        <f t="shared" si="26"/>
        <v>889.08659999999998</v>
      </c>
      <c r="G31" s="26">
        <f t="shared" si="27"/>
        <v>648.30124624999996</v>
      </c>
      <c r="H31" s="21"/>
      <c r="I31" s="33">
        <f>'Без ПКМ'!B6</f>
        <v>198.48648515336524</v>
      </c>
      <c r="J31">
        <f>'Без ПКМ'!G6*3600</f>
        <v>33260.974602110058</v>
      </c>
      <c r="K31">
        <f>'Без ПКМ'!H6</f>
        <v>209.69488283053695</v>
      </c>
      <c r="L31" s="32">
        <f>'Без ПКМ'!M6*3600</f>
        <v>34844.023135492804</v>
      </c>
      <c r="M31" s="34">
        <f>'10x15x4'!T6</f>
        <v>176.00030827506924</v>
      </c>
      <c r="N31" s="27">
        <f>'10x15x4'!AE6*3600</f>
        <v>35606.357399316323</v>
      </c>
      <c r="O31" s="27">
        <f>'10x15x4'!AY6</f>
        <v>218.23518601715995</v>
      </c>
      <c r="P31" s="35">
        <f>'10x15x4'!BK6*3600</f>
        <v>33018.711354675514</v>
      </c>
      <c r="Q31" s="34">
        <f>'10x15x6'!T6</f>
        <v>165.02376706084058</v>
      </c>
      <c r="R31" s="27">
        <f>'10x15x6'!AE6*3600</f>
        <v>36845.042874201907</v>
      </c>
      <c r="S31" s="27">
        <f>'10x15x6'!AY6</f>
        <v>227.22007176662032</v>
      </c>
      <c r="T31" s="35">
        <f>'10x15x6'!BK6*3600</f>
        <v>33018.711354675514</v>
      </c>
      <c r="U31" s="34">
        <f>'10x15x8'!T6</f>
        <v>154.77183537592788</v>
      </c>
      <c r="V31" s="27">
        <f>'10x15x8'!AE6*3600</f>
        <v>38102.175198334517</v>
      </c>
      <c r="W31" s="27">
        <f>'10x15x8'!AY6</f>
        <v>236.62931563478273</v>
      </c>
      <c r="X31" s="35">
        <f>'10x15x8'!BK6*3600</f>
        <v>33018.711354675514</v>
      </c>
      <c r="Y31" s="34">
        <f>'10x15x10'!T6</f>
        <v>144.77569693942849</v>
      </c>
      <c r="Z31" s="27">
        <f>'10x15x10'!AE6*3600</f>
        <v>39308.299890010378</v>
      </c>
      <c r="AA31" s="27">
        <f>'10x15x10'!AY6</f>
        <v>246.38513703932179</v>
      </c>
      <c r="AB31" s="35">
        <f>'10x15x10'!BK6*3600</f>
        <v>33018.711354675514</v>
      </c>
      <c r="AC31" s="34">
        <f>'10x15x12'!T6</f>
        <v>135.19167771516254</v>
      </c>
      <c r="AD31" s="27">
        <f>'10x15x12'!AE6*3600</f>
        <v>40477.736942722382</v>
      </c>
      <c r="AE31" s="27">
        <f>'10x15x12'!AY6</f>
        <v>256.37588197431518</v>
      </c>
      <c r="AF31" s="35">
        <f>'10x15x12'!BK6*3600</f>
        <v>33019.867348589833</v>
      </c>
      <c r="AG31" s="34">
        <f>'10x15x14'!T6</f>
        <v>125.94159708287592</v>
      </c>
      <c r="AH31" s="27">
        <f>'10x15x14'!AE6*3600</f>
        <v>41612.08388436299</v>
      </c>
      <c r="AI31" s="27">
        <f>'10x15x14'!AY6</f>
        <v>266.49355378520517</v>
      </c>
      <c r="AJ31" s="35">
        <f>'10x15x14'!BK6*3600</f>
        <v>33021.409797994616</v>
      </c>
      <c r="AK31" s="73"/>
      <c r="AM31" s="33">
        <f t="shared" si="28"/>
        <v>-68.113259305336982</v>
      </c>
      <c r="AN31">
        <f t="shared" si="9"/>
        <v>-42.186794566122842</v>
      </c>
      <c r="AO31">
        <f t="shared" si="29"/>
        <v>-12.54829951414172</v>
      </c>
      <c r="AP31">
        <f t="shared" si="10"/>
        <v>-53.282510933073731</v>
      </c>
      <c r="AQ31" s="32">
        <f t="shared" si="11"/>
        <v>-20.529426349620568</v>
      </c>
      <c r="AR31" s="33">
        <f t="shared" si="12"/>
        <v>-105.14086574723312</v>
      </c>
      <c r="AS31">
        <f t="shared" si="13"/>
        <v>-62.695920699033685</v>
      </c>
      <c r="AT31">
        <f t="shared" si="14"/>
        <v>-14.088863855160046</v>
      </c>
      <c r="AU31">
        <f t="shared" si="15"/>
        <v>-74.707324734949879</v>
      </c>
      <c r="AV31" s="32">
        <f t="shared" si="16"/>
        <v>-30.46659104565336</v>
      </c>
      <c r="AW31" s="33">
        <f t="shared" si="17"/>
        <v>-137.21284947948041</v>
      </c>
      <c r="AX31">
        <f t="shared" si="18"/>
        <v>-78.523818976748302</v>
      </c>
      <c r="AY31">
        <f t="shared" si="19"/>
        <v>-11.249528517490079</v>
      </c>
      <c r="AZ31">
        <f t="shared" si="20"/>
        <v>-90.439592518874178</v>
      </c>
      <c r="BA31" s="32">
        <f t="shared" si="21"/>
        <v>-36.420429333877863</v>
      </c>
      <c r="BB31" s="33">
        <f>(((($E31*(Y31-$I31))-($AN$19*(Z31-$J31)))*$AM$19)+((($D31*(AA31-$K31))-($AN$19*(AB31-$L31)))*$AM$19))/1000</f>
        <v>-164.68992650041881</v>
      </c>
      <c r="BC31">
        <f>(((($F31*(Y31-$I31))-($AN$19*(Z31-$J31)))*$AM$19)+((($C31*(AA31-$K31))-($AN$19*(AB31-$L31)))*$AM$19))/1000</f>
        <v>-89.695853359114849</v>
      </c>
      <c r="BD31">
        <f>(((($G31*(Y31-$I31))-($AN$19*(Z31-$J31)))*$AM$19)+((($B31*(AA31-$K31))-($AN$19*(AB31-$L31)))*$AM$19))/1000</f>
        <v>-3.6768089835138524</v>
      </c>
      <c r="BE31">
        <f>(((($E31*(Y31-$I31))-($AN$19*(Z31-$J31)))*$AM$19)+((($B31*(AA31-$K31))-($AN$19*(AB31-$L31)))*$AM$19))/1000</f>
        <v>-100.97510092640715</v>
      </c>
      <c r="BF31" s="32">
        <f>(((($G31*(Y31-$I31))-($AN$19*(Z31-$J31)))*$AM$19)+((($C31*(AA31-$K31))-($AN$19*(AB31-$L31)))*$AM$19))/1000</f>
        <v>-37.964768797978465</v>
      </c>
      <c r="BG31" s="33">
        <f>(((($E31*(AC31-$I31))-($AN$19*(AD31-$J31)))*$AM$19)+((($D31*(AE31-$K31))-($AN$19*(AF31-$L31)))*$AM$19))/1000</f>
        <v>-187.97148817655224</v>
      </c>
      <c r="BH31">
        <f>(((($F31*(AC31-$I31))-($AN$19*(AD31-$J31)))*$AM$19)+((($C31*(AE31-$K31))-($AN$19*(AF31-$L31)))*$AM$19))/1000</f>
        <v>-96.83358958979673</v>
      </c>
      <c r="BI31">
        <f>(((($G31*(AC31-$I31))-($AN$19*(AD31-$J31)))*$AM$19)+((($B31*(AE31-$K31))-($AN$19*(AF31-$L31)))*$AM$19))/1000</f>
        <v>7.7528215332257098</v>
      </c>
      <c r="BJ31">
        <f>(((($E31*(AC31-$I31))-($AN$19*(AD31-$J31)))*$AM$19)+((($B31*(AE31-$K31))-($AN$19*(AF31-$L31)))*$AM$19))/1000</f>
        <v>-106.9071351976546</v>
      </c>
      <c r="BK31" s="32">
        <f>(((($G31*(AC31-$I31))-($AN$19*(AD31-$J31)))*$AM$19)+((($C31*(AE31-$K31))-($AN$19*(AF31-$L31)))*$AM$19))/1000</f>
        <v>-35.871739191613628</v>
      </c>
      <c r="BL31" s="33">
        <f>(((($E31*(AG31-$I31))-($AN$19*(AH31-$J31)))*$AM$19)+((($D31*(AI31-$K31))-($AN$19*(AJ31-$L31)))*$AM$19))/1000</f>
        <v>-208.02027765705716</v>
      </c>
      <c r="BM31">
        <f>(((($F31*(AG31-$I31))-($AN$19*(AH31-$J31)))*$AM$19)+((($C31*(AI31-$K31))-($AN$19*(AJ31-$L31)))*$AM$19))/1000</f>
        <v>-100.9200609623575</v>
      </c>
      <c r="BN31">
        <f>(((($G31*(AG31-$I31))-($AN$19*(AH31-$J31)))*$AM$19)+((($B31*(AI31-$K31))-($AN$19*(AJ31-$L31)))*$AM$19))/1000</f>
        <v>22.030703158781456</v>
      </c>
      <c r="BO31">
        <f>(((($E31*(AG31-$I31))-($AN$19*(AH31-$J31)))*$AM$19)+((($B31*(AI31-$K31))-($AN$19*(AJ31-$L31)))*$AM$19))/1000</f>
        <v>-109.38598114553612</v>
      </c>
      <c r="BP31" s="32">
        <f>(((($G31*(AG31-$I31))-($AN$19*(AH31-$J31)))*$AM$19)+((($C31*(AI31-$K31))-($AN$19*(AJ31-$L31)))*$AM$19))/1000</f>
        <v>-31.049074815129803</v>
      </c>
    </row>
    <row r="32" spans="1:68" x14ac:dyDescent="0.35">
      <c r="A32">
        <v>-10</v>
      </c>
      <c r="B32" s="24">
        <f t="shared" si="22"/>
        <v>1790.1897000000001</v>
      </c>
      <c r="C32" s="24">
        <f t="shared" si="23"/>
        <v>1551.1022</v>
      </c>
      <c r="D32" s="24">
        <f t="shared" si="24"/>
        <v>1336.1636120000001</v>
      </c>
      <c r="E32" s="26">
        <f t="shared" si="25"/>
        <v>1069.1365599999999</v>
      </c>
      <c r="F32" s="26">
        <f t="shared" si="26"/>
        <v>865.57950000000005</v>
      </c>
      <c r="G32" s="26">
        <f t="shared" si="27"/>
        <v>624.69196499999998</v>
      </c>
      <c r="I32" s="33">
        <f>'Без ПКМ'!B7</f>
        <v>198.83285532277509</v>
      </c>
      <c r="J32">
        <f>'Без ПКМ'!G7*3600</f>
        <v>32990.164526003333</v>
      </c>
      <c r="K32">
        <f>'Без ПКМ'!H7</f>
        <v>212.3005749713769</v>
      </c>
      <c r="L32" s="32">
        <f>'Без ПКМ'!M7*3600</f>
        <v>34852.098606796157</v>
      </c>
      <c r="M32" s="34">
        <f>'10x15x4'!T7</f>
        <v>176.30447533197602</v>
      </c>
      <c r="N32" s="27">
        <f>'10x15x4'!AE7*3600</f>
        <v>35379.39484400503</v>
      </c>
      <c r="O32" s="27">
        <f>'10x15x4'!AY7</f>
        <v>220.8525515951749</v>
      </c>
      <c r="P32" s="35">
        <f>'10x15x4'!BK7*3600</f>
        <v>33026.821909333441</v>
      </c>
      <c r="Q32" s="34">
        <f>'10x15x6'!T7</f>
        <v>165.3840541053579</v>
      </c>
      <c r="R32" s="27">
        <f>'10x15x6'!AE7*3600</f>
        <v>36624.309732839014</v>
      </c>
      <c r="S32" s="27">
        <f>'10x15x6'!AY7</f>
        <v>229.90525489826388</v>
      </c>
      <c r="T32" s="35">
        <f>'10x15x6'!BK7*3600</f>
        <v>33026.821909333441</v>
      </c>
      <c r="U32" s="34">
        <f>'10x15x8'!T7</f>
        <v>154.77291866655236</v>
      </c>
      <c r="V32" s="27">
        <f>'10x15x8'!AE7*3600</f>
        <v>37837.924986796097</v>
      </c>
      <c r="W32" s="27">
        <f>'10x15x8'!AY7</f>
        <v>239.42867867585616</v>
      </c>
      <c r="X32" s="35">
        <f>'10x15x8'!BK7*3600</f>
        <v>33026.821909333441</v>
      </c>
      <c r="Y32" s="34">
        <f>'10x15x10'!T7</f>
        <v>144.54369084362654</v>
      </c>
      <c r="Z32" s="27">
        <f>'10x15x10'!AE7*3600</f>
        <v>39009.081557608843</v>
      </c>
      <c r="AA32" s="27">
        <f>'10x15x10'!AY7</f>
        <v>249.34559161107856</v>
      </c>
      <c r="AB32" s="35">
        <f>'10x15x10'!BK7*3600</f>
        <v>33027.39573652776</v>
      </c>
      <c r="AC32" s="34">
        <f>'10x15x12'!T7</f>
        <v>134.75088328636298</v>
      </c>
      <c r="AD32" s="27">
        <f>'10x15x12'!AE7*3600</f>
        <v>40143.98646312581</v>
      </c>
      <c r="AE32" s="27">
        <f>'10x15x12'!AY7</f>
        <v>259.49042040527411</v>
      </c>
      <c r="AF32" s="35">
        <f>'10x15x12'!BK7*3600</f>
        <v>33028.886293811294</v>
      </c>
      <c r="AG32" s="34">
        <f>'10x15x14'!T7</f>
        <v>125.32526855313247</v>
      </c>
      <c r="AH32" s="27">
        <f>'10x15x14'!AE7*3600</f>
        <v>41250.349452611677</v>
      </c>
      <c r="AI32" s="27">
        <f>'10x15x14'!AY7</f>
        <v>268.88085009975526</v>
      </c>
      <c r="AJ32" s="35">
        <f>'10x15x14'!BK7*3600</f>
        <v>33030.584684016751</v>
      </c>
      <c r="AK32" s="73"/>
      <c r="AM32" s="33">
        <f t="shared" si="28"/>
        <v>-67.942400477778733</v>
      </c>
      <c r="AN32">
        <f t="shared" si="9"/>
        <v>-42.246558167306617</v>
      </c>
      <c r="AO32">
        <f t="shared" si="29"/>
        <v>-12.360651629029759</v>
      </c>
      <c r="AP32">
        <f t="shared" si="10"/>
        <v>-52.411118513096923</v>
      </c>
      <c r="AQ32" s="32">
        <f t="shared" si="11"/>
        <v>-20.539334473198977</v>
      </c>
      <c r="AR32" s="33">
        <f t="shared" si="12"/>
        <v>-104.46334459984247</v>
      </c>
      <c r="AS32">
        <f t="shared" si="13"/>
        <v>-62.092685871766939</v>
      </c>
      <c r="AT32">
        <f t="shared" si="14"/>
        <v>-13.026853127814073</v>
      </c>
      <c r="AU32">
        <f t="shared" si="15"/>
        <v>-72.491408769055994</v>
      </c>
      <c r="AV32" s="32">
        <f t="shared" si="16"/>
        <v>-29.863088775892422</v>
      </c>
      <c r="AW32" s="33">
        <f t="shared" si="17"/>
        <v>-136.18528041864099</v>
      </c>
      <c r="AX32">
        <f t="shared" si="18"/>
        <v>-76.986930519099985</v>
      </c>
      <c r="AY32">
        <f t="shared" si="19"/>
        <v>-8.5890104078266312</v>
      </c>
      <c r="AZ32">
        <f t="shared" si="20"/>
        <v>-86.917813219428879</v>
      </c>
      <c r="BA32" s="32">
        <f t="shared" si="21"/>
        <v>-34.53297238560539</v>
      </c>
      <c r="BB32" s="33">
        <f>(((($E32*(Y32-$I32))-($AN$19*(Z32-$J32)))*$AM$19)+((($D32*(AA32-$K32))-($AN$19*(AB32-$L32)))*$AM$19))/1000</f>
        <v>-162.88558228291862</v>
      </c>
      <c r="BC32">
        <f>(((($F32*(Y32-$I32))-($AN$19*(Z32-$J32)))*$AM$19)+((($C32*(AA32-$K32))-($AN$19*(AB32-$L32)))*$AM$19))/1000</f>
        <v>-86.83219716209517</v>
      </c>
      <c r="BD32">
        <f>(((($G32*(Y32-$I32))-($AN$19*(Z32-$J32)))*$AM$19)+((($B32*(AA32-$K32))-($AN$19*(AB32-$L32)))*$AM$19))/1000</f>
        <v>0.90613653565017738</v>
      </c>
      <c r="BE32">
        <f>(((($E32*(Y32-$I32))-($AN$19*(Z32-$J32)))*$AM$19)+((($B32*(AA32-$K32))-($AN$19*(AB32-$L32)))*$AM$19))/1000</f>
        <v>-95.607966343644023</v>
      </c>
      <c r="BF32" s="32">
        <f>(((($G32*(Y32-$I32))-($AN$19*(Z32-$J32)))*$AM$19)+((($C32*(AA32-$K32))-($AN$19*(AB32-$L32)))*$AM$19))/1000</f>
        <v>-34.521865127728553</v>
      </c>
      <c r="BG32" s="33">
        <f>(((($E32*(AC32-$I32))-($AN$19*(AD32-$J32)))*$AM$19)+((($D32*(AE32-$K32))-($AN$19*(AF32-$L32)))*$AM$19))/1000</f>
        <v>-185.41705447086167</v>
      </c>
      <c r="BH32">
        <f>(((($F32*(AC32-$I32))-($AN$19*(AD32-$J32)))*$AM$19)+((($C32*(AE32-$K32))-($AN$19*(AF32-$L32)))*$AM$19))/1000</f>
        <v>-92.668028181924313</v>
      </c>
      <c r="BI32">
        <f>(((($G32*(AC32-$I32))-($AN$19*(AD32-$J32)))*$AM$19)+((($B32*(AE32-$K32))-($AN$19*(AF32-$L32)))*$AM$19))/1000</f>
        <v>14.208173625944299</v>
      </c>
      <c r="BJ32">
        <f>(((($E32*(AC32-$I32))-($AN$19*(AD32-$J32)))*$AM$19)+((($B32*(AE32-$K32))-($AN$19*(AF32-$L32)))*$AM$19))/1000</f>
        <v>-99.715370808153651</v>
      </c>
      <c r="BK32" s="32">
        <f>(((($G32*(AC32-$I32))-($AN$19*(AD32-$J32)))*$AM$19)+((($C32*(AE32-$K32))-($AN$19*(AF32-$L32)))*$AM$19))/1000</f>
        <v>-30.921835054763303</v>
      </c>
      <c r="BL32" s="33">
        <f>(((($E32*(AG32-$I32))-($AN$19*(AH32-$J32)))*$AM$19)+((($D32*(AI32-$K32))-($AN$19*(AJ32-$L32)))*$AM$19))/1000</f>
        <v>-209.54072120541102</v>
      </c>
      <c r="BM32">
        <f>(((($F32*(AG32-$I32))-($AN$19*(AH32-$J32)))*$AM$19)+((($C32*(AI32-$K32))-($AN$19*(AJ32-$L32)))*$AM$19))/1000</f>
        <v>-101.043630424337</v>
      </c>
      <c r="BN32">
        <f>(((($G32*(AG32-$I32))-($AN$19*(AH32-$J32)))*$AM$19)+((($B32*(AI32-$K32))-($AN$19*(AJ32-$L32)))*$AM$19))/1000</f>
        <v>23.895161217638933</v>
      </c>
      <c r="BO32">
        <f>(((($E32*(AG32-$I32))-($AN$19*(AH32-$J32)))*$AM$19)+((($B32*(AI32-$K32))-($AN$19*(AJ32-$L32)))*$AM$19))/1000</f>
        <v>-106.78503730740567</v>
      </c>
      <c r="BP32" s="32">
        <f>(((($G32*(AG32-$I32))-($AN$19*(AH32-$J32)))*$AM$19)+((($C32*(AI32-$K32))-($AN$19*(AJ32-$L32)))*$AM$19))/1000</f>
        <v>-30.215384901385754</v>
      </c>
    </row>
    <row r="33" spans="1:68" x14ac:dyDescent="0.35">
      <c r="A33">
        <v>-5</v>
      </c>
      <c r="B33" s="24">
        <f t="shared" si="22"/>
        <v>1783.5054</v>
      </c>
      <c r="C33" s="24">
        <f t="shared" si="23"/>
        <v>1538.96165</v>
      </c>
      <c r="D33" s="24">
        <f t="shared" si="24"/>
        <v>1308.9958265</v>
      </c>
      <c r="E33" s="26">
        <f t="shared" si="25"/>
        <v>1051.8472325</v>
      </c>
      <c r="F33" s="26">
        <f t="shared" si="26"/>
        <v>853.92115000000001</v>
      </c>
      <c r="G33" s="26">
        <f t="shared" si="27"/>
        <v>609.96206625000002</v>
      </c>
      <c r="I33" s="33">
        <f>'Без ПКМ'!B8</f>
        <v>199.70820992674109</v>
      </c>
      <c r="J33">
        <f>'Без ПКМ'!G8*3600</f>
        <v>32846.409835598621</v>
      </c>
      <c r="K33">
        <f>'Без ПКМ'!H8</f>
        <v>214.41340557814991</v>
      </c>
      <c r="L33" s="32">
        <f>'Без ПКМ'!M8*3600</f>
        <v>34878.497758439975</v>
      </c>
      <c r="M33" s="34">
        <f>'10x15x4'!T8</f>
        <v>177.52977941425237</v>
      </c>
      <c r="N33" s="27">
        <f>'10x15x4'!AE8*3600</f>
        <v>35285.688935092279</v>
      </c>
      <c r="O33" s="27">
        <f>'10x15x4'!AY8</f>
        <v>223.06574019139691</v>
      </c>
      <c r="P33" s="35">
        <f>'10x15x4'!BK8*3600</f>
        <v>33053.268590107844</v>
      </c>
      <c r="Q33" s="34">
        <f>'10x15x6'!T8</f>
        <v>166.66032050430897</v>
      </c>
      <c r="R33" s="27">
        <f>'10x15x6'!AE8*3600</f>
        <v>36534.044707386485</v>
      </c>
      <c r="S33" s="27">
        <f>'10x15x6'!AY8</f>
        <v>232.25970350357227</v>
      </c>
      <c r="T33" s="35">
        <f>'10x15x6'!BK8*3600</f>
        <v>33053.268590107844</v>
      </c>
      <c r="U33" s="34">
        <f>'10x15x8'!T8</f>
        <v>155.90437190246328</v>
      </c>
      <c r="V33" s="27">
        <f>'10x15x8'!AE8*3600</f>
        <v>37730.460387774743</v>
      </c>
      <c r="W33" s="27">
        <f>'10x15x8'!AY8</f>
        <v>241.88905515340846</v>
      </c>
      <c r="X33" s="35">
        <f>'10x15x8'!BK8*3600</f>
        <v>33053.344512236152</v>
      </c>
      <c r="Y33" s="34">
        <f>'10x15x10'!T8</f>
        <v>145.54752866243177</v>
      </c>
      <c r="Z33" s="27">
        <f>'10x15x10'!AE8*3600</f>
        <v>38885.749675764928</v>
      </c>
      <c r="AA33" s="27">
        <f>'10x15x10'!AY8</f>
        <v>251.47498366064798</v>
      </c>
      <c r="AB33" s="35">
        <f>'10x15x10'!BK8*3600</f>
        <v>33054.746110914915</v>
      </c>
      <c r="AC33" s="34">
        <f>'10x15x12'!T8</f>
        <v>135.54212602016185</v>
      </c>
      <c r="AD33" s="27">
        <f>'10x15x12'!AE8*3600</f>
        <v>39997.425024761113</v>
      </c>
      <c r="AE33" s="27">
        <f>'10x15x12'!AY8</f>
        <v>260.90776066728552</v>
      </c>
      <c r="AF33" s="35">
        <f>'10x15x12'!BK8*3600</f>
        <v>33056.380525375214</v>
      </c>
      <c r="AG33" s="34">
        <f>'10x15x14'!T8</f>
        <v>125.89000819955581</v>
      </c>
      <c r="AH33" s="27">
        <f>'10x15x14'!AE8*3600</f>
        <v>41078.798445910514</v>
      </c>
      <c r="AI33" s="27">
        <f>'10x15x14'!AY8</f>
        <v>270.26517468542312</v>
      </c>
      <c r="AJ33" s="35">
        <f>'10x15x14'!BK8*3600</f>
        <v>33058.27140353198</v>
      </c>
      <c r="AK33" s="73"/>
      <c r="AM33" s="33">
        <f t="shared" si="28"/>
        <v>-66.8532156035578</v>
      </c>
      <c r="AN33">
        <f t="shared" si="9"/>
        <v>-41.335491116084711</v>
      </c>
      <c r="AO33">
        <f t="shared" si="29"/>
        <v>-11.229475358412689</v>
      </c>
      <c r="AP33">
        <f t="shared" si="10"/>
        <v>-50.430753175113288</v>
      </c>
      <c r="AQ33" s="32">
        <f t="shared" si="11"/>
        <v>-19.692972768725564</v>
      </c>
      <c r="AR33" s="33">
        <f t="shared" si="12"/>
        <v>-102.75423777705655</v>
      </c>
      <c r="AS33">
        <f t="shared" si="13"/>
        <v>-60.173926228571482</v>
      </c>
      <c r="AT33">
        <f t="shared" si="14"/>
        <v>-10.467792461899982</v>
      </c>
      <c r="AU33">
        <f t="shared" si="15"/>
        <v>-68.881280908472135</v>
      </c>
      <c r="AV33" s="32">
        <f t="shared" si="16"/>
        <v>-27.924594935100032</v>
      </c>
      <c r="AW33" s="33">
        <f t="shared" si="17"/>
        <v>-134.3064308599821</v>
      </c>
      <c r="AX33">
        <f t="shared" si="18"/>
        <v>-74.352901102455618</v>
      </c>
      <c r="AY33">
        <f t="shared" si="19"/>
        <v>-4.7315308226322523</v>
      </c>
      <c r="AZ33">
        <f t="shared" si="20"/>
        <v>-82.156595813616534</v>
      </c>
      <c r="BA33" s="32">
        <f t="shared" si="21"/>
        <v>-31.607524345910758</v>
      </c>
      <c r="BB33" s="33">
        <f>(((($E33*(Y33-$I33))-($AN$19*(Z33-$J33)))*$AM$19)+((($D33*(AA33-$K33))-($AN$19*(AB33-$L33)))*$AM$19))/1000</f>
        <v>-163.18542672974004</v>
      </c>
      <c r="BC33">
        <f>(((($F33*(Y33-$I33))-($AN$19*(Z33-$J33)))*$AM$19)+((($C33*(AA33-$K33))-($AN$19*(AB33-$L33)))*$AM$19))/1000</f>
        <v>-86.214595561231604</v>
      </c>
      <c r="BD33">
        <f>(((($G33*(Y33-$I33))-($AN$19*(Z33-$J33)))*$AM$19)+((($B33*(AA33-$K33))-($AN$19*(AB33-$L33)))*$AM$19))/1000</f>
        <v>2.8900742856827564</v>
      </c>
      <c r="BE33">
        <f>(((($E33*(Y33-$I33))-($AN$19*(Z33-$J33)))*$AM$19)+((($B33*(AA33-$K33))-($AN$19*(AB33-$L33)))*$AM$19))/1000</f>
        <v>-92.841132293087611</v>
      </c>
      <c r="BF33" s="32">
        <f>(((($G33*(Y33-$I33))-($AN$19*(Z33-$J33)))*$AM$19)+((($C33*(AA33-$K33))-($AN$19*(AB33-$L33)))*$AM$19))/1000</f>
        <v>-33.362634855164856</v>
      </c>
      <c r="BG33" s="33">
        <f>(((($E33*(AC33-$I33))-($AN$19*(AD33-$J33)))*$AM$19)+((($D33*(AE33-$K33))-($AN$19*(AF33-$L33)))*$AM$19))/1000</f>
        <v>-190.05643311572553</v>
      </c>
      <c r="BH33">
        <f>(((($F33*(AC33-$I33))-($AN$19*(AD33-$J33)))*$AM$19)+((($C33*(AE33-$K33))-($AN$19*(AF33-$L33)))*$AM$19))/1000</f>
        <v>-96.48741602304554</v>
      </c>
      <c r="BI33">
        <f>(((($G33*(AC33-$I33))-($AN$19*(AD33-$J33)))*$AM$19)+((($B33*(AE33-$K33))-($AN$19*(AF33-$L33)))*$AM$19))/1000</f>
        <v>11.607795916968492</v>
      </c>
      <c r="BJ33">
        <f>(((($E33*(AC33-$I33))-($AN$19*(AD33-$J33)))*$AM$19)+((($B33*(AE33-$K33))-($AN$19*(AF33-$L33)))*$AM$19))/1000</f>
        <v>-101.80836670171237</v>
      </c>
      <c r="BK33" s="32">
        <f>(((($G33*(AC33-$I33))-($AN$19*(AD33-$J33)))*$AM$19)+((($C33*(AE33-$K33))-($AN$19*(AF33-$L33)))*$AM$19))/1000</f>
        <v>-33.871819872346705</v>
      </c>
      <c r="BL33" s="33">
        <f>(((($E33*(AG33-$I33))-($AN$19*(AH33-$J33)))*$AM$19)+((($D33*(AI33-$K33))-($AN$19*(AJ33-$L33)))*$AM$19))/1000</f>
        <v>-214.91362401467836</v>
      </c>
      <c r="BM33">
        <f>(((($F33*(AG33-$I33))-($AN$19*(AH33-$J33)))*$AM$19)+((($C33*(AI33-$K33))-($AN$19*(AJ33-$L33)))*$AM$19))/1000</f>
        <v>-105.09544176770839</v>
      </c>
      <c r="BN33">
        <f>(((($G33*(AG33-$I33))-($AN$19*(AH33-$J33)))*$AM$19)+((($B33*(AI33-$K33))-($AN$19*(AJ33-$L33)))*$AM$19))/1000</f>
        <v>21.571845908545654</v>
      </c>
      <c r="BO33">
        <f>(((($E33*(AG33-$I33))-($AN$19*(AH33-$J33)))*$AM$19)+((($B33*(AI33-$K33))-($AN$19*(AJ33-$L33)))*$AM$19))/1000</f>
        <v>-108.9048274614276</v>
      </c>
      <c r="BP33" s="32">
        <f>(((($G33*(AG33-$I33))-($AN$19*(AH33-$J33)))*$AM$19)+((($C33*(AI33-$K33))-($AN$19*(AJ33-$L33)))*$AM$19))/1000</f>
        <v>-33.060958337961289</v>
      </c>
    </row>
    <row r="34" spans="1:68" x14ac:dyDescent="0.35">
      <c r="A34">
        <v>0</v>
      </c>
      <c r="B34" s="24">
        <f t="shared" si="22"/>
        <v>1791.2</v>
      </c>
      <c r="C34" s="24">
        <f t="shared" si="23"/>
        <v>1541.2</v>
      </c>
      <c r="D34" s="24">
        <f t="shared" si="24"/>
        <v>1291.2</v>
      </c>
      <c r="E34" s="26">
        <f t="shared" si="25"/>
        <v>1049.75</v>
      </c>
      <c r="F34" s="26">
        <f t="shared" si="26"/>
        <v>849.75</v>
      </c>
      <c r="G34" s="26">
        <f t="shared" si="27"/>
        <v>599.75</v>
      </c>
      <c r="I34" s="33">
        <f>'Без ПКМ'!B9</f>
        <v>198.73947885409888</v>
      </c>
      <c r="J34">
        <f>'Без ПКМ'!G9*3600</f>
        <v>32508.023889636039</v>
      </c>
      <c r="K34">
        <f>'Без ПКМ'!H9</f>
        <v>214.17359702034025</v>
      </c>
      <c r="L34" s="32">
        <f>'Без ПКМ'!M9*3600</f>
        <v>34642.965297644078</v>
      </c>
      <c r="M34" s="34">
        <f>'10x15x4'!T9</f>
        <v>177.57947262234029</v>
      </c>
      <c r="N34" s="27">
        <f>'10x15x4'!AE9*3600</f>
        <v>35044.738547972665</v>
      </c>
      <c r="O34" s="27">
        <f>'10x15x4'!AY9</f>
        <v>222.79377209192367</v>
      </c>
      <c r="P34" s="35">
        <f>'10x15x4'!BK9*3600</f>
        <v>32817.702994101463</v>
      </c>
      <c r="Q34" s="34">
        <f>'10x15x6'!T9</f>
        <v>166.38809179742725</v>
      </c>
      <c r="R34" s="27">
        <f>'10x15x6'!AE9*3600</f>
        <v>36248.398798866678</v>
      </c>
      <c r="S34" s="27">
        <f>'10x15x6'!AY9</f>
        <v>231.88022620807715</v>
      </c>
      <c r="T34" s="35">
        <f>'10x15x6'!BK9*3600</f>
        <v>32817.702994101463</v>
      </c>
      <c r="U34" s="34">
        <f>'10x15x8'!T9</f>
        <v>155.90114081888706</v>
      </c>
      <c r="V34" s="27">
        <f>'10x15x8'!AE9*3600</f>
        <v>37465.163595420338</v>
      </c>
      <c r="W34" s="27">
        <f>'10x15x8'!AY9</f>
        <v>241.41194797330621</v>
      </c>
      <c r="X34" s="35">
        <f>'10x15x8'!BK9*3600</f>
        <v>32818.694220011479</v>
      </c>
      <c r="Y34" s="34">
        <f>'10x15x10'!T9</f>
        <v>145.64650309720216</v>
      </c>
      <c r="Z34" s="27">
        <f>'10x15x10'!AE9*3600</f>
        <v>38627.547404558485</v>
      </c>
      <c r="AA34" s="27">
        <f>'10x15x10'!AY9</f>
        <v>250.88359155611317</v>
      </c>
      <c r="AB34" s="35">
        <f>'10x15x10'!BK9*3600</f>
        <v>32820.218287339645</v>
      </c>
      <c r="AC34" s="34">
        <f>'10x15x12'!T9</f>
        <v>135.65865793181851</v>
      </c>
      <c r="AD34" s="27">
        <f>'10x15x12'!AE9*3600</f>
        <v>39738.758076330007</v>
      </c>
      <c r="AE34" s="27">
        <f>'10x15x12'!AY9</f>
        <v>260.34711601172404</v>
      </c>
      <c r="AF34" s="35">
        <f>'10x15x12'!BK9*3600</f>
        <v>32822.042797594542</v>
      </c>
      <c r="AG34" s="34">
        <f>'10x15x14'!T9</f>
        <v>125.93305933170068</v>
      </c>
      <c r="AH34" s="27">
        <f>'10x15x14'!AE9*3600</f>
        <v>40810.771072434472</v>
      </c>
      <c r="AI34" s="27">
        <f>'10x15x14'!AY9</f>
        <v>269.69802666669847</v>
      </c>
      <c r="AJ34" s="35">
        <f>'10x15x14'!BK9*3600</f>
        <v>32824.159068264671</v>
      </c>
      <c r="AK34" s="73"/>
      <c r="AM34" s="33">
        <f t="shared" si="28"/>
        <v>-66.161796129328053</v>
      </c>
      <c r="AN34">
        <f t="shared" si="9"/>
        <v>-40.613616072337756</v>
      </c>
      <c r="AO34">
        <f t="shared" si="29"/>
        <v>-10.833434768995765</v>
      </c>
      <c r="AP34">
        <f t="shared" si="10"/>
        <v>-48.92144598616121</v>
      </c>
      <c r="AQ34" s="32">
        <f t="shared" si="11"/>
        <v>-19.453609840579187</v>
      </c>
      <c r="AR34" s="33">
        <f t="shared" si="12"/>
        <v>-103.16152951986655</v>
      </c>
      <c r="AS34">
        <f t="shared" si="13"/>
        <v>-59.573790686792371</v>
      </c>
      <c r="AT34">
        <f t="shared" si="14"/>
        <v>-9.5157744423838455</v>
      </c>
      <c r="AU34">
        <f t="shared" si="15"/>
        <v>-67.74827114439276</v>
      </c>
      <c r="AV34" s="32">
        <f t="shared" si="16"/>
        <v>-27.222403630120738</v>
      </c>
      <c r="AW34" s="33">
        <f t="shared" si="17"/>
        <v>-135.33620199546183</v>
      </c>
      <c r="AX34">
        <f t="shared" si="18"/>
        <v>-73.827180614326437</v>
      </c>
      <c r="AY34">
        <f t="shared" si="19"/>
        <v>-3.7504916261486358</v>
      </c>
      <c r="AZ34">
        <f t="shared" si="20"/>
        <v>-80.859500089529902</v>
      </c>
      <c r="BA34" s="32">
        <f t="shared" si="21"/>
        <v>-30.9888425791146</v>
      </c>
      <c r="BB34" s="33">
        <f>(((($E34*(Y34-$I34))-($AN$19*(Z34-$J34)))*$AM$19)+((($D34*(AA34-$K34))-($AN$19*(AB34-$L34)))*$AM$19))/1000</f>
        <v>-165.19323941450514</v>
      </c>
      <c r="BC34">
        <f>(((($F34*(Y34-$I34))-($AN$19*(Z34-$J34)))*$AM$19)+((($C34*(AA34-$K34))-($AN$19*(AB34-$L34)))*$AM$19))/1000</f>
        <v>-86.008864273214883</v>
      </c>
      <c r="BD34">
        <f>(((($G34*(Y34-$I34))-($AN$19*(Z34-$J34)))*$AM$19)+((($B34*(AA34-$K34))-($AN$19*(AB34-$L34)))*$AM$19))/1000</f>
        <v>3.7941060194547753</v>
      </c>
      <c r="BE34">
        <f>(((($E34*(Y34-$I34))-($AN$19*(Z34-$J34)))*$AM$19)+((($B34*(AA34-$K34))-($AN$19*(AB34-$L34)))*$AM$19))/1000</f>
        <v>-91.773250342959301</v>
      </c>
      <c r="BF34" s="32">
        <f>(((($G34*(Y34-$I34))-($AN$19*(Z34-$J34)))*$AM$19)+((($C34*(AA34-$K34))-($AN$19*(AB34-$L34)))*$AM$19))/1000</f>
        <v>-32.915888516318113</v>
      </c>
      <c r="BG34" s="33">
        <f>(((($E34*(AC34-$I34))-($AN$19*(AD34-$J34)))*$AM$19)+((($D34*(AE34-$K34))-($AN$19*(AF34-$L34)))*$AM$19))/1000</f>
        <v>-192.41081305225322</v>
      </c>
      <c r="BH34">
        <f>(((($F34*(AC34-$I34))-($AN$19*(AD34-$J34)))*$AM$19)+((($C34*(AE34-$K34))-($AN$19*(AF34-$L34)))*$AM$19))/1000</f>
        <v>-95.772637323045174</v>
      </c>
      <c r="BI34">
        <f>(((($G34*(AC34-$I34))-($AN$19*(AD34-$J34)))*$AM$19)+((($B34*(AE34-$K34))-($AN$19*(AF34-$L34)))*$AM$19))/1000</f>
        <v>13.481702590618982</v>
      </c>
      <c r="BJ34">
        <f>(((($E34*(AC34-$I34))-($AN$19*(AD34-$J34)))*$AM$19)+((($B34*(AE34-$K34))-($AN$19*(AF34-$L34)))*$AM$19))/1000</f>
        <v>-100.06377506948566</v>
      </c>
      <c r="BK34" s="32">
        <f>(((($G34*(AC34-$I34))-($AN$19*(AD34-$J34)))*$AM$19)+((($C34*(AE34-$K34))-($AN$19*(AF34-$L34)))*$AM$19))/1000</f>
        <v>-32.6918164007648</v>
      </c>
      <c r="BL34" s="33">
        <f>(((($E34*(AG34-$I34))-($AN$19*(AH34-$J34)))*$AM$19)+((($D34*(AI34-$K34))-($AN$19*(AJ34-$L34)))*$AM$19))/1000</f>
        <v>-217.91493137441674</v>
      </c>
      <c r="BM34">
        <f>(((($F34*(AG34-$I34))-($AN$19*(AH34-$J34)))*$AM$19)+((($C34*(AI34-$K34))-($AN$19*(AJ34-$L34)))*$AM$19))/1000</f>
        <v>-104.14536611014005</v>
      </c>
      <c r="BN34">
        <f>(((($G34*(AG34-$I34))-($AN$19*(AH34-$J34)))*$AM$19)+((($B34*(AI34-$K34))-($AN$19*(AJ34-$L34)))*$AM$19))/1000</f>
        <v>24.185483058616402</v>
      </c>
      <c r="BO34">
        <f>(((($E34*(AG34-$I34))-($AN$19*(AH34-$J34)))*$AM$19)+((($B34*(AI34-$K34))-($AN$19*(AJ34-$L34)))*$AM$19))/1000</f>
        <v>-106.86607208170031</v>
      </c>
      <c r="BP34" s="32">
        <f>(((($G34*(AG34-$I34))-($AN$19*(AH34-$J34)))*$AM$19)+((($C34*(AI34-$K34))-($AN$19*(AJ34-$L34)))*$AM$19))/1000</f>
        <v>-31.338946587741784</v>
      </c>
    </row>
    <row r="35" spans="1:68" x14ac:dyDescent="0.35">
      <c r="A35">
        <v>5</v>
      </c>
      <c r="B35" s="24">
        <f t="shared" si="22"/>
        <v>1817.7275999999999</v>
      </c>
      <c r="C35" s="24">
        <f t="shared" si="23"/>
        <v>1562.27135</v>
      </c>
      <c r="D35" s="24">
        <f>A35^$B$13*$C$13+A35^$B$14*$C$14+A35^$B$15*$C$15+$C$16</f>
        <v>1282.8206735000001</v>
      </c>
      <c r="E35" s="26">
        <f t="shared" si="25"/>
        <v>1063.2810175</v>
      </c>
      <c r="F35" s="26">
        <f t="shared" si="26"/>
        <v>848.70450000000005</v>
      </c>
      <c r="G35" s="26">
        <f t="shared" si="27"/>
        <v>589.69421624999995</v>
      </c>
      <c r="I35" s="33">
        <f>'Без ПКМ'!B10</f>
        <v>194.29244468757045</v>
      </c>
      <c r="J35">
        <f>'Без ПКМ'!G10*3600</f>
        <v>31788.215781209554</v>
      </c>
      <c r="K35">
        <f>'Без ПКМ'!H10</f>
        <v>209.09347165135563</v>
      </c>
      <c r="L35" s="32">
        <f>'Без ПКМ'!M10*3600</f>
        <v>33871.511253258919</v>
      </c>
      <c r="M35" s="34">
        <f>'10x15x4'!T10</f>
        <v>174.96286593975464</v>
      </c>
      <c r="N35" s="27">
        <f>'10x15x4'!AE10*3600</f>
        <v>34477.331555603239</v>
      </c>
      <c r="O35" s="27">
        <f>'10x15x4'!AY10</f>
        <v>217.33942499962589</v>
      </c>
      <c r="P35" s="35">
        <f>'10x15x4'!BK10*3600</f>
        <v>32046.204227487178</v>
      </c>
      <c r="Q35" s="34">
        <f>'10x15x6'!T10</f>
        <v>164.18061624396458</v>
      </c>
      <c r="R35" s="27">
        <f>'10x15x6'!AE10*3600</f>
        <v>35709.496760404407</v>
      </c>
      <c r="S35" s="27">
        <f>'10x15x6'!AY10</f>
        <v>227.11848773127031</v>
      </c>
      <c r="T35" s="35">
        <f>'10x15x6'!BK10*3600</f>
        <v>32046.922537989598</v>
      </c>
      <c r="U35" s="34">
        <f>'10x15x8'!T10</f>
        <v>154.35881645518114</v>
      </c>
      <c r="V35" s="27">
        <f>'10x15x8'!AE10*3600</f>
        <v>36992.828086077068</v>
      </c>
      <c r="W35" s="27">
        <f>'10x15x8'!AY10</f>
        <v>236.60474660022834</v>
      </c>
      <c r="X35" s="35">
        <f>'10x15x8'!BK10*3600</f>
        <v>32048.238430914662</v>
      </c>
      <c r="Y35" s="34">
        <f>'10x15x10'!T10</f>
        <v>144.63111615938934</v>
      </c>
      <c r="Z35" s="27">
        <f>'10x15x10'!AE10*3600</f>
        <v>38216.697504019488</v>
      </c>
      <c r="AA35" s="27">
        <f>'10x15x10'!AY10</f>
        <v>246.1713670609108</v>
      </c>
      <c r="AB35" s="35">
        <f>'10x15x10'!BK10*3600</f>
        <v>32049.94090268181</v>
      </c>
      <c r="AC35" s="34">
        <f>'10x15x12'!T10</f>
        <v>135.05462987344839</v>
      </c>
      <c r="AD35" s="27">
        <f>'10x15x12'!AE10*3600</f>
        <v>39381.808205000343</v>
      </c>
      <c r="AE35" s="27">
        <f>'10x15x12'!AY10</f>
        <v>255.70665036535269</v>
      </c>
      <c r="AF35" s="35">
        <f>'10x15x12'!BK10*3600</f>
        <v>32051.997154472741</v>
      </c>
      <c r="AG35" s="34">
        <f>'10x15x14'!T10</f>
        <v>125.644158454034</v>
      </c>
      <c r="AH35" s="27">
        <f>'10x15x14'!AE10*3600</f>
        <v>40502.104255840524</v>
      </c>
      <c r="AI35" s="27">
        <f>'10x15x14'!AY10</f>
        <v>265.08425470831168</v>
      </c>
      <c r="AJ35" s="35">
        <f>'10x15x14'!BK10*3600</f>
        <v>32054.367768700213</v>
      </c>
      <c r="AK35" s="73"/>
      <c r="AM35" s="33">
        <f t="shared" si="28"/>
        <v>-66.406565120430542</v>
      </c>
      <c r="AN35">
        <f t="shared" si="9"/>
        <v>-40.598521384390985</v>
      </c>
      <c r="AO35">
        <f t="shared" si="29"/>
        <v>-12.146361399335728</v>
      </c>
      <c r="AP35">
        <f t="shared" si="10"/>
        <v>-48.763294874088025</v>
      </c>
      <c r="AQ35" s="32">
        <f t="shared" si="11"/>
        <v>-20.572282679432</v>
      </c>
      <c r="AR35" s="33">
        <f t="shared" si="12"/>
        <v>-99.919296260284256</v>
      </c>
      <c r="AS35">
        <f t="shared" si="13"/>
        <v>-53.925719378516604</v>
      </c>
      <c r="AT35">
        <f t="shared" si="14"/>
        <v>-4.3102144050190692</v>
      </c>
      <c r="AU35">
        <f t="shared" si="15"/>
        <v>-61.352472454603351</v>
      </c>
      <c r="AV35" s="32">
        <f t="shared" si="16"/>
        <v>-22.728626460877887</v>
      </c>
      <c r="AW35" s="33">
        <f t="shared" si="17"/>
        <v>-132.43805216006797</v>
      </c>
      <c r="AX35">
        <f t="shared" si="18"/>
        <v>-67.410599067724917</v>
      </c>
      <c r="AY35">
        <f t="shared" si="19"/>
        <v>2.0739909754596009</v>
      </c>
      <c r="AZ35">
        <f t="shared" si="20"/>
        <v>-73.574166052076208</v>
      </c>
      <c r="BA35" s="32">
        <f t="shared" si="21"/>
        <v>-26.037717549172228</v>
      </c>
      <c r="BB35" s="33">
        <f>(((($E35*(Y35-$I35))-($AN$19*(Z35-$J35)))*$AM$19)+((($D35*(AA35-$K35))-($AN$19*(AB35-$L35)))*$AM$19))/1000</f>
        <v>-162.33138262015873</v>
      </c>
      <c r="BC35">
        <f>(((($F35*(Y35-$I35))-($AN$19*(Z35-$J35)))*$AM$19)+((($C35*(AA35-$K35))-($AN$19*(AB35-$L35)))*$AM$19))/1000</f>
        <v>-78.260991078571067</v>
      </c>
      <c r="BD35">
        <f>(((($G35*(Y35-$I35))-($AN$19*(Z35-$J35)))*$AM$19)+((($B35*(AA35-$K35))-($AN$19*(AB35-$L35)))*$AM$19))/1000</f>
        <v>11.077308572242327</v>
      </c>
      <c r="BE35">
        <f>(((($E35*(Y35-$I35))-($AN$19*(Z35-$J35)))*$AM$19)+((($B35*(AA35-$K35))-($AN$19*(AB35-$L35)))*$AM$19))/1000</f>
        <v>-82.99849032170431</v>
      </c>
      <c r="BF35" s="32">
        <f>(((($G35*(Y35-$I35))-($AN$19*(Z35-$J35)))*$AM$19)+((($C35*(AA35-$K35))-($AN$19*(AB35-$L35)))*$AM$19))/1000</f>
        <v>-26.809811904626375</v>
      </c>
      <c r="BG35" s="33">
        <f>(((($E35*(AC35-$I35))-($AN$19*(AD35-$J35)))*$AM$19)+((($D35*(AE35-$K35))-($AN$19*(AF35-$L35)))*$AM$19))/1000</f>
        <v>-189.95010275193036</v>
      </c>
      <c r="BH35">
        <f>(((($F35*(AC35-$I35))-($AN$19*(AD35-$J35)))*$AM$19)+((($C35*(AE35-$K35))-($AN$19*(AF35-$L35)))*$AM$19))/1000</f>
        <v>-87.001589421666054</v>
      </c>
      <c r="BI35">
        <f>(((($G35*(AC35-$I35))-($AN$19*(AD35-$J35)))*$AM$19)+((($B35*(AE35-$K35))-($AN$19*(AF35-$L35)))*$AM$19))/1000</f>
        <v>22.001734812706882</v>
      </c>
      <c r="BJ35">
        <f>(((($E35*(AC35-$I35))-($AN$19*(AD35-$J35)))*$AM$19)+((($B35*(AE35-$K35))-($AN$19*(AF35-$L35)))*$AM$19))/1000</f>
        <v>-90.215254110732815</v>
      </c>
      <c r="BK35" s="32">
        <f>(((($G35*(AC35-$I35))-($AN$19*(AD35-$J35)))*$AM$19)+((($C35*(AE35-$K35))-($AN$19*(AF35-$L35)))*$AM$19))/1000</f>
        <v>-25.628776526723172</v>
      </c>
      <c r="BL35" s="33">
        <f>(((($E35*(AG35-$I35))-($AN$19*(AH35-$J35)))*$AM$19)+((($D35*(AI35-$K35))-($AN$19*(AJ35-$L35)))*$AM$19))/1000</f>
        <v>-216.30625156788673</v>
      </c>
      <c r="BM35">
        <f>(((($F35*(AG35-$I35))-($AN$19*(AH35-$J35)))*$AM$19)+((($C35*(AI35-$K35))-($AN$19*(AJ35-$L35)))*$AM$19))/1000</f>
        <v>-94.798361986420645</v>
      </c>
      <c r="BN35">
        <f>(((($G35*(AG35-$I35))-($AN$19*(AH35-$J35)))*$AM$19)+((($B35*(AI35-$K35))-($AN$19*(AJ35-$L35)))*$AM$19))/1000</f>
        <v>33.536868295951457</v>
      </c>
      <c r="BO35">
        <f>(((($E35*(AG35-$I35))-($AN$19*(AH35-$J35)))*$AM$19)+((($B35*(AI35-$K35))-($AN$19*(AJ35-$L35)))*$AM$19))/1000</f>
        <v>-96.50682085858827</v>
      </c>
      <c r="BP35" s="32">
        <f>(((($G35*(AG35-$I35))-($AN$19*(AH35-$J35)))*$AM$19)+((($C35*(AI35-$K35))-($AN$19*(AJ35-$L35)))*$AM$19))/1000</f>
        <v>-23.675913601222621</v>
      </c>
    </row>
    <row r="36" spans="1:68" ht="15" thickBot="1" x14ac:dyDescent="0.4">
      <c r="A36">
        <v>8</v>
      </c>
      <c r="B36" s="24">
        <f t="shared" si="22"/>
        <v>1844.5369056</v>
      </c>
      <c r="C36" s="24">
        <f t="shared" si="23"/>
        <v>1585.8069055999999</v>
      </c>
      <c r="D36" s="24">
        <f>A36^$B$13*$C$13+A36^$B$14*$C$14+A36^$B$15*$C$15+$C$16</f>
        <v>1282.3315266560001</v>
      </c>
      <c r="E36" s="26">
        <f t="shared" si="25"/>
        <v>1079.08262848</v>
      </c>
      <c r="F36" s="26">
        <f t="shared" si="26"/>
        <v>847.76310720000004</v>
      </c>
      <c r="G36" s="26">
        <f t="shared" si="27"/>
        <v>581.92135680000001</v>
      </c>
      <c r="I36" s="33">
        <f>'Без ПКМ'!B11</f>
        <v>191.17246153573632</v>
      </c>
      <c r="J36">
        <f>'Без ПКМ'!G11*3600</f>
        <v>31342.166069435472</v>
      </c>
      <c r="K36">
        <f>'Без ПКМ'!H11</f>
        <v>205.95308292677296</v>
      </c>
      <c r="L36" s="32">
        <f>'Без ПКМ'!M11*3600</f>
        <v>33424.329104008168</v>
      </c>
      <c r="M36" s="34">
        <f>'10x15x4'!T11</f>
        <v>171.42404990435571</v>
      </c>
      <c r="N36" s="27">
        <f>'10x15x4'!AE11*3600</f>
        <v>33978.952130230791</v>
      </c>
      <c r="O36" s="27">
        <f>'10x15x4'!AY11</f>
        <v>214.45742790464612</v>
      </c>
      <c r="P36" s="35">
        <f>'10x15x4'!BK11*3600</f>
        <v>31599.54306396336</v>
      </c>
      <c r="Q36" s="34">
        <f>'10x15x6'!T11</f>
        <v>161.7746362315998</v>
      </c>
      <c r="R36" s="27">
        <f>'10x15x6'!AE11*3600</f>
        <v>35323.56359199385</v>
      </c>
      <c r="S36" s="27">
        <f>'10x15x6'!AY11</f>
        <v>224.15367348299878</v>
      </c>
      <c r="T36" s="35">
        <f>'10x15x6'!BK11*3600</f>
        <v>31600.415899153417</v>
      </c>
      <c r="U36" s="34">
        <f>'10x15x8'!T11</f>
        <v>152.1950123241451</v>
      </c>
      <c r="V36" s="27">
        <f>'10x15x8'!AE11*3600</f>
        <v>36627.02506537336</v>
      </c>
      <c r="W36" s="27">
        <f>'10x15x8'!AY11</f>
        <v>233.65407993014577</v>
      </c>
      <c r="X36" s="35">
        <f>'10x15x8'!BK11*3600</f>
        <v>31601.818241428755</v>
      </c>
      <c r="Y36" s="34">
        <f>'10x15x10'!T11</f>
        <v>142.75714538031076</v>
      </c>
      <c r="Z36" s="27">
        <f>'10x15x10'!AE11*3600</f>
        <v>37877.313488716303</v>
      </c>
      <c r="AA36" s="27">
        <f>'10x15x10'!AY11</f>
        <v>243.23526269394117</v>
      </c>
      <c r="AB36" s="35">
        <f>'10x15x10'!BK11*3600</f>
        <v>31603.652232422843</v>
      </c>
      <c r="AC36" s="34">
        <f>'10x15x12'!T11</f>
        <v>133.40168410073011</v>
      </c>
      <c r="AD36" s="27">
        <f>'10x15x12'!AE11*3600</f>
        <v>39066.772143756185</v>
      </c>
      <c r="AE36" s="27">
        <f>'10x15x12'!AY11</f>
        <v>252.77719870872701</v>
      </c>
      <c r="AF36" s="35">
        <f>'10x15x12'!BK11*3600</f>
        <v>31605.865536362857</v>
      </c>
      <c r="AG36" s="34">
        <f>'10x15x14'!T11</f>
        <v>124.1876169513156</v>
      </c>
      <c r="AH36" s="27">
        <f>'10x15x14'!AE11*3600</f>
        <v>40210.348545022483</v>
      </c>
      <c r="AI36" s="27">
        <f>'10x15x14'!AY11</f>
        <v>262.15340624966848</v>
      </c>
      <c r="AJ36" s="35">
        <f>'10x15x14'!BK11*3600</f>
        <v>31608.400801835156</v>
      </c>
      <c r="AK36" s="73"/>
      <c r="AM36" s="36">
        <f t="shared" si="28"/>
        <v>-66.537039550029561</v>
      </c>
      <c r="AN36" s="37">
        <f t="shared" si="9"/>
        <v>-37.940829792261965</v>
      </c>
      <c r="AO36" s="37">
        <f t="shared" si="29"/>
        <v>-8.1397038249376923</v>
      </c>
      <c r="AP36" s="37">
        <f t="shared" si="10"/>
        <v>-47.412285586206828</v>
      </c>
      <c r="AQ36" s="38">
        <f t="shared" si="11"/>
        <v>-16.941020529438187</v>
      </c>
      <c r="AR36" s="36">
        <f t="shared" si="12"/>
        <v>-99.740904978173845</v>
      </c>
      <c r="AS36" s="37">
        <f t="shared" si="13"/>
        <v>-50.44601700984925</v>
      </c>
      <c r="AT36" s="37">
        <f t="shared" si="14"/>
        <v>-0.34918448417977199</v>
      </c>
      <c r="AU36" s="37">
        <f t="shared" si="15"/>
        <v>-58.811025335503743</v>
      </c>
      <c r="AV36" s="38">
        <f t="shared" si="16"/>
        <v>-19.185339662629005</v>
      </c>
      <c r="AW36" s="36">
        <f t="shared" si="17"/>
        <v>-132.40153267441431</v>
      </c>
      <c r="AX36" s="37">
        <f t="shared" si="18"/>
        <v>-62.710270854150465</v>
      </c>
      <c r="AY36" s="37">
        <f t="shared" si="19"/>
        <v>7.4053782627261535</v>
      </c>
      <c r="AZ36" s="37">
        <f t="shared" si="20"/>
        <v>-70.106934604783049</v>
      </c>
      <c r="BA36" s="38">
        <f t="shared" si="21"/>
        <v>-21.262937556004442</v>
      </c>
      <c r="BB36" s="36">
        <f>(((($E36*(Y36-$I36))-($AN$19*(Z36-$J36)))*$AM$19)+((($D36*(AA36-$K36))-($AN$19*(AB36-$L36)))*$AM$19))/1000</f>
        <v>-162.41748169126021</v>
      </c>
      <c r="BC36" s="37">
        <f>(((($F36*(Y36-$I36))-($AN$19*(Z36-$J36)))*$AM$19)+((($C36*(AA36-$K36))-($AN$19*(AB36-$L36)))*$AM$19))/1000</f>
        <v>-72.362956137689878</v>
      </c>
      <c r="BD36" s="37">
        <f>(((($G36*(Y36-$I36))-($AN$19*(Z36-$J36)))*$AM$19)+((($B36*(AA36-$K36))-($AN$19*(AB36-$L36)))*$AM$19))/1000</f>
        <v>17.704366918658721</v>
      </c>
      <c r="BE36" s="37">
        <f>(((($E36*(Y36-$I36))-($AN$19*(Z36-$J36)))*$AM$19)+((($B36*(AA36-$K36))-($AN$19*(AB36-$L36)))*$AM$19))/1000</f>
        <v>-78.576513675823747</v>
      </c>
      <c r="BF36" s="38">
        <f>(((($G36*(Y36-$I36))-($AN$19*(Z36-$J36)))*$AM$19)+((($C36*(AA36-$K36))-($AN$19*(AB36-$L36)))*$AM$19))/1000</f>
        <v>-20.879706565978996</v>
      </c>
      <c r="BG36" s="75">
        <f>(((($E36*(AC36-$I36))-($AN$19*(AD36-$J36)))*$AM$19)+((($D36*(AE36-$K36))-($AN$19*(AF36-$L36)))*$AM$19))/1000</f>
        <v>-190.42400077841035</v>
      </c>
      <c r="BH36" s="37">
        <f>(((($F36*(AC36-$I36))-($AN$19*(AD36-$J36)))*$AM$19)+((($C36*(AE36-$K36))-($AN$19*(AF36-$L36)))*$AM$19))/1000</f>
        <v>-80.130101334869224</v>
      </c>
      <c r="BI36" s="37">
        <f>(((($G36*(AC36-$I36))-($AN$19*(AD36-$J36)))*$AM$19)+((($B36*(AE36-$K36))-($AN$19*(AF36-$L36)))*$AM$19))/1000</f>
        <v>29.760650951354183</v>
      </c>
      <c r="BJ36" s="37">
        <f>(((($E36*(AC36-$I36))-($AN$19*(AD36-$J36)))*$AM$19)+((($B36*(AE36-$K36))-($AN$19*(AF36-$L36)))*$AM$19))/1000</f>
        <v>-85.124921750765523</v>
      </c>
      <c r="BK36" s="76">
        <f>(((($G36*(AC36-$I36))-($AN$19*(AD36-$J36)))*$AM$19)+((($C36*(AE36-$K36))-($AN$19*(AF36-$L36)))*$AM$19))/1000</f>
        <v>-18.698562953705725</v>
      </c>
      <c r="BL36" s="75">
        <f>(((($E36*(AG36-$I36))-($AN$19*(AH36-$J36)))*$AM$19)+((($D36*(AI36-$K36))-($AN$19*(AJ36-$L36)))*$AM$19))/1000</f>
        <v>-217.27217817110883</v>
      </c>
      <c r="BM36" s="37">
        <f>(((($F36*(AG36-$I36))-($AN$19*(AH36-$J36)))*$AM$19)+((($C36*(AI36-$K36))-($AN$19*(AJ36-$L36)))*$AM$19))/1000</f>
        <v>-87.070911773211094</v>
      </c>
      <c r="BN36" s="74">
        <f>(((($G36*(AG36-$I36))-($AN$19*(AH36-$J36)))*$AM$19)+((($B36*(AI36-$K36))-($AN$19*(AJ36-$L36)))*$AM$19))/1000</f>
        <v>42.321400178497363</v>
      </c>
      <c r="BO36" s="74">
        <f>(((($E36*(AG36-$I36))-($AN$19*(AH36-$J36)))*$AM$19)+((($B36*(AI36-$K36))-($AN$19*(AJ36-$L36)))*$AM$19))/1000</f>
        <v>-90.887681889013678</v>
      </c>
      <c r="BP36" s="76">
        <f>(((($G36*(AG36-$I36))-($AN$19*(AH36-$J36)))*$AM$19)+((($C36*(AI36-$K36))-($AN$19*(AJ36-$L36)))*$AM$19))/1000</f>
        <v>-15.841438434833661</v>
      </c>
    </row>
    <row r="37" spans="1:68" x14ac:dyDescent="0.35">
      <c r="M37" s="27"/>
      <c r="V37" s="21"/>
      <c r="X37" s="21"/>
      <c r="Z37" s="21"/>
      <c r="AB37" s="21"/>
      <c r="AD37" s="21"/>
      <c r="AF37" s="21"/>
      <c r="AH37" s="21"/>
      <c r="AJ37" s="21"/>
      <c r="AK37" s="21"/>
    </row>
    <row r="38" spans="1:68" x14ac:dyDescent="0.35">
      <c r="M38" s="27"/>
      <c r="X38" s="21"/>
      <c r="AB38" s="21"/>
      <c r="AF38" s="21"/>
      <c r="AJ38" s="21"/>
      <c r="AK38" s="21"/>
    </row>
    <row r="46" spans="1:68" x14ac:dyDescent="0.35">
      <c r="E46" s="21"/>
      <c r="F46" s="21"/>
      <c r="G46" s="21"/>
      <c r="H46" s="21"/>
      <c r="I46" s="21"/>
      <c r="J46" s="21"/>
      <c r="K46" s="21"/>
      <c r="L46" s="21"/>
    </row>
    <row r="47" spans="1:68" x14ac:dyDescent="0.35">
      <c r="E47" s="21"/>
      <c r="F47" s="21"/>
      <c r="G47" s="21"/>
      <c r="H47" s="21"/>
      <c r="I47" s="21"/>
      <c r="J47" s="21"/>
      <c r="K47" s="21"/>
      <c r="L47" s="21"/>
    </row>
    <row r="48" spans="1:68" x14ac:dyDescent="0.35">
      <c r="E48" s="21"/>
      <c r="F48" s="21"/>
      <c r="G48" s="21"/>
      <c r="H48" s="21"/>
      <c r="I48" s="21"/>
      <c r="J48" s="21"/>
      <c r="K48" s="21"/>
      <c r="L48" s="21"/>
    </row>
  </sheetData>
  <mergeCells count="6">
    <mergeCell ref="BL24:BP24"/>
    <mergeCell ref="BG24:BK24"/>
    <mergeCell ref="AM24:AQ24"/>
    <mergeCell ref="AR24:AV24"/>
    <mergeCell ref="AW24:BA24"/>
    <mergeCell ref="BB24:BF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10x15x4</vt:lpstr>
      <vt:lpstr>10x15x6</vt:lpstr>
      <vt:lpstr>10x15x8</vt:lpstr>
      <vt:lpstr>10x15x10</vt:lpstr>
      <vt:lpstr>10x15x12</vt:lpstr>
      <vt:lpstr>10x15x14</vt:lpstr>
      <vt:lpstr>Без ПКМ</vt:lpstr>
      <vt:lpstr>Экономика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2022-12-16T09:14:01Z</dcterms:modified>
</cp:coreProperties>
</file>