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lanton28/Desktop/CU Boulder Saved Excel/"/>
    </mc:Choice>
  </mc:AlternateContent>
  <xr:revisionPtr revIDLastSave="0" documentId="8_{BC8B4A30-6CC5-184D-AE21-E9E3EA582D54}" xr6:coauthVersionLast="47" xr6:coauthVersionMax="47" xr10:uidLastSave="{00000000-0000-0000-0000-000000000000}"/>
  <bookViews>
    <workbookView xWindow="0" yWindow="500" windowWidth="28800" windowHeight="16260" xr2:uid="{86ABE88A-230C-EB45-BDED-131FFB41243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5" i="1" l="1"/>
  <c r="U6" i="1"/>
  <c r="U7" i="1"/>
  <c r="T6" i="1"/>
  <c r="T7" i="1"/>
  <c r="T5" i="1"/>
  <c r="S10" i="1"/>
  <c r="R10" i="1"/>
  <c r="S6" i="1"/>
  <c r="S7" i="1"/>
  <c r="S5" i="1"/>
  <c r="O10" i="1"/>
  <c r="P10" i="1"/>
  <c r="Q10" i="1"/>
  <c r="N10" i="1"/>
  <c r="R6" i="1"/>
  <c r="R7" i="1"/>
  <c r="R5" i="1"/>
  <c r="Q6" i="1"/>
  <c r="Q7" i="1"/>
  <c r="P6" i="1"/>
  <c r="P7" i="1"/>
  <c r="O6" i="1"/>
  <c r="O7" i="1"/>
  <c r="P5" i="1"/>
  <c r="Q5" i="1"/>
  <c r="O5" i="1"/>
  <c r="N5" i="1"/>
  <c r="N7" i="1"/>
  <c r="N6" i="1"/>
  <c r="F6" i="1"/>
  <c r="F7" i="1"/>
  <c r="F5" i="1"/>
  <c r="AE33" i="1"/>
  <c r="AE34" i="1"/>
  <c r="AE35" i="1"/>
  <c r="AE32" i="1"/>
  <c r="AC33" i="1"/>
  <c r="AC34" i="1"/>
  <c r="AC35" i="1"/>
  <c r="AC32" i="1"/>
  <c r="X34" i="1"/>
  <c r="X33" i="1"/>
  <c r="U33" i="1"/>
  <c r="U34" i="1"/>
  <c r="U32" i="1"/>
  <c r="E5" i="1"/>
  <c r="N32" i="1"/>
  <c r="O32" i="1"/>
  <c r="P32" i="1"/>
  <c r="Q32" i="1"/>
  <c r="R32" i="1"/>
  <c r="E32" i="1"/>
  <c r="Q34" i="1"/>
  <c r="P34" i="1"/>
  <c r="O34" i="1"/>
  <c r="N34" i="1"/>
  <c r="L34" i="1"/>
  <c r="E34" i="1"/>
  <c r="Q33" i="1"/>
  <c r="P33" i="1"/>
  <c r="O33" i="1"/>
  <c r="N33" i="1"/>
  <c r="L33" i="1"/>
  <c r="E33" i="1"/>
  <c r="L32" i="1"/>
  <c r="L6" i="1"/>
  <c r="L7" i="1"/>
  <c r="L5" i="1"/>
  <c r="E6" i="1"/>
  <c r="E7" i="1"/>
  <c r="E36" i="1"/>
  <c r="E35" i="1"/>
  <c r="F32" i="1"/>
  <c r="F34" i="1"/>
  <c r="F33" i="1"/>
  <c r="R33" i="1"/>
  <c r="R34" i="1"/>
  <c r="E8" i="1"/>
  <c r="G33" i="1"/>
  <c r="G34" i="1"/>
  <c r="N38" i="1"/>
  <c r="O38" i="1"/>
  <c r="R38" i="1"/>
  <c r="O39" i="1"/>
  <c r="Q39" i="1"/>
  <c r="P39" i="1"/>
  <c r="R39" i="1"/>
  <c r="N39" i="1"/>
  <c r="Q38" i="1"/>
  <c r="P38" i="1"/>
  <c r="X5" i="1"/>
  <c r="X6" i="1"/>
  <c r="X8" i="1"/>
  <c r="X7" i="1"/>
  <c r="S32" i="1"/>
  <c r="S39" i="1"/>
  <c r="T39" i="1"/>
  <c r="V34" i="1"/>
  <c r="V33" i="1"/>
  <c r="S38" i="1"/>
  <c r="T38" i="1"/>
  <c r="S33" i="1"/>
  <c r="S34" i="1"/>
  <c r="W34" i="1"/>
  <c r="T32" i="1"/>
  <c r="W33" i="1"/>
  <c r="T34" i="1"/>
  <c r="T33" i="1"/>
</calcChain>
</file>

<file path=xl/sharedStrings.xml><?xml version="1.0" encoding="utf-8"?>
<sst xmlns="http://schemas.openxmlformats.org/spreadsheetml/2006/main" count="74" uniqueCount="39">
  <si>
    <t>Price</t>
  </si>
  <si>
    <t>Boom</t>
  </si>
  <si>
    <t>Housing Boom</t>
  </si>
  <si>
    <t>Normal</t>
  </si>
  <si>
    <t>Bust</t>
  </si>
  <si>
    <t>(Prob = 0.25)</t>
  </si>
  <si>
    <t>Real Estate</t>
  </si>
  <si>
    <t>Technology</t>
  </si>
  <si>
    <t>Copper</t>
  </si>
  <si>
    <t>Weight in Market Portfolio</t>
  </si>
  <si>
    <t>Market Value</t>
  </si>
  <si>
    <t>Total</t>
  </si>
  <si>
    <t>E[Payoff]</t>
  </si>
  <si>
    <t>E[r]</t>
  </si>
  <si>
    <t>Payoffs</t>
  </si>
  <si>
    <t>Returns</t>
  </si>
  <si>
    <t>Market</t>
  </si>
  <si>
    <t>Covariance w/ Market</t>
  </si>
  <si>
    <t>Var</t>
  </si>
  <si>
    <t>Beta</t>
  </si>
  <si>
    <t>CAPM Implied E[r]</t>
  </si>
  <si>
    <t>Trading Game 3A</t>
  </si>
  <si>
    <t>Trading Game 3B</t>
  </si>
  <si>
    <t>Market including Real Estate</t>
  </si>
  <si>
    <t>Market not including Real estate</t>
  </si>
  <si>
    <t>Total inc RE</t>
  </si>
  <si>
    <t>Total not inc RE</t>
  </si>
  <si>
    <t>Weight in Market Portfolio inc RE</t>
  </si>
  <si>
    <t>Weight in Market Portfolio not inc RE</t>
  </si>
  <si>
    <t>Covariance w/ Market inc RE</t>
  </si>
  <si>
    <t>Beta inc RE</t>
  </si>
  <si>
    <t>CAPM Implied E[r] inc RE</t>
  </si>
  <si>
    <t>Covariance w/ Market not inc RE</t>
  </si>
  <si>
    <t>Beta not inc RE</t>
  </si>
  <si>
    <t>CAPM Implied E[r] not inc RE</t>
  </si>
  <si>
    <t>SML for plot only</t>
  </si>
  <si>
    <t>CAMP E[r]</t>
  </si>
  <si>
    <t>E[r_mkt]</t>
  </si>
  <si>
    <t>Var[r_mkt]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</si>
</sst>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0"/>
    <numFmt numFmtId="165" formatCode="0.0%"/>
    <numFmt numFmtId="166" formatCode="0.0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2">
    <xf numFmtId="0" fontId="0" fillId="0" borderId="0" xfId="0"/>
    <xf numFmtId="164" fontId="0" fillId="0" borderId="0" xfId="1" applyNumberFormat="1" applyFont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8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1" applyNumberFormat="1" applyFont="1" applyBorder="1" applyAlignment="1">
      <alignment horizontal="center" vertical="center" wrapText="1"/>
    </xf>
    <xf numFmtId="8" fontId="0" fillId="0" borderId="0" xfId="0" applyNumberFormat="1" applyAlignment="1">
      <alignment horizontal="center"/>
    </xf>
    <xf numFmtId="165" fontId="0" fillId="0" borderId="0" xfId="2" applyNumberFormat="1" applyFont="1" applyBorder="1" applyAlignment="1">
      <alignment horizontal="center"/>
    </xf>
    <xf numFmtId="165" fontId="0" fillId="0" borderId="0" xfId="2" applyNumberFormat="1" applyFont="1" applyFill="1" applyBorder="1" applyAlignment="1">
      <alignment horizontal="center"/>
    </xf>
    <xf numFmtId="166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2" fillId="0" borderId="0" xfId="0" applyFont="1" applyAlignment="1">
      <alignment horizontal="center" wrapText="1"/>
    </xf>
    <xf numFmtId="0" fontId="0" fillId="0" borderId="0" xfId="0" applyAlignment="1">
      <alignment horizontal="left" vertical="center"/>
    </xf>
    <xf numFmtId="2" fontId="0" fillId="2" borderId="0" xfId="1" applyNumberFormat="1" applyFont="1" applyFill="1" applyBorder="1" applyAlignment="1">
      <alignment horizontal="center" vertical="center" wrapText="1"/>
    </xf>
    <xf numFmtId="165" fontId="0" fillId="2" borderId="0" xfId="2" applyNumberFormat="1" applyFont="1" applyFill="1" applyBorder="1" applyAlignment="1">
      <alignment horizontal="center"/>
    </xf>
    <xf numFmtId="2" fontId="0" fillId="2" borderId="0" xfId="2" applyNumberFormat="1" applyFont="1" applyFill="1" applyBorder="1" applyAlignment="1">
      <alignment horizontal="center"/>
    </xf>
    <xf numFmtId="2" fontId="0" fillId="0" borderId="0" xfId="2" applyNumberFormat="1" applyFont="1" applyFill="1" applyBorder="1" applyAlignment="1">
      <alignment horizontal="center"/>
    </xf>
    <xf numFmtId="166" fontId="0" fillId="2" borderId="0" xfId="2" applyNumberFormat="1" applyFont="1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600">
                <a:solidFill>
                  <a:schemeClr val="tx1"/>
                </a:solidFill>
              </a:rPr>
              <a:t>Trading</a:t>
            </a:r>
            <a:r>
              <a:rPr lang="en-US" sz="1600" baseline="0">
                <a:solidFill>
                  <a:schemeClr val="tx1"/>
                </a:solidFill>
              </a:rPr>
              <a:t> Game 3A: CAPM</a:t>
            </a:r>
            <a:endParaRPr lang="en-US" sz="160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Sheet1!$T$5:$T$7</c:f>
              <c:numCache>
                <c:formatCode>0.0</c:formatCode>
                <c:ptCount val="3"/>
                <c:pt idx="0">
                  <c:v>0.90188679245283021</c:v>
                </c:pt>
                <c:pt idx="1">
                  <c:v>2.005594405594405</c:v>
                </c:pt>
                <c:pt idx="2">
                  <c:v>0.27159090909090911</c:v>
                </c:pt>
              </c:numCache>
            </c:numRef>
          </c:xVal>
          <c:yVal>
            <c:numRef>
              <c:f>Sheet1!$R$5:$R$7</c:f>
              <c:numCache>
                <c:formatCode>0.0%</c:formatCode>
                <c:ptCount val="3"/>
                <c:pt idx="0">
                  <c:v>0.25786163522012573</c:v>
                </c:pt>
                <c:pt idx="1">
                  <c:v>0.39860139860139865</c:v>
                </c:pt>
                <c:pt idx="2">
                  <c:v>0.13636363636363635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07-D446-AA80-282E857A98E6}"/>
            </c:ext>
          </c:extLst>
        </c:ser>
        <c:ser>
          <c:idx val="1"/>
          <c:order val="1"/>
          <c:spPr>
            <a:ln w="381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Sheet1!$W$5:$W$8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2.5</c:v>
                </c:pt>
              </c:numCache>
            </c:numRef>
          </c:xVal>
          <c:yVal>
            <c:numRef>
              <c:f>Sheet1!$X$5:$X$8</c:f>
              <c:numCache>
                <c:formatCode>0.0%</c:formatCode>
                <c:ptCount val="4"/>
                <c:pt idx="0">
                  <c:v>0.1</c:v>
                </c:pt>
                <c:pt idx="1">
                  <c:v>0.25523012552301261</c:v>
                </c:pt>
                <c:pt idx="2">
                  <c:v>0.41046025104602524</c:v>
                </c:pt>
                <c:pt idx="3">
                  <c:v>0.48807531380753155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AD-B34C-8B1F-3D59452BF7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4162672"/>
        <c:axId val="1180689104"/>
      </c:scatterChart>
      <c:valAx>
        <c:axId val="824162672"/>
        <c:scaling>
          <c:orientation val="minMax"/>
          <c:max val="2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Beta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0689104"/>
        <c:crosses val="autoZero"/>
        <c:crossBetween val="midCat"/>
      </c:valAx>
      <c:valAx>
        <c:axId val="118068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E[r]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162672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600">
                <a:solidFill>
                  <a:schemeClr val="tx1"/>
                </a:solidFill>
              </a:rPr>
              <a:t>Trading</a:t>
            </a:r>
            <a:r>
              <a:rPr lang="en-US" sz="1600" baseline="0">
                <a:solidFill>
                  <a:schemeClr val="tx1"/>
                </a:solidFill>
              </a:rPr>
              <a:t> Game 3B: CAPM inc RE</a:t>
            </a:r>
            <a:endParaRPr lang="en-US" sz="160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</c:spPr>
          <c:marker>
            <c:symbol val="circle"/>
            <c:size val="10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numRef>
              <c:f>Sheet1!$T$32:$T$34</c:f>
              <c:numCache>
                <c:formatCode>0.0</c:formatCode>
                <c:ptCount val="3"/>
                <c:pt idx="0">
                  <c:v>0.8901030927835053</c:v>
                </c:pt>
                <c:pt idx="1">
                  <c:v>1.9578231292517008</c:v>
                </c:pt>
                <c:pt idx="2">
                  <c:v>0.28050682261208587</c:v>
                </c:pt>
              </c:numCache>
            </c:numRef>
          </c:xVal>
          <c:yVal>
            <c:numRef>
              <c:f>Sheet1!$R$32:$R$34</c:f>
              <c:numCache>
                <c:formatCode>0.0%</c:formatCode>
                <c:ptCount val="3"/>
                <c:pt idx="0">
                  <c:v>0.23711340206185572</c:v>
                </c:pt>
                <c:pt idx="1">
                  <c:v>0.3605442176870749</c:v>
                </c:pt>
                <c:pt idx="2">
                  <c:v>0.16959064327485379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36-AE43-B2F2-C30122E4B7F4}"/>
            </c:ext>
          </c:extLst>
        </c:ser>
        <c:ser>
          <c:idx val="1"/>
          <c:order val="1"/>
          <c:spPr>
            <a:ln w="38100">
              <a:solidFill>
                <a:schemeClr val="accent6"/>
              </a:solidFill>
            </a:ln>
          </c:spPr>
          <c:marker>
            <c:symbol val="none"/>
          </c:marker>
          <c:xVal>
            <c:numRef>
              <c:f>Sheet1!$AB$32:$AB$35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2.5</c:v>
                </c:pt>
              </c:numCache>
            </c:numRef>
          </c:xVal>
          <c:yVal>
            <c:numRef>
              <c:f>Sheet1!$AC$32:$AC$35</c:f>
              <c:numCache>
                <c:formatCode>0.0%</c:formatCode>
                <c:ptCount val="4"/>
                <c:pt idx="0">
                  <c:v>0.1</c:v>
                </c:pt>
                <c:pt idx="1">
                  <c:v>0.25086865879082698</c:v>
                </c:pt>
                <c:pt idx="2">
                  <c:v>0.40173731758165399</c:v>
                </c:pt>
                <c:pt idx="3">
                  <c:v>0.47717164697706749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B36-AE43-B2F2-C30122E4B7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4162672"/>
        <c:axId val="1180689104"/>
      </c:scatterChart>
      <c:valAx>
        <c:axId val="824162672"/>
        <c:scaling>
          <c:orientation val="minMax"/>
          <c:max val="2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Beta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0689104"/>
        <c:crosses val="autoZero"/>
        <c:crossBetween val="midCat"/>
      </c:valAx>
      <c:valAx>
        <c:axId val="118068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E[r]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162672"/>
        <c:crosses val="autoZero"/>
        <c:crossBetween val="midCat"/>
        <c:majorUnit val="0.1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600">
                <a:solidFill>
                  <a:schemeClr val="tx1"/>
                </a:solidFill>
              </a:rPr>
              <a:t>Trading</a:t>
            </a:r>
            <a:r>
              <a:rPr lang="en-US" sz="1600" baseline="0">
                <a:solidFill>
                  <a:schemeClr val="tx1"/>
                </a:solidFill>
              </a:rPr>
              <a:t> Game 3B: CAPM not inc RE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>
              <a:noFill/>
            </a:ln>
          </c:spPr>
          <c:marker>
            <c:symbol val="circle"/>
            <c:size val="10"/>
          </c:marker>
          <c:dPt>
            <c:idx val="0"/>
            <c:marker>
              <c:spPr>
                <a:solidFill>
                  <a:srgbClr val="FF0000"/>
                </a:solidFill>
                <a:ln>
                  <a:solidFill>
                    <a:srgbClr val="FF0000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0DA8-5E4B-8464-EAE05058361A}"/>
              </c:ext>
            </c:extLst>
          </c:dPt>
          <c:dPt>
            <c:idx val="1"/>
            <c:marker>
              <c:spPr>
                <a:solidFill>
                  <a:srgbClr val="FF0000"/>
                </a:solidFill>
                <a:ln>
                  <a:solidFill>
                    <a:srgbClr val="FF0000"/>
                  </a:solidFill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0DA8-5E4B-8464-EAE05058361A}"/>
              </c:ext>
            </c:extLst>
          </c:dPt>
          <c:xVal>
            <c:numRef>
              <c:f>Sheet1!$W$33:$W$34</c:f>
              <c:numCache>
                <c:formatCode>0.0</c:formatCode>
                <c:ptCount val="2"/>
                <c:pt idx="0">
                  <c:v>2.3177842565597664</c:v>
                </c:pt>
                <c:pt idx="1">
                  <c:v>-0.13283208020050127</c:v>
                </c:pt>
              </c:numCache>
            </c:numRef>
          </c:xVal>
          <c:yVal>
            <c:numRef>
              <c:f>Sheet1!$R$33:$R$34</c:f>
              <c:numCache>
                <c:formatCode>0.0%</c:formatCode>
                <c:ptCount val="2"/>
                <c:pt idx="0">
                  <c:v>0.3605442176870749</c:v>
                </c:pt>
                <c:pt idx="1">
                  <c:v>0.16959064327485379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A8-5E4B-8464-EAE05058361A}"/>
            </c:ext>
          </c:extLst>
        </c:ser>
        <c:ser>
          <c:idx val="1"/>
          <c:order val="1"/>
          <c:spPr>
            <a:ln w="38100">
              <a:solidFill>
                <a:schemeClr val="accent6"/>
              </a:solidFill>
            </a:ln>
          </c:spPr>
          <c:xVal>
            <c:numRef>
              <c:f>Sheet1!$AD$32:$AD$35</c:f>
              <c:numCache>
                <c:formatCode>General</c:formatCode>
                <c:ptCount val="4"/>
                <c:pt idx="0">
                  <c:v>-0.5</c:v>
                </c:pt>
                <c:pt idx="1">
                  <c:v>1</c:v>
                </c:pt>
                <c:pt idx="2">
                  <c:v>2</c:v>
                </c:pt>
                <c:pt idx="3">
                  <c:v>2.5</c:v>
                </c:pt>
              </c:numCache>
            </c:numRef>
          </c:xVal>
          <c:yVal>
            <c:numRef>
              <c:f>Sheet1!$AE$32:$AE$35</c:f>
              <c:numCache>
                <c:formatCode>0.0%</c:formatCode>
                <c:ptCount val="4"/>
                <c:pt idx="0">
                  <c:v>2.1069182389937088E-2</c:v>
                </c:pt>
                <c:pt idx="1">
                  <c:v>0.25786163522012584</c:v>
                </c:pt>
                <c:pt idx="2">
                  <c:v>0.4157232704402517</c:v>
                </c:pt>
                <c:pt idx="3">
                  <c:v>0.49465408805031463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DA8-5E4B-8464-EAE0505836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4162672"/>
        <c:axId val="1180689104"/>
      </c:scatterChart>
      <c:valAx>
        <c:axId val="824162672"/>
        <c:scaling>
          <c:orientation val="minMax"/>
          <c:max val="2.5"/>
          <c:min val="-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Beta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0689104"/>
        <c:crosses val="autoZero"/>
        <c:crossBetween val="midCat"/>
      </c:valAx>
      <c:valAx>
        <c:axId val="1180689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E[r]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%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4162672"/>
        <c:crosses val="autoZero"/>
        <c:crossBetween val="midCat"/>
        <c:majorUnit val="0.1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628650</xdr:colOff>
      <xdr:row>12</xdr:row>
      <xdr:rowOff>82550</xdr:rowOff>
    </xdr:from>
    <xdr:to>
      <xdr:col>19</xdr:col>
      <xdr:colOff>247650</xdr:colOff>
      <xdr:row>25</xdr:row>
      <xdr:rowOff>184150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AD2EC2-2EFF-D77F-B3FD-13A6873BE8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457200</xdr:colOff>
      <xdr:row>17</xdr:row>
      <xdr:rowOff>63500</xdr:rowOff>
    </xdr:from>
    <xdr:to>
      <xdr:col>17</xdr:col>
      <xdr:colOff>292100</xdr:colOff>
      <xdr:row>19</xdr:row>
      <xdr:rowOff>101600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A4BE06D9-E4B2-62F7-80E2-AAE05892A657}"/>
            </a:ext>
          </a:extLst>
        </xdr:cNvPr>
        <xdr:cNvSpPr txBox="1"/>
      </xdr:nvSpPr>
      <xdr:spPr>
        <a:xfrm>
          <a:off x="13665200" y="4254500"/>
          <a:ext cx="660400" cy="444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>
              <a:solidFill>
                <a:schemeClr val="accent6"/>
              </a:solidFill>
            </a:rPr>
            <a:t>SML</a:t>
          </a:r>
          <a:endParaRPr lang="en-US" sz="1100">
            <a:solidFill>
              <a:schemeClr val="accent6"/>
            </a:solidFill>
          </a:endParaRPr>
        </a:p>
      </xdr:txBody>
    </xdr:sp>
    <xdr:clientData/>
  </xdr:twoCellAnchor>
  <xdr:twoCellAnchor>
    <xdr:from>
      <xdr:col>14</xdr:col>
      <xdr:colOff>139700</xdr:colOff>
      <xdr:row>42</xdr:row>
      <xdr:rowOff>76200</xdr:rowOff>
    </xdr:from>
    <xdr:to>
      <xdr:col>19</xdr:col>
      <xdr:colOff>584200</xdr:colOff>
      <xdr:row>55</xdr:row>
      <xdr:rowOff>177800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14A0371-286A-494D-9655-0C79D6479B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88900</xdr:colOff>
      <xdr:row>46</xdr:row>
      <xdr:rowOff>139700</xdr:rowOff>
    </xdr:from>
    <xdr:to>
      <xdr:col>17</xdr:col>
      <xdr:colOff>749300</xdr:colOff>
      <xdr:row>48</xdr:row>
      <xdr:rowOff>177800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38E9493D-FCBE-454D-967E-EC1D0DDFA6FE}"/>
            </a:ext>
          </a:extLst>
        </xdr:cNvPr>
        <xdr:cNvSpPr txBox="1"/>
      </xdr:nvSpPr>
      <xdr:spPr>
        <a:xfrm>
          <a:off x="14122400" y="11823700"/>
          <a:ext cx="660400" cy="444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>
              <a:solidFill>
                <a:schemeClr val="accent6"/>
              </a:solidFill>
            </a:rPr>
            <a:t>SML</a:t>
          </a:r>
          <a:endParaRPr lang="en-US" sz="1100">
            <a:solidFill>
              <a:schemeClr val="accent6"/>
            </a:solidFill>
          </a:endParaRPr>
        </a:p>
      </xdr:txBody>
    </xdr:sp>
    <xdr:clientData/>
  </xdr:twoCellAnchor>
  <xdr:twoCellAnchor>
    <xdr:from>
      <xdr:col>19</xdr:col>
      <xdr:colOff>749300</xdr:colOff>
      <xdr:row>42</xdr:row>
      <xdr:rowOff>76200</xdr:rowOff>
    </xdr:from>
    <xdr:to>
      <xdr:col>25</xdr:col>
      <xdr:colOff>203200</xdr:colOff>
      <xdr:row>55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A4B9999-0562-A04B-ACC1-1D782D6952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647700</xdr:colOff>
      <xdr:row>46</xdr:row>
      <xdr:rowOff>101600</xdr:rowOff>
    </xdr:from>
    <xdr:to>
      <xdr:col>23</xdr:col>
      <xdr:colOff>482600</xdr:colOff>
      <xdr:row>48</xdr:row>
      <xdr:rowOff>139700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6CA3316-8050-6345-BEA1-8A85C9C7918D}"/>
            </a:ext>
          </a:extLst>
        </xdr:cNvPr>
        <xdr:cNvSpPr txBox="1"/>
      </xdr:nvSpPr>
      <xdr:spPr>
        <a:xfrm>
          <a:off x="18973800" y="11785600"/>
          <a:ext cx="660400" cy="444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>
              <a:solidFill>
                <a:schemeClr val="accent6"/>
              </a:solidFill>
            </a:rPr>
            <a:t>SML</a:t>
          </a:r>
          <a:endParaRPr lang="en-US" sz="1100">
            <a:solidFill>
              <a:schemeClr val="accent6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8B770-5A20-BD4A-93F2-01EC0284CFE0}">
  <dimension ref="B2:AE39"/>
  <sheetViews>
    <sheetView tabSelected="1" topLeftCell="C1" workbookViewId="0">
      <selection activeCell="U6" sqref="U6"/>
    </sheetView>
  </sheetViews>
  <sheetFormatPr baseColWidth="10" defaultRowHeight="16" x14ac:dyDescent="0.2"/>
  <cols>
    <col min="19" max="19" width="13.6640625" bestFit="1" customWidth="1"/>
    <col min="21" max="21" width="13" customWidth="1"/>
  </cols>
  <sheetData>
    <row r="2" spans="2:24" x14ac:dyDescent="0.2">
      <c r="H2" s="21" t="s">
        <v>14</v>
      </c>
      <c r="I2" s="21"/>
      <c r="J2" s="21"/>
      <c r="K2" s="21"/>
      <c r="L2" s="21"/>
      <c r="N2" s="21" t="s">
        <v>15</v>
      </c>
      <c r="O2" s="21"/>
      <c r="P2" s="21"/>
      <c r="Q2" s="21"/>
      <c r="R2" s="21"/>
    </row>
    <row r="3" spans="2:24" ht="34" x14ac:dyDescent="0.2">
      <c r="B3" s="13" t="s">
        <v>21</v>
      </c>
      <c r="C3" s="2"/>
      <c r="D3" s="2"/>
      <c r="E3" s="2"/>
      <c r="F3" s="2"/>
      <c r="G3" s="2"/>
      <c r="H3" s="3" t="s">
        <v>5</v>
      </c>
      <c r="I3" s="3" t="s">
        <v>5</v>
      </c>
      <c r="J3" s="3" t="s">
        <v>5</v>
      </c>
      <c r="K3" s="3" t="s">
        <v>5</v>
      </c>
      <c r="W3" s="20" t="s">
        <v>35</v>
      </c>
      <c r="X3" s="20"/>
    </row>
    <row r="4" spans="2:24" ht="51" x14ac:dyDescent="0.2">
      <c r="C4" s="2"/>
      <c r="D4" s="3" t="s">
        <v>0</v>
      </c>
      <c r="E4" s="3" t="s">
        <v>10</v>
      </c>
      <c r="F4" s="3" t="s">
        <v>9</v>
      </c>
      <c r="G4" s="3"/>
      <c r="H4" s="3" t="s">
        <v>1</v>
      </c>
      <c r="I4" s="3" t="s">
        <v>2</v>
      </c>
      <c r="J4" s="3" t="s">
        <v>3</v>
      </c>
      <c r="K4" s="3" t="s">
        <v>4</v>
      </c>
      <c r="L4" s="3" t="s">
        <v>12</v>
      </c>
      <c r="M4" s="3"/>
      <c r="N4" s="3" t="s">
        <v>1</v>
      </c>
      <c r="O4" s="3" t="s">
        <v>2</v>
      </c>
      <c r="P4" s="3" t="s">
        <v>3</v>
      </c>
      <c r="Q4" s="3" t="s">
        <v>4</v>
      </c>
      <c r="R4" s="3" t="s">
        <v>13</v>
      </c>
      <c r="S4" s="3" t="s">
        <v>17</v>
      </c>
      <c r="T4" s="3" t="s">
        <v>19</v>
      </c>
      <c r="U4" s="3" t="s">
        <v>20</v>
      </c>
      <c r="W4" s="3" t="s">
        <v>19</v>
      </c>
      <c r="X4" s="3" t="s">
        <v>36</v>
      </c>
    </row>
    <row r="5" spans="2:24" ht="17" x14ac:dyDescent="0.2">
      <c r="C5" s="3" t="s">
        <v>6</v>
      </c>
      <c r="D5" s="1">
        <v>1.59</v>
      </c>
      <c r="E5" s="1">
        <f>30*D5*7</f>
        <v>333.90000000000003</v>
      </c>
      <c r="F5" s="15">
        <f>E5/$E$8</f>
        <v>0.33263598326359839</v>
      </c>
      <c r="G5" s="7"/>
      <c r="H5" s="4">
        <v>2</v>
      </c>
      <c r="I5" s="4">
        <v>4</v>
      </c>
      <c r="J5" s="4">
        <v>1</v>
      </c>
      <c r="K5" s="4">
        <v>1</v>
      </c>
      <c r="L5" s="8">
        <f>0.25*H5+0.25*I5+0.25*J5+0.25*K5</f>
        <v>2</v>
      </c>
      <c r="M5" s="8"/>
      <c r="N5" s="16">
        <f>(H5-$D5)/$D5</f>
        <v>0.25786163522012573</v>
      </c>
      <c r="O5" s="16">
        <f>(I5-$D5)/$D5</f>
        <v>1.5157232704402517</v>
      </c>
      <c r="P5" s="16">
        <f>(J5-$D5)/$D5</f>
        <v>-0.37106918238993714</v>
      </c>
      <c r="Q5" s="16">
        <f t="shared" ref="Q5:Q7" si="0">(K5-$D5)/$D5</f>
        <v>-0.37106918238993714</v>
      </c>
      <c r="R5" s="16">
        <f>0.25*N5+0.25*O5+0.25*P5+0.25*Q5</f>
        <v>0.25786163522012573</v>
      </c>
      <c r="S5" s="17">
        <f>_xlfn.COVARIANCE.P(N5:Q5,$N$10:$Q$10)</f>
        <v>0.19736322728349259</v>
      </c>
      <c r="T5" s="19">
        <f>S5/$S$10</f>
        <v>0.90188679245283021</v>
      </c>
      <c r="U5" s="16">
        <f>10%+T5*($R$10-10%)</f>
        <v>0.24000000000000005</v>
      </c>
      <c r="W5" s="5">
        <v>0</v>
      </c>
      <c r="X5" s="12">
        <f>10%+W5*(R$10-10%)</f>
        <v>0.1</v>
      </c>
    </row>
    <row r="6" spans="2:24" ht="17" x14ac:dyDescent="0.2">
      <c r="C6" s="3" t="s">
        <v>7</v>
      </c>
      <c r="D6" s="1">
        <v>1.43</v>
      </c>
      <c r="E6" s="1">
        <f t="shared" ref="E6:E7" si="1">30*D6*7</f>
        <v>300.3</v>
      </c>
      <c r="F6" s="15">
        <f t="shared" ref="F6:F7" si="2">E6/$E$8</f>
        <v>0.29916317991631802</v>
      </c>
      <c r="G6" s="7"/>
      <c r="H6" s="4">
        <v>5</v>
      </c>
      <c r="I6" s="4">
        <v>0</v>
      </c>
      <c r="J6" s="4">
        <v>3</v>
      </c>
      <c r="K6" s="4">
        <v>0</v>
      </c>
      <c r="L6" s="8">
        <f t="shared" ref="L6:L7" si="3">0.25*H6+0.25*I6+0.25*J6+0.25*K6</f>
        <v>2</v>
      </c>
      <c r="M6" s="8"/>
      <c r="N6" s="16">
        <f t="shared" ref="N6" si="4">(H6-D6)/D6</f>
        <v>2.4965034965034967</v>
      </c>
      <c r="O6" s="16">
        <f t="shared" ref="O6:O7" si="5">(I6-$D6)/$D6</f>
        <v>-1</v>
      </c>
      <c r="P6" s="16">
        <f t="shared" ref="P6:P7" si="6">(J6-$D6)/$D6</f>
        <v>1.0979020979020979</v>
      </c>
      <c r="Q6" s="16">
        <f t="shared" si="0"/>
        <v>-1</v>
      </c>
      <c r="R6" s="16">
        <f>0.25*N6+0.25*O6+0.25*P6+0.25*Q6</f>
        <v>0.39860139860139865</v>
      </c>
      <c r="S6" s="17">
        <f t="shared" ref="S6:S7" si="7">_xlfn.COVARIANCE.P(N6:Q6,$N$10:$Q$10)</f>
        <v>0.43889165228077365</v>
      </c>
      <c r="T6" s="19">
        <f t="shared" ref="T6:T7" si="8">S6/$S$10</f>
        <v>2.005594405594405</v>
      </c>
      <c r="U6" s="16">
        <f t="shared" ref="U6:U7" si="9">10%+T6*($R$10-10%)</f>
        <v>0.41132867132867135</v>
      </c>
      <c r="W6" s="5">
        <v>1</v>
      </c>
      <c r="X6" s="12">
        <f t="shared" ref="X6:X8" si="10">10%+W6*(R$10-10%)</f>
        <v>0.25523012552301261</v>
      </c>
    </row>
    <row r="7" spans="2:24" ht="17" x14ac:dyDescent="0.2">
      <c r="C7" s="3" t="s">
        <v>8</v>
      </c>
      <c r="D7" s="1">
        <v>1.76</v>
      </c>
      <c r="E7" s="1">
        <f t="shared" si="1"/>
        <v>369.59999999999997</v>
      </c>
      <c r="F7" s="15">
        <f t="shared" si="2"/>
        <v>0.36820083682008364</v>
      </c>
      <c r="G7" s="7"/>
      <c r="H7" s="4">
        <v>2</v>
      </c>
      <c r="I7" s="4">
        <v>3</v>
      </c>
      <c r="J7" s="4">
        <v>1</v>
      </c>
      <c r="K7" s="4">
        <v>2</v>
      </c>
      <c r="L7" s="8">
        <f t="shared" si="3"/>
        <v>2</v>
      </c>
      <c r="M7" s="8"/>
      <c r="N7" s="16">
        <f>(H7-D7)/D7</f>
        <v>0.13636363636363635</v>
      </c>
      <c r="O7" s="16">
        <f t="shared" si="5"/>
        <v>0.70454545454545459</v>
      </c>
      <c r="P7" s="16">
        <f t="shared" si="6"/>
        <v>-0.43181818181818182</v>
      </c>
      <c r="Q7" s="16">
        <f t="shared" si="0"/>
        <v>0.13636363636363635</v>
      </c>
      <c r="R7" s="16">
        <f t="shared" ref="R7" si="11">0.25*N7+0.25*O7+0.25*P7+0.25*Q7</f>
        <v>0.13636363636363635</v>
      </c>
      <c r="S7" s="17">
        <f t="shared" si="7"/>
        <v>5.9433244579688113E-2</v>
      </c>
      <c r="T7" s="19">
        <f t="shared" si="8"/>
        <v>0.27159090909090911</v>
      </c>
      <c r="U7" s="16">
        <f t="shared" si="9"/>
        <v>0.14215909090909093</v>
      </c>
      <c r="W7" s="5">
        <v>2</v>
      </c>
      <c r="X7" s="12">
        <f t="shared" si="10"/>
        <v>0.41046025104602524</v>
      </c>
    </row>
    <row r="8" spans="2:24" ht="17" x14ac:dyDescent="0.2">
      <c r="C8" s="3" t="s">
        <v>11</v>
      </c>
      <c r="E8" s="6">
        <f>SUM(E5:E7)</f>
        <v>1003.8</v>
      </c>
      <c r="W8" s="5">
        <v>2.5</v>
      </c>
      <c r="X8" s="12">
        <f t="shared" si="10"/>
        <v>0.48807531380753155</v>
      </c>
    </row>
    <row r="9" spans="2:24" x14ac:dyDescent="0.2">
      <c r="E9" s="5"/>
      <c r="R9" s="5" t="s">
        <v>37</v>
      </c>
      <c r="S9" s="5" t="s">
        <v>38</v>
      </c>
    </row>
    <row r="10" spans="2:24" ht="17" x14ac:dyDescent="0.2">
      <c r="C10" s="3" t="s">
        <v>16</v>
      </c>
      <c r="N10" s="16">
        <f>SUMPRODUCT($F5:$F7,N5:N7)</f>
        <v>0.88284518828451897</v>
      </c>
      <c r="O10" s="16">
        <f t="shared" ref="O10:Q10" si="12">SUMPRODUCT($F5:$F7,O5:O7)</f>
        <v>0.4644351464435148</v>
      </c>
      <c r="P10" s="16">
        <f t="shared" si="12"/>
        <v>4.6025104602510497E-2</v>
      </c>
      <c r="Q10" s="16">
        <f t="shared" si="12"/>
        <v>-0.37238493723849375</v>
      </c>
      <c r="R10" s="16">
        <f>SUMPRODUCT(F5:F7,R5:R7)</f>
        <v>0.25523012552301261</v>
      </c>
      <c r="S10" s="17">
        <f>_xlfn.VAR.P(N10:Q10)</f>
        <v>0.21883370389173865</v>
      </c>
      <c r="T10" s="11"/>
    </row>
    <row r="29" spans="2:31" x14ac:dyDescent="0.2">
      <c r="H29" s="21" t="s">
        <v>14</v>
      </c>
      <c r="I29" s="21"/>
      <c r="J29" s="21"/>
      <c r="K29" s="21"/>
      <c r="L29" s="21"/>
      <c r="N29" s="21" t="s">
        <v>15</v>
      </c>
      <c r="O29" s="21"/>
      <c r="P29" s="21"/>
      <c r="Q29" s="21"/>
      <c r="R29" s="21"/>
    </row>
    <row r="30" spans="2:31" ht="34" x14ac:dyDescent="0.2">
      <c r="B30" s="13" t="s">
        <v>22</v>
      </c>
      <c r="C30" s="2"/>
      <c r="D30" s="2"/>
      <c r="E30" s="2"/>
      <c r="F30" s="2"/>
      <c r="G30" s="2"/>
      <c r="H30" s="3" t="s">
        <v>5</v>
      </c>
      <c r="I30" s="3" t="s">
        <v>5</v>
      </c>
      <c r="J30" s="3" t="s">
        <v>5</v>
      </c>
      <c r="K30" s="3" t="s">
        <v>5</v>
      </c>
      <c r="AB30" s="20" t="s">
        <v>35</v>
      </c>
      <c r="AC30" s="20"/>
      <c r="AD30" s="20" t="s">
        <v>35</v>
      </c>
      <c r="AE30" s="20"/>
    </row>
    <row r="31" spans="2:31" ht="68" x14ac:dyDescent="0.2">
      <c r="C31" s="2"/>
      <c r="D31" s="3" t="s">
        <v>0</v>
      </c>
      <c r="E31" s="3" t="s">
        <v>10</v>
      </c>
      <c r="F31" s="3" t="s">
        <v>27</v>
      </c>
      <c r="G31" s="3" t="s">
        <v>28</v>
      </c>
      <c r="H31" s="3" t="s">
        <v>1</v>
      </c>
      <c r="I31" s="3" t="s">
        <v>2</v>
      </c>
      <c r="J31" s="3" t="s">
        <v>3</v>
      </c>
      <c r="K31" s="3" t="s">
        <v>4</v>
      </c>
      <c r="L31" s="3" t="s">
        <v>12</v>
      </c>
      <c r="M31" s="3"/>
      <c r="N31" s="3" t="s">
        <v>1</v>
      </c>
      <c r="O31" s="3" t="s">
        <v>2</v>
      </c>
      <c r="P31" s="3" t="s">
        <v>3</v>
      </c>
      <c r="Q31" s="3" t="s">
        <v>4</v>
      </c>
      <c r="R31" s="3" t="s">
        <v>13</v>
      </c>
      <c r="S31" s="3" t="s">
        <v>29</v>
      </c>
      <c r="T31" s="3" t="s">
        <v>30</v>
      </c>
      <c r="U31" s="3" t="s">
        <v>31</v>
      </c>
      <c r="V31" s="3" t="s">
        <v>32</v>
      </c>
      <c r="W31" s="3" t="s">
        <v>33</v>
      </c>
      <c r="X31" s="3" t="s">
        <v>34</v>
      </c>
      <c r="AB31" s="3" t="s">
        <v>19</v>
      </c>
      <c r="AC31" s="3" t="s">
        <v>36</v>
      </c>
      <c r="AD31" s="3" t="s">
        <v>19</v>
      </c>
      <c r="AE31" s="3" t="s">
        <v>36</v>
      </c>
    </row>
    <row r="32" spans="2:31" ht="17" x14ac:dyDescent="0.2">
      <c r="C32" s="3" t="s">
        <v>6</v>
      </c>
      <c r="D32" s="1">
        <v>48.5</v>
      </c>
      <c r="E32" s="1">
        <f>1*D32*7</f>
        <v>339.5</v>
      </c>
      <c r="F32" s="7">
        <f>E32/E$35</f>
        <v>0.3370396108408617</v>
      </c>
      <c r="G32" s="7"/>
      <c r="H32" s="4">
        <v>60</v>
      </c>
      <c r="I32" s="4">
        <v>120</v>
      </c>
      <c r="J32" s="4">
        <v>30</v>
      </c>
      <c r="K32" s="4">
        <v>30</v>
      </c>
      <c r="L32" s="8">
        <f>0.25*H32+0.25*I32+0.25*J32+0.25*K32</f>
        <v>60</v>
      </c>
      <c r="M32" s="8"/>
      <c r="N32" s="9">
        <f>H32/$D32-1</f>
        <v>0.23711340206185572</v>
      </c>
      <c r="O32" s="9">
        <f t="shared" ref="O32:O34" si="13">I32/$D32-1</f>
        <v>1.4742268041237114</v>
      </c>
      <c r="P32" s="9">
        <f t="shared" ref="P32:P34" si="14">J32/$D32-1</f>
        <v>-0.38144329896907214</v>
      </c>
      <c r="Q32" s="9">
        <f t="shared" ref="Q32:Q34" si="15">K32/$D32-1</f>
        <v>-0.38144329896907214</v>
      </c>
      <c r="R32" s="10">
        <f>0.25*N32+0.25*O32+0.25*P32+0.25*Q32</f>
        <v>0.23711340206185572</v>
      </c>
      <c r="S32" s="18">
        <f>_xlfn.COVARIANCE.P(N32:Q32,N$38:Q$38)</f>
        <v>0.19343329775115883</v>
      </c>
      <c r="T32" s="11">
        <f>S32/S$38</f>
        <v>0.8901030927835053</v>
      </c>
      <c r="U32" s="12">
        <f>10%+T32*(R$38-10%)</f>
        <v>0.23428865979381447</v>
      </c>
      <c r="V32" s="18"/>
      <c r="W32" s="11"/>
      <c r="X32" s="12"/>
      <c r="AB32" s="5">
        <v>0</v>
      </c>
      <c r="AC32" s="12">
        <f>10%+AB32*(R$38-10%)</f>
        <v>0.1</v>
      </c>
      <c r="AD32" s="5">
        <v>-0.5</v>
      </c>
      <c r="AE32" s="12">
        <f>10%+AD32*(R$39-10%)</f>
        <v>2.1069182389937088E-2</v>
      </c>
    </row>
    <row r="33" spans="3:31" ht="17" x14ac:dyDescent="0.2">
      <c r="C33" s="3" t="s">
        <v>7</v>
      </c>
      <c r="D33" s="1">
        <v>1.47</v>
      </c>
      <c r="E33" s="1">
        <f t="shared" ref="E33:E34" si="16">30*D33*7</f>
        <v>308.7</v>
      </c>
      <c r="F33" s="7">
        <f>E33/E$35</f>
        <v>0.30646282140375258</v>
      </c>
      <c r="G33" s="7">
        <f>E33/E$36</f>
        <v>0.46226415094339623</v>
      </c>
      <c r="H33" s="4">
        <v>5</v>
      </c>
      <c r="I33" s="4">
        <v>0</v>
      </c>
      <c r="J33" s="4">
        <v>3</v>
      </c>
      <c r="K33" s="4">
        <v>0</v>
      </c>
      <c r="L33" s="8">
        <f t="shared" ref="L33:L34" si="17">0.25*H33+0.25*I33+0.25*J33+0.25*K33</f>
        <v>2</v>
      </c>
      <c r="M33" s="8"/>
      <c r="N33" s="9">
        <f t="shared" ref="N33:N34" si="18">H33/$D33-1</f>
        <v>2.4013605442176873</v>
      </c>
      <c r="O33" s="9">
        <f t="shared" si="13"/>
        <v>-1</v>
      </c>
      <c r="P33" s="9">
        <f t="shared" si="14"/>
        <v>1.0408163265306123</v>
      </c>
      <c r="Q33" s="9">
        <f t="shared" si="15"/>
        <v>-1</v>
      </c>
      <c r="R33" s="10">
        <f t="shared" ref="R33:R34" si="19">0.25*N33+0.25*O33+0.25*P33+0.25*Q33</f>
        <v>0.3605442176870749</v>
      </c>
      <c r="S33" s="18">
        <f>_xlfn.COVARIANCE.P(N33:Q33,N$38:Q$38)</f>
        <v>0.42546553020096156</v>
      </c>
      <c r="T33" s="11">
        <f>S33/S$38</f>
        <v>1.9578231292517008</v>
      </c>
      <c r="U33" s="12">
        <f t="shared" ref="U33:U34" si="20">10%+T33*(R$38-10%)</f>
        <v>0.39537414965986395</v>
      </c>
      <c r="V33" s="18">
        <f>_xlfn.COVARIANCE.P(N33:Q33,N$39:Q$39)</f>
        <v>0.8022076755230394</v>
      </c>
      <c r="W33" s="11">
        <f>V33/S$39</f>
        <v>2.3177842565597664</v>
      </c>
      <c r="X33" s="12">
        <f>10%+W33*(R$39-10%)</f>
        <v>0.46588921282798834</v>
      </c>
      <c r="AB33" s="5">
        <v>1</v>
      </c>
      <c r="AC33" s="12">
        <f t="shared" ref="AC33:AC35" si="21">10%+AB33*(R$38-10%)</f>
        <v>0.25086865879082698</v>
      </c>
      <c r="AD33" s="5">
        <v>1</v>
      </c>
      <c r="AE33" s="12">
        <f t="shared" ref="AE33:AE35" si="22">10%+AD33*(R$39-10%)</f>
        <v>0.25786163522012584</v>
      </c>
    </row>
    <row r="34" spans="3:31" ht="17" x14ac:dyDescent="0.2">
      <c r="C34" s="3" t="s">
        <v>8</v>
      </c>
      <c r="D34" s="1">
        <v>1.71</v>
      </c>
      <c r="E34" s="1">
        <f t="shared" si="16"/>
        <v>359.09999999999997</v>
      </c>
      <c r="F34" s="7">
        <f>E34/E$35</f>
        <v>0.35649756775538566</v>
      </c>
      <c r="G34" s="7">
        <f>E34/E$36</f>
        <v>0.53773584905660377</v>
      </c>
      <c r="H34" s="4">
        <v>2</v>
      </c>
      <c r="I34" s="4">
        <v>3</v>
      </c>
      <c r="J34" s="4">
        <v>1</v>
      </c>
      <c r="K34" s="4">
        <v>2</v>
      </c>
      <c r="L34" s="8">
        <f t="shared" si="17"/>
        <v>2</v>
      </c>
      <c r="M34" s="8"/>
      <c r="N34" s="9">
        <f t="shared" si="18"/>
        <v>0.16959064327485374</v>
      </c>
      <c r="O34" s="9">
        <f t="shared" si="13"/>
        <v>0.75438596491228083</v>
      </c>
      <c r="P34" s="9">
        <f t="shared" si="14"/>
        <v>-0.41520467836257313</v>
      </c>
      <c r="Q34" s="9">
        <f t="shared" si="15"/>
        <v>0.16959064327485374</v>
      </c>
      <c r="R34" s="10">
        <f t="shared" si="19"/>
        <v>0.16959064327485379</v>
      </c>
      <c r="S34" s="18">
        <f>_xlfn.COVARIANCE.P(N34:Q34,N$38:Q$38)</f>
        <v>6.0958511636979885E-2</v>
      </c>
      <c r="T34" s="11">
        <f>S34/S$38</f>
        <v>0.28050682261208587</v>
      </c>
      <c r="U34" s="12">
        <f t="shared" si="20"/>
        <v>0.14231968810916182</v>
      </c>
      <c r="V34" s="18">
        <f>_xlfn.COVARIANCE.P(N34:Q34,N$39:Q$39)</f>
        <v>-4.5974474971495836E-2</v>
      </c>
      <c r="W34" s="11">
        <f>V34/S$39</f>
        <v>-0.13283208020050127</v>
      </c>
      <c r="X34" s="12">
        <f>10%+W34*(R$39-10%)</f>
        <v>7.9030910609857979E-2</v>
      </c>
      <c r="AB34" s="5">
        <v>2</v>
      </c>
      <c r="AC34" s="12">
        <f t="shared" si="21"/>
        <v>0.40173731758165399</v>
      </c>
      <c r="AD34" s="5">
        <v>2</v>
      </c>
      <c r="AE34" s="12">
        <f t="shared" si="22"/>
        <v>0.4157232704402517</v>
      </c>
    </row>
    <row r="35" spans="3:31" ht="17" x14ac:dyDescent="0.2">
      <c r="C35" s="3" t="s">
        <v>25</v>
      </c>
      <c r="E35" s="6">
        <f>SUM(E32:E34)</f>
        <v>1007.3</v>
      </c>
      <c r="AB35" s="5">
        <v>2.5</v>
      </c>
      <c r="AC35" s="12">
        <f t="shared" si="21"/>
        <v>0.47717164697706749</v>
      </c>
      <c r="AD35" s="5">
        <v>2.5</v>
      </c>
      <c r="AE35" s="12">
        <f t="shared" si="22"/>
        <v>0.49465408805031463</v>
      </c>
    </row>
    <row r="36" spans="3:31" ht="34" x14ac:dyDescent="0.2">
      <c r="C36" s="3" t="s">
        <v>26</v>
      </c>
      <c r="E36" s="6">
        <f>SUM(E33:E34)</f>
        <v>667.8</v>
      </c>
    </row>
    <row r="37" spans="3:31" x14ac:dyDescent="0.2">
      <c r="E37" s="5"/>
      <c r="S37" s="5" t="s">
        <v>18</v>
      </c>
    </row>
    <row r="38" spans="3:31" x14ac:dyDescent="0.2">
      <c r="C38" s="14" t="s">
        <v>23</v>
      </c>
      <c r="N38" s="9">
        <f>SUMPRODUCT($F32:$F34,N32:N34)</f>
        <v>0.87630298818624053</v>
      </c>
      <c r="O38" s="9">
        <f>SUMPRODUCT($F32:$F34,O32:O34)</f>
        <v>0.45934676858929818</v>
      </c>
      <c r="P38" s="9">
        <f>SUMPRODUCT($F32:$F34,P32:P34)</f>
        <v>4.2390548992355809E-2</v>
      </c>
      <c r="Q38" s="9">
        <f>SUMPRODUCT($F32:$F34,Q32:Q34)</f>
        <v>-0.37456567060458645</v>
      </c>
      <c r="R38" s="9">
        <f>SUMPRODUCT($F32:$F34,R32:R34)</f>
        <v>0.25086865879082698</v>
      </c>
      <c r="S38" s="18">
        <f>_xlfn.VAR.P(N38:Q38)</f>
        <v>0.21731561132571697</v>
      </c>
      <c r="T38" s="11">
        <f>S38/S$38</f>
        <v>1</v>
      </c>
    </row>
    <row r="39" spans="3:31" x14ac:dyDescent="0.2">
      <c r="C39" t="s">
        <v>24</v>
      </c>
      <c r="N39" s="9">
        <f>SUMPRODUCT($G33:$G34,N33:N34)</f>
        <v>1.2012578616352201</v>
      </c>
      <c r="O39" s="9">
        <f>SUMPRODUCT($G33:$G34,O33:O34)</f>
        <v>-5.6603773584905592E-2</v>
      </c>
      <c r="P39" s="9">
        <f>SUMPRODUCT($G33:$G34,P33:P34)</f>
        <v>0.25786163522012578</v>
      </c>
      <c r="Q39" s="9">
        <f>SUMPRODUCT($G33:$G34,Q33:Q34)</f>
        <v>-0.37106918238993714</v>
      </c>
      <c r="R39" s="9">
        <f>SUMPRODUCT($G33:$G34,R33:R34)</f>
        <v>0.25786163522012584</v>
      </c>
      <c r="S39" s="18">
        <f>_xlfn.VAR.P(N39:Q39)</f>
        <v>0.34610972667220447</v>
      </c>
      <c r="T39" s="11">
        <f>S39/S$39</f>
        <v>1</v>
      </c>
    </row>
  </sheetData>
  <mergeCells count="7">
    <mergeCell ref="AB30:AC30"/>
    <mergeCell ref="AD30:AE30"/>
    <mergeCell ref="H2:L2"/>
    <mergeCell ref="N2:R2"/>
    <mergeCell ref="H29:L29"/>
    <mergeCell ref="N29:R29"/>
    <mergeCell ref="W3:X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Marc Emile Lanton</cp:lastModifiedBy>
  <dcterms:created xsi:type="dcterms:W3CDTF">2022-10-07T22:13:35Z</dcterms:created>
  <dcterms:modified xsi:type="dcterms:W3CDTF">2023-11-17T02:55:01Z</dcterms:modified>
</cp:coreProperties>
</file>