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lanton28/Desktop/CU Boulder Saved Excel/"/>
    </mc:Choice>
  </mc:AlternateContent>
  <xr:revisionPtr revIDLastSave="0" documentId="13_ncr:1_{5EEA9693-A6A0-1F45-8618-B108ECBC6D29}" xr6:coauthVersionLast="47" xr6:coauthVersionMax="47" xr10:uidLastSave="{00000000-0000-0000-0000-000000000000}"/>
  <bookViews>
    <workbookView xWindow="0" yWindow="500" windowWidth="28800" windowHeight="16100" activeTab="2" xr2:uid="{00000000-000D-0000-FFFF-FFFF00000000}"/>
  </bookViews>
  <sheets>
    <sheet name="Proforma Assumptions" sheetId="4" r:id="rId1"/>
    <sheet name="Proforma" sheetId="5" r:id="rId2"/>
    <sheet name="Sensitivity Analysis" sheetId="6" r:id="rId3"/>
    <sheet name="Competitive Set" sheetId="1" r:id="rId4"/>
    <sheet name="YOY RevPAR% Change" sheetId="2" r:id="rId5"/>
    <sheet name="Competitive Set Performance" sheetId="3" r:id="rId6"/>
  </sheets>
  <definedNames>
    <definedName name="_xlnm.Print_Area" localSheetId="0">'Proforma Assumptions'!$B$34:$I$44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5" l="1"/>
  <c r="E15" i="6"/>
  <c r="C37" i="5"/>
  <c r="C40" i="5"/>
  <c r="B4" i="6"/>
  <c r="E8" i="6" l="1"/>
  <c r="E9" i="6"/>
  <c r="E10" i="6"/>
  <c r="E11" i="6"/>
  <c r="E12" i="6"/>
  <c r="E13" i="6"/>
  <c r="E7" i="6"/>
  <c r="D4" i="6"/>
  <c r="F7" i="6" l="1"/>
  <c r="G7" i="6" s="1"/>
  <c r="H7" i="6" s="1"/>
  <c r="F8" i="6"/>
  <c r="G8" i="6" s="1"/>
  <c r="H8" i="6" s="1"/>
  <c r="F9" i="6"/>
  <c r="G9" i="6" s="1"/>
  <c r="H9" i="6" s="1"/>
  <c r="F10" i="6"/>
  <c r="G10" i="6" s="1"/>
  <c r="H10" i="6" s="1"/>
  <c r="F12" i="6"/>
  <c r="G12" i="6" s="1"/>
  <c r="H12" i="6" s="1"/>
  <c r="F11" i="6"/>
  <c r="G11" i="6" s="1"/>
  <c r="H11" i="6" s="1"/>
  <c r="F13" i="6"/>
  <c r="G13" i="6" s="1"/>
  <c r="H13" i="6" s="1"/>
  <c r="H33" i="5"/>
  <c r="E42" i="5"/>
  <c r="F42" i="5"/>
  <c r="G42" i="5"/>
  <c r="D42" i="5"/>
  <c r="H39" i="5"/>
  <c r="E39" i="5"/>
  <c r="F39" i="5"/>
  <c r="G39" i="5"/>
  <c r="D39" i="5"/>
  <c r="H34" i="5"/>
  <c r="H35" i="5" s="1"/>
  <c r="H42" i="5" s="1"/>
  <c r="E31" i="5"/>
  <c r="F31" i="5"/>
  <c r="G31" i="5"/>
  <c r="H31" i="5"/>
  <c r="I31" i="5"/>
  <c r="D31" i="5"/>
  <c r="E29" i="5"/>
  <c r="F29" i="5"/>
  <c r="G29" i="5"/>
  <c r="H29" i="5"/>
  <c r="I29" i="5"/>
  <c r="D29" i="5"/>
  <c r="E30" i="5"/>
  <c r="F30" i="5"/>
  <c r="G30" i="5"/>
  <c r="H30" i="5"/>
  <c r="I30" i="5"/>
  <c r="D30" i="5"/>
  <c r="E28" i="5"/>
  <c r="F28" i="5"/>
  <c r="G28" i="5"/>
  <c r="H28" i="5"/>
  <c r="I28" i="5"/>
  <c r="D28" i="5"/>
  <c r="D26" i="5"/>
  <c r="E26" i="5" s="1"/>
  <c r="F26" i="5" s="1"/>
  <c r="G26" i="5" s="1"/>
  <c r="H26" i="5" s="1"/>
  <c r="I26" i="5" s="1"/>
  <c r="D27" i="5"/>
  <c r="E27" i="5" s="1"/>
  <c r="F27" i="5" s="1"/>
  <c r="G27" i="5" s="1"/>
  <c r="H27" i="5" s="1"/>
  <c r="I27" i="5" s="1"/>
  <c r="E25" i="5"/>
  <c r="F25" i="5" s="1"/>
  <c r="G25" i="5" s="1"/>
  <c r="H25" i="5" s="1"/>
  <c r="I25" i="5" s="1"/>
  <c r="D25" i="5"/>
  <c r="C25" i="5" a="1"/>
  <c r="C25" i="5" s="1"/>
  <c r="E23" i="5"/>
  <c r="F23" i="5"/>
  <c r="G23" i="5"/>
  <c r="H23" i="5"/>
  <c r="I23" i="5"/>
  <c r="D23" i="5"/>
  <c r="E22" i="5"/>
  <c r="F22" i="5"/>
  <c r="G22" i="5"/>
  <c r="H22" i="5"/>
  <c r="I22" i="5"/>
  <c r="D22" i="5"/>
  <c r="E21" i="5"/>
  <c r="F21" i="5"/>
  <c r="G21" i="5"/>
  <c r="H21" i="5"/>
  <c r="I21" i="5"/>
  <c r="D21" i="5"/>
  <c r="D10" i="5"/>
  <c r="E10" i="5" s="1"/>
  <c r="F10" i="5" s="1"/>
  <c r="G10" i="5" s="1"/>
  <c r="H10" i="5" s="1"/>
  <c r="I10" i="5" s="1"/>
  <c r="D11" i="5"/>
  <c r="E11" i="5" s="1"/>
  <c r="F11" i="5" s="1"/>
  <c r="G11" i="5" s="1"/>
  <c r="H11" i="5" s="1"/>
  <c r="I11" i="5" s="1"/>
  <c r="E9" i="5"/>
  <c r="F9" i="5" s="1"/>
  <c r="G9" i="5" s="1"/>
  <c r="H9" i="5" s="1"/>
  <c r="I9" i="5" s="1"/>
  <c r="D9" i="5"/>
  <c r="D16" i="5"/>
  <c r="E16" i="5" s="1"/>
  <c r="F16" i="5" s="1"/>
  <c r="G16" i="5" s="1"/>
  <c r="H16" i="5" s="1"/>
  <c r="I16" i="5" s="1"/>
  <c r="D17" i="5"/>
  <c r="E17" i="5"/>
  <c r="F17" i="5" s="1"/>
  <c r="G17" i="5" s="1"/>
  <c r="H17" i="5" s="1"/>
  <c r="I17" i="5" s="1"/>
  <c r="D18" i="5"/>
  <c r="E18" i="5"/>
  <c r="F18" i="5" s="1"/>
  <c r="G18" i="5" s="1"/>
  <c r="H18" i="5" s="1"/>
  <c r="I18" i="5" s="1"/>
  <c r="D19" i="5"/>
  <c r="E19" i="5" s="1"/>
  <c r="F19" i="5" s="1"/>
  <c r="G19" i="5" s="1"/>
  <c r="H19" i="5" s="1"/>
  <c r="I19" i="5" s="1"/>
  <c r="D20" i="5"/>
  <c r="E20" i="5" s="1"/>
  <c r="F20" i="5" s="1"/>
  <c r="G20" i="5" s="1"/>
  <c r="H20" i="5" s="1"/>
  <c r="I20" i="5" s="1"/>
  <c r="E15" i="5"/>
  <c r="F15" i="5" s="1"/>
  <c r="G15" i="5" s="1"/>
  <c r="H15" i="5" s="1"/>
  <c r="I15" i="5" s="1"/>
  <c r="D15" i="5"/>
  <c r="E6" i="5"/>
  <c r="D6" i="5"/>
  <c r="D4" i="5"/>
  <c r="D47" i="4"/>
  <c r="D3" i="5"/>
  <c r="H15" i="6" l="1"/>
  <c r="H16" i="6" s="1"/>
  <c r="H18" i="6" s="1"/>
  <c r="B43" i="5"/>
  <c r="I13" i="5" l="1"/>
  <c r="E12" i="5"/>
  <c r="F12" i="5"/>
  <c r="F13" i="5" s="1"/>
  <c r="G12" i="5"/>
  <c r="G13" i="5" s="1"/>
  <c r="H12" i="5"/>
  <c r="H13" i="5" s="1"/>
  <c r="I12" i="5"/>
  <c r="C15" i="5" a="1"/>
  <c r="C15" i="5" s="1"/>
  <c r="C10" i="5"/>
  <c r="C11" i="5"/>
  <c r="C12" i="5"/>
  <c r="C13" i="5"/>
  <c r="C9" i="5"/>
  <c r="E3" i="5"/>
  <c r="F3" i="5"/>
  <c r="G3" i="5"/>
  <c r="H3" i="5"/>
  <c r="I3" i="5"/>
  <c r="F4" i="5"/>
  <c r="C4" i="5"/>
  <c r="C5" i="5"/>
  <c r="C6" i="5"/>
  <c r="C7" i="5"/>
  <c r="C3" i="5"/>
  <c r="D16" i="3"/>
  <c r="E16" i="3"/>
  <c r="F16" i="3"/>
  <c r="G16" i="3"/>
  <c r="H16" i="3"/>
  <c r="D17" i="3"/>
  <c r="E17" i="3"/>
  <c r="F17" i="3"/>
  <c r="G17" i="3"/>
  <c r="H17" i="3"/>
  <c r="C17" i="3"/>
  <c r="C16" i="3"/>
  <c r="D5" i="5" l="1"/>
  <c r="D12" i="5"/>
  <c r="I5" i="5"/>
  <c r="I4" i="5"/>
  <c r="H5" i="5"/>
  <c r="H4" i="5"/>
  <c r="G5" i="5"/>
  <c r="G4" i="5"/>
  <c r="F5" i="5"/>
  <c r="E5" i="5"/>
  <c r="I6" i="5"/>
  <c r="H6" i="5"/>
  <c r="E4" i="5"/>
  <c r="G6" i="5"/>
  <c r="F6" i="5"/>
  <c r="D42" i="4"/>
  <c r="E42" i="4" s="1"/>
  <c r="F42" i="4" s="1"/>
  <c r="G42" i="4" s="1"/>
  <c r="H42" i="4" s="1"/>
  <c r="I42" i="4" s="1"/>
  <c r="D40" i="4"/>
  <c r="E40" i="4" s="1"/>
  <c r="F40" i="4" s="1"/>
  <c r="G40" i="4" s="1"/>
  <c r="H40" i="4" s="1"/>
  <c r="I40" i="4" s="1"/>
  <c r="D7" i="5" l="1"/>
  <c r="D13" i="5" s="1"/>
  <c r="I7" i="5"/>
  <c r="E7" i="5"/>
  <c r="E13" i="5" s="1"/>
  <c r="F7" i="5"/>
  <c r="G7" i="5"/>
  <c r="H7" i="5"/>
  <c r="D36" i="4"/>
  <c r="C36" i="4"/>
  <c r="D35" i="4"/>
  <c r="E35" i="4" s="1"/>
  <c r="G38" i="4"/>
  <c r="H38" i="4" s="1"/>
  <c r="E36" i="4" l="1"/>
  <c r="E47" i="4" s="1"/>
  <c r="E48" i="4" s="1"/>
  <c r="F35" i="4"/>
  <c r="E1" i="5"/>
  <c r="F1" i="5" s="1"/>
  <c r="G1" i="5" s="1"/>
  <c r="H1" i="5" s="1"/>
  <c r="I1" i="5" s="1"/>
  <c r="G35" i="4" l="1"/>
  <c r="F36" i="4"/>
  <c r="F47" i="4" s="1"/>
  <c r="F48" i="4" s="1"/>
  <c r="E34" i="4"/>
  <c r="F34" i="4" s="1"/>
  <c r="G34" i="4" s="1"/>
  <c r="H34" i="4" s="1"/>
  <c r="I34" i="4" s="1"/>
  <c r="C28" i="4"/>
  <c r="C21" i="4"/>
  <c r="C12" i="4"/>
  <c r="C7" i="4"/>
  <c r="D6" i="4"/>
  <c r="D5" i="4"/>
  <c r="D4" i="4"/>
  <c r="D3" i="4"/>
  <c r="H13" i="3"/>
  <c r="G13" i="3"/>
  <c r="F13" i="3"/>
  <c r="E13" i="3"/>
  <c r="D13" i="3"/>
  <c r="C13" i="3"/>
  <c r="B13" i="3"/>
  <c r="H9" i="3"/>
  <c r="G9" i="3"/>
  <c r="F9" i="3"/>
  <c r="E9" i="3"/>
  <c r="D9" i="3"/>
  <c r="C9" i="3"/>
  <c r="B9" i="3"/>
  <c r="H5" i="3"/>
  <c r="G5" i="3"/>
  <c r="F5" i="3"/>
  <c r="E5" i="3"/>
  <c r="D5" i="3"/>
  <c r="C5" i="3"/>
  <c r="B5" i="3"/>
  <c r="C1" i="3"/>
  <c r="D1" i="3" s="1"/>
  <c r="E1" i="3" s="1"/>
  <c r="F1" i="3" s="1"/>
  <c r="G1" i="3" s="1"/>
  <c r="C13" i="4" l="1"/>
  <c r="C22" i="4" s="1"/>
  <c r="C29" i="4" s="1"/>
  <c r="C31" i="4" s="1"/>
  <c r="H35" i="4"/>
  <c r="G36" i="4"/>
  <c r="G47" i="4" s="1"/>
  <c r="G48" i="4" s="1"/>
  <c r="I35" i="4" l="1"/>
  <c r="I36" i="4" s="1"/>
  <c r="H36" i="4"/>
  <c r="H47" i="4" s="1"/>
  <c r="H48" i="4" s="1"/>
  <c r="I47" i="4" l="1"/>
  <c r="I48" i="4" s="1"/>
  <c r="I3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<sst xmlns="http://schemas.openxmlformats.org/spreadsheetml/2006/main" count="159" uniqueCount="109">
  <si>
    <t>Property</t>
  </si>
  <si>
    <t>Double Tree Denver-Westminster</t>
  </si>
  <si>
    <t>Ramada Plaza Northglen Denver North</t>
  </si>
  <si>
    <t>Double Tree Denver   Thorton</t>
  </si>
  <si>
    <t>Hampton Inn Denver NW   Westminster</t>
  </si>
  <si>
    <t>Residence Inn Denver North Westminster</t>
  </si>
  <si>
    <t>SpringHill Suites Denver   North Westminster</t>
  </si>
  <si>
    <t>Drury Inn &amp; Suites Denver-Westminster</t>
  </si>
  <si>
    <t>Address</t>
  </si>
  <si>
    <t>8773  Yates Drive  Westminster, CO  80031</t>
  </si>
  <si>
    <t>10 E 120th Ave Denver, CO 80233</t>
  </si>
  <si>
    <t>83 East 120th Ave. Denver, CP 80233</t>
  </si>
  <si>
    <t>5030 W. 88th Pl. Westminster, CO</t>
  </si>
  <si>
    <t>5010 W 88th Pl. Westminster, CO 80031</t>
  </si>
  <si>
    <t>SpringHill Suites Denver Westminster, CO</t>
  </si>
  <si>
    <t>Drury Inn &amp; Suites Denver-Westminster, CO</t>
  </si>
  <si>
    <t>Year Opened</t>
  </si>
  <si>
    <t>Brand Affiliation</t>
  </si>
  <si>
    <t>Hilton</t>
  </si>
  <si>
    <t>Wyndham</t>
  </si>
  <si>
    <t>Marriott</t>
  </si>
  <si>
    <t xml:space="preserve">Drury </t>
  </si>
  <si>
    <t>Keys</t>
  </si>
  <si>
    <t>F &amp; B Outlets</t>
  </si>
  <si>
    <t>Tree House Bar &amp; Grill</t>
  </si>
  <si>
    <t>Free Breakfast</t>
  </si>
  <si>
    <t>Radius Bar &amp; Grill</t>
  </si>
  <si>
    <t>Meeting Space (SF)</t>
  </si>
  <si>
    <t>N/A</t>
  </si>
  <si>
    <t>Largest Space (SF)</t>
  </si>
  <si>
    <t>Pool/Fitness/Business Center</t>
  </si>
  <si>
    <t>X</t>
  </si>
  <si>
    <t xml:space="preserve">Source:  </t>
  </si>
  <si>
    <t>Statistic</t>
  </si>
  <si>
    <t>April 2018 T-12</t>
  </si>
  <si>
    <t>DoubleTree Occupancy</t>
  </si>
  <si>
    <t>Competitive Set Occupancy</t>
  </si>
  <si>
    <t>Occupancy Index</t>
  </si>
  <si>
    <t>DoubleTree ADR</t>
  </si>
  <si>
    <t>Competitive Set ADR</t>
  </si>
  <si>
    <t>ADR Index</t>
  </si>
  <si>
    <t>Double Tree RevPAR</t>
  </si>
  <si>
    <t>Competitive Set RevPAR</t>
  </si>
  <si>
    <t>RevPAR Index</t>
  </si>
  <si>
    <t>Dollar</t>
  </si>
  <si>
    <t>Percent of Room Revenues</t>
  </si>
  <si>
    <t>Revenues</t>
  </si>
  <si>
    <t>Room Revenues</t>
  </si>
  <si>
    <t>Food &amp; Beverage</t>
  </si>
  <si>
    <t>Other Operated Departments</t>
  </si>
  <si>
    <t>Miscellaneous</t>
  </si>
  <si>
    <t>Gross Revenues</t>
  </si>
  <si>
    <t>Departmental Expenses</t>
  </si>
  <si>
    <t>Rooms</t>
  </si>
  <si>
    <t>Total</t>
  </si>
  <si>
    <t>Gross Operating Income</t>
  </si>
  <si>
    <t>Undistributed Expenses</t>
  </si>
  <si>
    <t>Administrative &amp; General</t>
  </si>
  <si>
    <t>Information &amp; Telecom</t>
  </si>
  <si>
    <t>Sales &amp; Marketing</t>
  </si>
  <si>
    <t>Franchise Fees</t>
  </si>
  <si>
    <t>Property Operations &amp; Maintenance</t>
  </si>
  <si>
    <t>Utilities</t>
  </si>
  <si>
    <t>Gross Operating Profit</t>
  </si>
  <si>
    <t>Management Fees @ 3%</t>
  </si>
  <si>
    <t>Fixed Expneses</t>
  </si>
  <si>
    <t>Taxes</t>
  </si>
  <si>
    <t>Insurance</t>
  </si>
  <si>
    <t>Rent, Leases &amp; Other</t>
  </si>
  <si>
    <t>EBITDA</t>
  </si>
  <si>
    <t>Reserve @ 4%</t>
  </si>
  <si>
    <t>Net Operrating Income</t>
  </si>
  <si>
    <t>Fiscal Year:</t>
  </si>
  <si>
    <t>Occupancy Rate</t>
  </si>
  <si>
    <t>Occupied Rooms</t>
  </si>
  <si>
    <t>ADR Growth Rate</t>
  </si>
  <si>
    <t>Average Daily Rate (ADR)</t>
  </si>
  <si>
    <t>RevPAR Growth Rate</t>
  </si>
  <si>
    <t>Revenue per Available Room (RevPAR)</t>
  </si>
  <si>
    <t>Expense Growth Rate</t>
  </si>
  <si>
    <t>Year:</t>
  </si>
  <si>
    <t>Net Sales Proceeds</t>
  </si>
  <si>
    <t>Net Operating Income</t>
  </si>
  <si>
    <t>Management Fees at percent:</t>
  </si>
  <si>
    <t>Fixed Expenses</t>
  </si>
  <si>
    <t>Reserve at percent:</t>
  </si>
  <si>
    <t>Purch price at CAP</t>
  </si>
  <si>
    <t>Cash flows for PV at hurdle rate:</t>
  </si>
  <si>
    <t>PV at hurdle:</t>
  </si>
  <si>
    <t>Cash flows for IRR calculation:</t>
  </si>
  <si>
    <t>IRR:</t>
  </si>
  <si>
    <t>Selling price at CAP:</t>
  </si>
  <si>
    <t>less Selling Costs at:</t>
  </si>
  <si>
    <t>Available Rooms per Year</t>
  </si>
  <si>
    <t xml:space="preserve">Selling Price </t>
  </si>
  <si>
    <t xml:space="preserve">Expense Growth Rate </t>
  </si>
  <si>
    <t>ATIRR</t>
  </si>
  <si>
    <t>Future selling price</t>
  </si>
  <si>
    <t>Probability (%)</t>
  </si>
  <si>
    <t>Deviation from expected</t>
  </si>
  <si>
    <t>Deviation squared</t>
  </si>
  <si>
    <t>Deviation squared x Probability</t>
  </si>
  <si>
    <t>Prob x ATIRR</t>
  </si>
  <si>
    <t>Growth rate</t>
  </si>
  <si>
    <t>E(IRR)</t>
  </si>
  <si>
    <t>Variance</t>
  </si>
  <si>
    <t>STDEV</t>
  </si>
  <si>
    <t>RR- Ratio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</si>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</sst>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.00"/>
    <numFmt numFmtId="166" formatCode="&quot;$&quot;#,##0"/>
    <numFmt numFmtId="167" formatCode="0.000%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 vertical="top"/>
    </xf>
    <xf numFmtId="166" fontId="0" fillId="0" borderId="0" xfId="0" applyNumberFormat="1"/>
    <xf numFmtId="10" fontId="0" fillId="0" borderId="0" xfId="0" applyNumberFormat="1"/>
    <xf numFmtId="0" fontId="0" fillId="0" borderId="2" xfId="0" applyBorder="1"/>
    <xf numFmtId="166" fontId="0" fillId="0" borderId="2" xfId="0" applyNumberFormat="1" applyBorder="1"/>
    <xf numFmtId="10" fontId="0" fillId="0" borderId="2" xfId="0" applyNumberFormat="1" applyBorder="1"/>
    <xf numFmtId="1" fontId="2" fillId="0" borderId="0" xfId="0" applyNumberFormat="1" applyFont="1" applyAlignment="1">
      <alignment horizontal="center"/>
    </xf>
    <xf numFmtId="3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7" fontId="0" fillId="0" borderId="0" xfId="0" applyNumberFormat="1"/>
    <xf numFmtId="0" fontId="0" fillId="2" borderId="0" xfId="0" applyFill="1"/>
    <xf numFmtId="6" fontId="0" fillId="0" borderId="0" xfId="0" applyNumberFormat="1"/>
    <xf numFmtId="9" fontId="0" fillId="0" borderId="0" xfId="0" applyNumberFormat="1"/>
    <xf numFmtId="166" fontId="0" fillId="3" borderId="0" xfId="0" applyNumberFormat="1" applyFill="1"/>
    <xf numFmtId="166" fontId="0" fillId="3" borderId="2" xfId="0" applyNumberFormat="1" applyFill="1" applyBorder="1"/>
    <xf numFmtId="6" fontId="0" fillId="3" borderId="0" xfId="0" applyNumberFormat="1" applyFill="1"/>
    <xf numFmtId="0" fontId="0" fillId="0" borderId="0" xfId="0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4" borderId="2" xfId="0" applyNumberFormat="1" applyFill="1" applyBorder="1" applyAlignment="1">
      <alignment horizontal="center"/>
    </xf>
    <xf numFmtId="9" fontId="0" fillId="0" borderId="0" xfId="1" applyFont="1"/>
    <xf numFmtId="167" fontId="0" fillId="0" borderId="0" xfId="1" applyNumberFormat="1" applyFont="1"/>
    <xf numFmtId="10" fontId="0" fillId="3" borderId="0" xfId="0" applyNumberFormat="1" applyFill="1" applyAlignment="1">
      <alignment horizontal="center"/>
    </xf>
    <xf numFmtId="44" fontId="0" fillId="0" borderId="0" xfId="2" applyFont="1"/>
    <xf numFmtId="44" fontId="0" fillId="0" borderId="2" xfId="2" applyFont="1" applyBorder="1"/>
    <xf numFmtId="168" fontId="0" fillId="0" borderId="0" xfId="2" applyNumberFormat="1" applyFont="1"/>
    <xf numFmtId="168" fontId="0" fillId="0" borderId="2" xfId="2" applyNumberFormat="1" applyFont="1" applyBorder="1"/>
    <xf numFmtId="166" fontId="3" fillId="3" borderId="0" xfId="0" applyNumberFormat="1" applyFont="1" applyFill="1"/>
    <xf numFmtId="166" fontId="3" fillId="3" borderId="2" xfId="0" applyNumberFormat="1" applyFont="1" applyFill="1" applyBorder="1"/>
    <xf numFmtId="0" fontId="3" fillId="0" borderId="0" xfId="0" applyFont="1"/>
    <xf numFmtId="10" fontId="3" fillId="0" borderId="0" xfId="0" applyNumberFormat="1" applyFont="1"/>
    <xf numFmtId="10" fontId="3" fillId="0" borderId="0" xfId="1" applyNumberFormat="1" applyFont="1" applyFill="1" applyBorder="1"/>
    <xf numFmtId="168" fontId="3" fillId="0" borderId="0" xfId="2" applyNumberFormat="1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68" fontId="3" fillId="0" borderId="0" xfId="0" applyNumberFormat="1" applyFont="1"/>
    <xf numFmtId="164" fontId="3" fillId="0" borderId="0" xfId="0" applyNumberFormat="1" applyFont="1"/>
    <xf numFmtId="9" fontId="3" fillId="0" borderId="0" xfId="0" applyNumberFormat="1" applyFont="1"/>
    <xf numFmtId="164" fontId="3" fillId="5" borderId="0" xfId="0" applyNumberFormat="1" applyFont="1" applyFill="1"/>
    <xf numFmtId="10" fontId="3" fillId="5" borderId="0" xfId="0" applyNumberFormat="1" applyFont="1" applyFill="1"/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'Competitive Set Performance'!$B$11:$H$11</c:f>
              <c:numCache>
                <c:formatCode>"$"#,##0.00</c:formatCode>
                <c:ptCount val="7"/>
                <c:pt idx="0">
                  <c:v>63.31</c:v>
                </c:pt>
                <c:pt idx="1">
                  <c:v>67.06</c:v>
                </c:pt>
                <c:pt idx="2">
                  <c:v>70.22</c:v>
                </c:pt>
                <c:pt idx="3">
                  <c:v>76.239999999999995</c:v>
                </c:pt>
                <c:pt idx="4">
                  <c:v>64.52</c:v>
                </c:pt>
                <c:pt idx="5">
                  <c:v>76.900000000000006</c:v>
                </c:pt>
                <c:pt idx="6">
                  <c:v>79.09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6-D24E-857B-884EB122F33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'Competitive Set Performance'!$B$12:$H$12</c:f>
              <c:numCache>
                <c:formatCode>"$"#,##0.00</c:formatCode>
                <c:ptCount val="7"/>
                <c:pt idx="0">
                  <c:v>51.95</c:v>
                </c:pt>
                <c:pt idx="1">
                  <c:v>62.06</c:v>
                </c:pt>
                <c:pt idx="2">
                  <c:v>71.3</c:v>
                </c:pt>
                <c:pt idx="3">
                  <c:v>77.67</c:v>
                </c:pt>
                <c:pt idx="4">
                  <c:v>80.459999999999994</c:v>
                </c:pt>
                <c:pt idx="5">
                  <c:v>80.12</c:v>
                </c:pt>
                <c:pt idx="6">
                  <c:v>81.39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36-D24E-857B-884EB122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848200"/>
        <c:axId val="543855648"/>
      </c:barChart>
      <c:catAx>
        <c:axId val="543848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55648"/>
        <c:crosses val="autoZero"/>
        <c:auto val="1"/>
        <c:lblAlgn val="ctr"/>
        <c:lblOffset val="100"/>
        <c:noMultiLvlLbl val="0"/>
      </c:catAx>
      <c:valAx>
        <c:axId val="54385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4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522986</xdr:colOff>
      <xdr:row>0</xdr:row>
      <xdr:rowOff>2657143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2828AC-D7D9-4CCB-A03D-B7D3525B7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80046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1</xdr:row>
      <xdr:rowOff>43815</xdr:rowOff>
    </xdr:from>
    <xdr:to>
      <xdr:col>17</xdr:col>
      <xdr:colOff>38100</xdr:colOff>
      <xdr:row>16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I56"/>
  <sheetViews>
    <sheetView topLeftCell="A18" workbookViewId="0">
      <selection activeCell="F8" sqref="F8"/>
    </sheetView>
  </sheetViews>
  <sheetFormatPr baseColWidth="10" defaultColWidth="8.83203125" defaultRowHeight="15" x14ac:dyDescent="0.2"/>
  <cols>
    <col min="1" max="1" width="2.6640625" customWidth="1"/>
    <col min="2" max="2" width="30.5" customWidth="1"/>
    <col min="3" max="3" width="13" style="14" customWidth="1"/>
    <col min="4" max="4" width="15.1640625" customWidth="1"/>
    <col min="5" max="9" width="13.33203125" customWidth="1"/>
  </cols>
  <sheetData>
    <row r="1" spans="1:6" s="9" customFormat="1" ht="32" x14ac:dyDescent="0.2">
      <c r="A1" s="53" t="s">
        <v>34</v>
      </c>
      <c r="B1" s="54"/>
      <c r="C1" s="13" t="s">
        <v>44</v>
      </c>
      <c r="D1" s="8" t="s">
        <v>45</v>
      </c>
    </row>
    <row r="2" spans="1:6" x14ac:dyDescent="0.2">
      <c r="A2" t="s">
        <v>46</v>
      </c>
      <c r="B2" s="9"/>
    </row>
    <row r="3" spans="1:6" x14ac:dyDescent="0.2">
      <c r="B3" t="s">
        <v>47</v>
      </c>
      <c r="C3" s="14">
        <v>5378248</v>
      </c>
      <c r="D3" s="15">
        <f>C3/$C$3</f>
        <v>1</v>
      </c>
    </row>
    <row r="4" spans="1:6" x14ac:dyDescent="0.2">
      <c r="B4" t="s">
        <v>48</v>
      </c>
      <c r="C4" s="14">
        <v>1631672</v>
      </c>
      <c r="D4" s="15">
        <f t="shared" ref="D4:D6" si="0">C4/$C$3</f>
        <v>0.30338355538829748</v>
      </c>
    </row>
    <row r="5" spans="1:6" x14ac:dyDescent="0.2">
      <c r="B5" t="s">
        <v>49</v>
      </c>
      <c r="C5" s="14">
        <v>45923</v>
      </c>
      <c r="D5" s="15">
        <f t="shared" si="0"/>
        <v>8.5386542234571552E-3</v>
      </c>
    </row>
    <row r="6" spans="1:6" ht="16" thickBot="1" x14ac:dyDescent="0.25">
      <c r="B6" s="16" t="s">
        <v>50</v>
      </c>
      <c r="C6" s="17">
        <v>20799</v>
      </c>
      <c r="D6" s="18">
        <f t="shared" si="0"/>
        <v>3.8672445004395485E-3</v>
      </c>
    </row>
    <row r="7" spans="1:6" ht="16" thickTop="1" x14ac:dyDescent="0.2">
      <c r="B7" t="s">
        <v>51</v>
      </c>
      <c r="C7" s="14">
        <f>SUM(C3:C6)</f>
        <v>7076642</v>
      </c>
    </row>
    <row r="8" spans="1:6" x14ac:dyDescent="0.2">
      <c r="A8" t="s">
        <v>52</v>
      </c>
      <c r="F8" s="22"/>
    </row>
    <row r="9" spans="1:6" x14ac:dyDescent="0.2">
      <c r="B9" t="s">
        <v>53</v>
      </c>
      <c r="C9" s="14">
        <v>1548420</v>
      </c>
    </row>
    <row r="10" spans="1:6" x14ac:dyDescent="0.2">
      <c r="B10" t="s">
        <v>48</v>
      </c>
      <c r="C10" s="14">
        <v>1167637</v>
      </c>
    </row>
    <row r="11" spans="1:6" ht="16" thickBot="1" x14ac:dyDescent="0.25">
      <c r="B11" s="16" t="s">
        <v>49</v>
      </c>
      <c r="C11" s="17">
        <v>37257</v>
      </c>
    </row>
    <row r="12" spans="1:6" ht="16" thickTop="1" x14ac:dyDescent="0.2">
      <c r="B12" t="s">
        <v>54</v>
      </c>
      <c r="C12" s="14">
        <f>SUM(C9:C11)</f>
        <v>2753314</v>
      </c>
    </row>
    <row r="13" spans="1:6" x14ac:dyDescent="0.2">
      <c r="B13" t="s">
        <v>55</v>
      </c>
      <c r="C13" s="14">
        <f>C7-C12</f>
        <v>4323328</v>
      </c>
    </row>
    <row r="14" spans="1:6" x14ac:dyDescent="0.2">
      <c r="A14" t="s">
        <v>56</v>
      </c>
    </row>
    <row r="15" spans="1:6" x14ac:dyDescent="0.2">
      <c r="B15" t="s">
        <v>57</v>
      </c>
      <c r="C15" s="14">
        <v>543749</v>
      </c>
    </row>
    <row r="16" spans="1:6" x14ac:dyDescent="0.2">
      <c r="B16" t="s">
        <v>58</v>
      </c>
      <c r="C16" s="14">
        <v>43987</v>
      </c>
    </row>
    <row r="17" spans="1:5" x14ac:dyDescent="0.2">
      <c r="B17" t="s">
        <v>59</v>
      </c>
      <c r="C17" s="14">
        <v>509861</v>
      </c>
    </row>
    <row r="18" spans="1:5" x14ac:dyDescent="0.2">
      <c r="B18" t="s">
        <v>60</v>
      </c>
      <c r="C18" s="14">
        <v>515653</v>
      </c>
    </row>
    <row r="19" spans="1:5" x14ac:dyDescent="0.2">
      <c r="B19" t="s">
        <v>61</v>
      </c>
      <c r="C19" s="14">
        <v>319172</v>
      </c>
    </row>
    <row r="20" spans="1:5" ht="16" thickBot="1" x14ac:dyDescent="0.25">
      <c r="B20" s="16" t="s">
        <v>62</v>
      </c>
      <c r="C20" s="17">
        <v>277465</v>
      </c>
    </row>
    <row r="21" spans="1:5" ht="16" thickTop="1" x14ac:dyDescent="0.2">
      <c r="B21" t="s">
        <v>54</v>
      </c>
      <c r="C21" s="14">
        <f>SUM(C15:C20)</f>
        <v>2209887</v>
      </c>
    </row>
    <row r="22" spans="1:5" x14ac:dyDescent="0.2">
      <c r="B22" t="s">
        <v>63</v>
      </c>
      <c r="C22" s="14">
        <f>C13-C21</f>
        <v>2113441</v>
      </c>
    </row>
    <row r="23" spans="1:5" x14ac:dyDescent="0.2">
      <c r="B23" t="s">
        <v>64</v>
      </c>
      <c r="C23" s="14">
        <v>212299</v>
      </c>
      <c r="D23" s="22"/>
      <c r="E23" s="22"/>
    </row>
    <row r="24" spans="1:5" x14ac:dyDescent="0.2">
      <c r="A24" t="s">
        <v>65</v>
      </c>
    </row>
    <row r="25" spans="1:5" x14ac:dyDescent="0.2">
      <c r="B25" t="s">
        <v>66</v>
      </c>
      <c r="C25" s="14">
        <v>138189</v>
      </c>
    </row>
    <row r="26" spans="1:5" x14ac:dyDescent="0.2">
      <c r="B26" t="s">
        <v>67</v>
      </c>
      <c r="C26" s="14">
        <v>53827</v>
      </c>
      <c r="D26" s="22"/>
    </row>
    <row r="27" spans="1:5" ht="16" thickBot="1" x14ac:dyDescent="0.25">
      <c r="B27" s="16" t="s">
        <v>68</v>
      </c>
      <c r="C27" s="17">
        <v>16718</v>
      </c>
    </row>
    <row r="28" spans="1:5" ht="16" thickTop="1" x14ac:dyDescent="0.2">
      <c r="B28" t="s">
        <v>54</v>
      </c>
      <c r="C28" s="14">
        <f>SUM(C25:C27)</f>
        <v>208734</v>
      </c>
    </row>
    <row r="29" spans="1:5" x14ac:dyDescent="0.2">
      <c r="A29" t="s">
        <v>69</v>
      </c>
      <c r="C29" s="14">
        <f>C22-C23-C28</f>
        <v>1692408</v>
      </c>
    </row>
    <row r="30" spans="1:5" x14ac:dyDescent="0.2">
      <c r="B30" t="s">
        <v>70</v>
      </c>
      <c r="C30" s="14">
        <v>283066</v>
      </c>
      <c r="D30" s="22"/>
    </row>
    <row r="31" spans="1:5" x14ac:dyDescent="0.2">
      <c r="A31" t="s">
        <v>71</v>
      </c>
      <c r="C31" s="14">
        <f>C29-C30</f>
        <v>1409342</v>
      </c>
    </row>
    <row r="34" spans="2:9" s="9" customFormat="1" x14ac:dyDescent="0.2">
      <c r="B34" s="9" t="s">
        <v>72</v>
      </c>
      <c r="C34" s="19">
        <v>2018</v>
      </c>
      <c r="D34" s="10">
        <v>2019</v>
      </c>
      <c r="E34" s="10">
        <f>D34+1</f>
        <v>2020</v>
      </c>
      <c r="F34" s="10">
        <f t="shared" ref="F34:I34" si="1">E34+1</f>
        <v>2021</v>
      </c>
      <c r="G34" s="10">
        <f t="shared" si="1"/>
        <v>2022</v>
      </c>
      <c r="H34" s="10">
        <f t="shared" si="1"/>
        <v>2023</v>
      </c>
      <c r="I34" s="10">
        <f t="shared" si="1"/>
        <v>2024</v>
      </c>
    </row>
    <row r="35" spans="2:9" x14ac:dyDescent="0.2">
      <c r="B35" t="s">
        <v>53</v>
      </c>
      <c r="C35" s="20">
        <v>186</v>
      </c>
      <c r="D35">
        <f>C35</f>
        <v>186</v>
      </c>
      <c r="E35">
        <f t="shared" ref="E35:I35" si="2">D35</f>
        <v>186</v>
      </c>
      <c r="F35">
        <f t="shared" si="2"/>
        <v>186</v>
      </c>
      <c r="G35">
        <f t="shared" si="2"/>
        <v>186</v>
      </c>
      <c r="H35">
        <f t="shared" si="2"/>
        <v>186</v>
      </c>
      <c r="I35">
        <f t="shared" si="2"/>
        <v>186</v>
      </c>
    </row>
    <row r="36" spans="2:9" x14ac:dyDescent="0.2">
      <c r="B36" t="s">
        <v>93</v>
      </c>
      <c r="C36" s="20">
        <f>C35*365</f>
        <v>67890</v>
      </c>
      <c r="D36" s="20">
        <f t="shared" ref="D36:I36" si="3">D35*365</f>
        <v>67890</v>
      </c>
      <c r="E36" s="20">
        <f t="shared" si="3"/>
        <v>67890</v>
      </c>
      <c r="F36" s="20">
        <f t="shared" si="3"/>
        <v>67890</v>
      </c>
      <c r="G36" s="20">
        <f t="shared" si="3"/>
        <v>67890</v>
      </c>
      <c r="H36" s="20">
        <f t="shared" si="3"/>
        <v>67890</v>
      </c>
      <c r="I36" s="20">
        <f t="shared" si="3"/>
        <v>67890</v>
      </c>
    </row>
    <row r="37" spans="2:9" x14ac:dyDescent="0.2">
      <c r="B37" s="24" t="s">
        <v>73</v>
      </c>
      <c r="C37" s="21">
        <v>0.70279864486669608</v>
      </c>
      <c r="D37" s="15">
        <v>0.73521873619089706</v>
      </c>
      <c r="E37" s="15">
        <v>0.73999647452846817</v>
      </c>
      <c r="F37" s="15">
        <v>0.75000736485491237</v>
      </c>
      <c r="G37" s="15">
        <v>0.75000736485491237</v>
      </c>
      <c r="H37" s="15">
        <v>0.75000736485491237</v>
      </c>
      <c r="I37" s="15">
        <v>0.75000736485491237</v>
      </c>
    </row>
    <row r="38" spans="2:9" x14ac:dyDescent="0.2">
      <c r="B38" t="s">
        <v>74</v>
      </c>
      <c r="C38" s="20">
        <v>47713</v>
      </c>
      <c r="D38" s="20">
        <v>49914</v>
      </c>
      <c r="E38" s="20">
        <v>50376</v>
      </c>
      <c r="F38" s="20">
        <v>50918</v>
      </c>
      <c r="G38" s="20">
        <f>F38</f>
        <v>50918</v>
      </c>
      <c r="H38" s="20">
        <f>G38</f>
        <v>50918</v>
      </c>
      <c r="I38" s="20">
        <f>I36*I37</f>
        <v>50918</v>
      </c>
    </row>
    <row r="39" spans="2:9" x14ac:dyDescent="0.2">
      <c r="B39" s="24" t="s">
        <v>75</v>
      </c>
      <c r="D39" s="15">
        <v>0.06</v>
      </c>
      <c r="E39" s="15">
        <v>4.4999999999999998E-2</v>
      </c>
      <c r="F39" s="15">
        <v>0.03</v>
      </c>
      <c r="G39" s="15">
        <v>0.03</v>
      </c>
      <c r="H39" s="15">
        <v>0.03</v>
      </c>
      <c r="I39" s="15">
        <v>0.03</v>
      </c>
    </row>
    <row r="40" spans="2:9" x14ac:dyDescent="0.2">
      <c r="B40" t="s">
        <v>76</v>
      </c>
      <c r="C40" s="22">
        <v>112.72</v>
      </c>
      <c r="D40" s="22">
        <f>C40*(1+D39)</f>
        <v>119.48320000000001</v>
      </c>
      <c r="E40" s="22">
        <f t="shared" ref="E40:I40" si="4">D40*(1+E39)</f>
        <v>124.859944</v>
      </c>
      <c r="F40" s="22">
        <f t="shared" si="4"/>
        <v>128.60574231999999</v>
      </c>
      <c r="G40" s="22">
        <f t="shared" si="4"/>
        <v>132.46391458959999</v>
      </c>
      <c r="H40" s="22">
        <f t="shared" si="4"/>
        <v>136.43783202728801</v>
      </c>
      <c r="I40" s="22">
        <f t="shared" si="4"/>
        <v>140.53096698810666</v>
      </c>
    </row>
    <row r="41" spans="2:9" x14ac:dyDescent="0.2">
      <c r="B41" s="24" t="s">
        <v>77</v>
      </c>
      <c r="D41" s="15">
        <v>0.06</v>
      </c>
      <c r="E41" s="15">
        <v>4.4999999999999998E-2</v>
      </c>
      <c r="F41" s="15">
        <v>0.03</v>
      </c>
      <c r="G41" s="15">
        <v>0.03</v>
      </c>
      <c r="H41" s="15">
        <v>0.03</v>
      </c>
      <c r="I41" s="15">
        <v>0.03</v>
      </c>
    </row>
    <row r="42" spans="2:9" x14ac:dyDescent="0.2">
      <c r="B42" t="s">
        <v>78</v>
      </c>
      <c r="C42" s="22">
        <v>79.22</v>
      </c>
      <c r="D42" s="22">
        <f>C42*(1+D41)</f>
        <v>83.973200000000006</v>
      </c>
      <c r="E42" s="22">
        <f t="shared" ref="E42" si="5">D42*(1+E41)</f>
        <v>87.751993999999996</v>
      </c>
      <c r="F42" s="22">
        <f t="shared" ref="F42" si="6">E42*(1+F41)</f>
        <v>90.384553819999994</v>
      </c>
      <c r="G42" s="22">
        <f t="shared" ref="G42" si="7">F42*(1+G41)</f>
        <v>93.096090434600001</v>
      </c>
      <c r="H42" s="22">
        <f t="shared" ref="H42" si="8">G42*(1+H41)</f>
        <v>95.888973147637998</v>
      </c>
      <c r="I42" s="22">
        <f t="shared" ref="I42" si="9">H42*(1+I41)</f>
        <v>98.765642342067139</v>
      </c>
    </row>
    <row r="44" spans="2:9" x14ac:dyDescent="0.2">
      <c r="B44" s="24" t="s">
        <v>79</v>
      </c>
      <c r="D44" s="15">
        <v>0.03</v>
      </c>
      <c r="E44" s="15">
        <v>0.03</v>
      </c>
      <c r="F44" s="15">
        <v>0.03</v>
      </c>
      <c r="G44" s="15">
        <v>0.03</v>
      </c>
      <c r="H44" s="15">
        <v>0.03</v>
      </c>
      <c r="I44" s="15">
        <v>0.03</v>
      </c>
    </row>
    <row r="47" spans="2:9" x14ac:dyDescent="0.2">
      <c r="B47" t="s">
        <v>47</v>
      </c>
      <c r="D47" s="22">
        <f>D36*D42</f>
        <v>5700940.5480000004</v>
      </c>
      <c r="E47" s="22">
        <f t="shared" ref="E47:I47" si="10">E36*E42</f>
        <v>5957482.8726599999</v>
      </c>
      <c r="F47" s="22">
        <f t="shared" si="10"/>
        <v>6136207.3588397997</v>
      </c>
      <c r="G47" s="22">
        <f t="shared" si="10"/>
        <v>6320293.5796049945</v>
      </c>
      <c r="H47" s="22">
        <f t="shared" si="10"/>
        <v>6509902.3869931437</v>
      </c>
      <c r="I47" s="22">
        <f t="shared" si="10"/>
        <v>6705199.4586029379</v>
      </c>
    </row>
    <row r="48" spans="2:9" x14ac:dyDescent="0.2">
      <c r="D48" s="34"/>
      <c r="E48" s="34">
        <f t="shared" ref="E48:H48" si="11">E47/D47-1</f>
        <v>4.4999999999999929E-2</v>
      </c>
      <c r="F48" s="34">
        <f t="shared" si="11"/>
        <v>3.0000000000000027E-2</v>
      </c>
      <c r="G48" s="34">
        <f t="shared" si="11"/>
        <v>3.0000000000000249E-2</v>
      </c>
      <c r="H48" s="34">
        <f t="shared" si="11"/>
        <v>2.9999999999999805E-2</v>
      </c>
      <c r="I48" s="34">
        <f>I47/H47-1</f>
        <v>3.0000000000000027E-2</v>
      </c>
    </row>
    <row r="56" spans="7:7" x14ac:dyDescent="0.2">
      <c r="G56" s="23"/>
    </row>
  </sheetData>
  <mergeCells count="1">
    <mergeCell ref="A1:B1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44"/>
  <sheetViews>
    <sheetView zoomScale="75" workbookViewId="0">
      <selection activeCell="C37" sqref="C37"/>
    </sheetView>
  </sheetViews>
  <sheetFormatPr baseColWidth="10" defaultColWidth="8.83203125" defaultRowHeight="15" x14ac:dyDescent="0.2"/>
  <cols>
    <col min="1" max="1" width="17.5" customWidth="1"/>
    <col min="2" max="2" width="27.83203125" customWidth="1"/>
    <col min="3" max="3" width="18.6640625" customWidth="1"/>
    <col min="4" max="10" width="16.33203125" customWidth="1"/>
  </cols>
  <sheetData>
    <row r="1" spans="1:9" s="9" customFormat="1" x14ac:dyDescent="0.2">
      <c r="B1" s="9" t="s">
        <v>80</v>
      </c>
      <c r="C1" s="10">
        <v>2018</v>
      </c>
      <c r="D1" s="10">
        <v>2019</v>
      </c>
      <c r="E1" s="10">
        <f>D1+1</f>
        <v>2020</v>
      </c>
      <c r="F1" s="10">
        <f t="shared" ref="F1:I1" si="0">E1+1</f>
        <v>2021</v>
      </c>
      <c r="G1" s="10">
        <f t="shared" si="0"/>
        <v>2022</v>
      </c>
      <c r="H1" s="10">
        <f t="shared" si="0"/>
        <v>2023</v>
      </c>
      <c r="I1" s="10">
        <f t="shared" si="0"/>
        <v>2024</v>
      </c>
    </row>
    <row r="2" spans="1:9" x14ac:dyDescent="0.2">
      <c r="A2" t="s">
        <v>46</v>
      </c>
      <c r="B2" s="9"/>
      <c r="C2" s="9"/>
      <c r="D2" s="14"/>
    </row>
    <row r="3" spans="1:9" x14ac:dyDescent="0.2">
      <c r="B3" t="s">
        <v>47</v>
      </c>
      <c r="C3" s="38">
        <f>'Proforma Assumptions'!C3</f>
        <v>5378248</v>
      </c>
      <c r="D3" s="27">
        <f>'Proforma Assumptions'!D42*'Proforma Assumptions'!D36</f>
        <v>5700940.5480000004</v>
      </c>
      <c r="E3" s="27">
        <f>'Proforma Assumptions'!E42*'Proforma Assumptions'!E36</f>
        <v>5957482.8726599999</v>
      </c>
      <c r="F3" s="27">
        <f>'Proforma Assumptions'!F42*'Proforma Assumptions'!F36</f>
        <v>6136207.3588397997</v>
      </c>
      <c r="G3" s="27">
        <f>'Proforma Assumptions'!G42*'Proforma Assumptions'!G36</f>
        <v>6320293.5796049945</v>
      </c>
      <c r="H3" s="27">
        <f>'Proforma Assumptions'!H42*'Proforma Assumptions'!H36</f>
        <v>6509902.3869931437</v>
      </c>
      <c r="I3" s="27">
        <f>'Proforma Assumptions'!I42*'Proforma Assumptions'!I36</f>
        <v>6705199.4586029379</v>
      </c>
    </row>
    <row r="4" spans="1:9" x14ac:dyDescent="0.2">
      <c r="B4" t="s">
        <v>48</v>
      </c>
      <c r="C4" s="38">
        <f>'Proforma Assumptions'!C4</f>
        <v>1631672</v>
      </c>
      <c r="D4" s="27">
        <f>D$3*'Proforma Assumptions'!$D4</f>
        <v>1729571.6125095491</v>
      </c>
      <c r="E4" s="27">
        <f>E$3*'Proforma Assumptions'!$D4</f>
        <v>1807402.3350724787</v>
      </c>
      <c r="F4" s="27">
        <f>F$3*'Proforma Assumptions'!$D4</f>
        <v>1861624.4051246529</v>
      </c>
      <c r="G4" s="27">
        <f>G$3*'Proforma Assumptions'!$D4</f>
        <v>1917473.1372783927</v>
      </c>
      <c r="H4" s="27">
        <f>H$3*'Proforma Assumptions'!$D4</f>
        <v>1974997.3313967444</v>
      </c>
      <c r="I4" s="27">
        <f>I$3*'Proforma Assumptions'!$D4</f>
        <v>2034247.2513386467</v>
      </c>
    </row>
    <row r="5" spans="1:9" x14ac:dyDescent="0.2">
      <c r="B5" t="s">
        <v>49</v>
      </c>
      <c r="C5" s="38">
        <f>'Proforma Assumptions'!C5</f>
        <v>45923</v>
      </c>
      <c r="D5" s="27">
        <f>D$3*'Proforma Assumptions'!$D5</f>
        <v>48678.360087858353</v>
      </c>
      <c r="E5" s="27">
        <f>E$3*'Proforma Assumptions'!$D5</f>
        <v>50868.88629181197</v>
      </c>
      <c r="F5" s="27">
        <f>F$3*'Proforma Assumptions'!$D5</f>
        <v>52394.952880566329</v>
      </c>
      <c r="G5" s="27">
        <f>G$3*'Proforma Assumptions'!$D5</f>
        <v>53966.801466983328</v>
      </c>
      <c r="H5" s="27">
        <f>H$3*'Proforma Assumptions'!$D5</f>
        <v>55585.805510992825</v>
      </c>
      <c r="I5" s="27">
        <f>I$3*'Proforma Assumptions'!$D5</f>
        <v>57253.379676322606</v>
      </c>
    </row>
    <row r="6" spans="1:9" ht="16" thickBot="1" x14ac:dyDescent="0.25">
      <c r="B6" s="16" t="s">
        <v>50</v>
      </c>
      <c r="C6" s="39">
        <f>'Proforma Assumptions'!C6</f>
        <v>20799</v>
      </c>
      <c r="D6" s="28">
        <f>D$3*'Proforma Assumptions'!$D6</f>
        <v>22046.930981585829</v>
      </c>
      <c r="E6" s="28">
        <f>E$3*'Proforma Assumptions'!$D6</f>
        <v>23039.042875757186</v>
      </c>
      <c r="F6" s="28">
        <f>F$3*'Proforma Assumptions'!$D6</f>
        <v>23730.214162029901</v>
      </c>
      <c r="G6" s="28">
        <f>G$3*'Proforma Assumptions'!$D6</f>
        <v>24442.120586890804</v>
      </c>
      <c r="H6" s="28">
        <f>H$3*'Proforma Assumptions'!$D6</f>
        <v>25175.384204497524</v>
      </c>
      <c r="I6" s="28">
        <f>I$3*'Proforma Assumptions'!$D6</f>
        <v>25930.645730632448</v>
      </c>
    </row>
    <row r="7" spans="1:9" ht="16" thickTop="1" x14ac:dyDescent="0.2">
      <c r="B7" t="s">
        <v>51</v>
      </c>
      <c r="C7" s="38">
        <f>'Proforma Assumptions'!C7</f>
        <v>7076642</v>
      </c>
      <c r="D7" s="27">
        <f>SUM(D3:D6)</f>
        <v>7501237.4515789934</v>
      </c>
      <c r="E7" s="27">
        <f t="shared" ref="E7:I7" si="1">SUM(E3:E6)</f>
        <v>7838793.1369000478</v>
      </c>
      <c r="F7" s="27">
        <f t="shared" si="1"/>
        <v>8073956.931007049</v>
      </c>
      <c r="G7" s="27">
        <f t="shared" si="1"/>
        <v>8316175.6389372619</v>
      </c>
      <c r="H7" s="27">
        <f t="shared" si="1"/>
        <v>8565660.9081053771</v>
      </c>
      <c r="I7" s="27">
        <f t="shared" si="1"/>
        <v>8822630.7353485413</v>
      </c>
    </row>
    <row r="8" spans="1:9" x14ac:dyDescent="0.2">
      <c r="A8" t="s">
        <v>52</v>
      </c>
      <c r="D8" s="14"/>
    </row>
    <row r="9" spans="1:9" x14ac:dyDescent="0.2">
      <c r="B9" t="s">
        <v>53</v>
      </c>
      <c r="C9" s="36">
        <f>'Proforma Assumptions'!C9</f>
        <v>1548420</v>
      </c>
      <c r="D9" s="27">
        <f>C9*(1+'Proforma Assumptions'!D$44)</f>
        <v>1594872.6</v>
      </c>
      <c r="E9" s="27">
        <f>D9*(1+'Proforma Assumptions'!E$44)</f>
        <v>1642718.7780000002</v>
      </c>
      <c r="F9" s="27">
        <f>E9*(1+'Proforma Assumptions'!F$44)</f>
        <v>1692000.3413400003</v>
      </c>
      <c r="G9" s="27">
        <f>F9*(1+'Proforma Assumptions'!G$44)</f>
        <v>1742760.3515802003</v>
      </c>
      <c r="H9" s="27">
        <f>G9*(1+'Proforma Assumptions'!H$44)</f>
        <v>1795043.1621276063</v>
      </c>
      <c r="I9" s="27">
        <f>H9*(1+'Proforma Assumptions'!I$44)</f>
        <v>1848894.4569914346</v>
      </c>
    </row>
    <row r="10" spans="1:9" x14ac:dyDescent="0.2">
      <c r="B10" t="s">
        <v>48</v>
      </c>
      <c r="C10" s="36">
        <f>'Proforma Assumptions'!C10</f>
        <v>1167637</v>
      </c>
      <c r="D10" s="27">
        <f>C10*(1+'Proforma Assumptions'!D$44)</f>
        <v>1202666.1100000001</v>
      </c>
      <c r="E10" s="27">
        <f>D10*(1+'Proforma Assumptions'!E$44)</f>
        <v>1238746.0933000001</v>
      </c>
      <c r="F10" s="27">
        <f>E10*(1+'Proforma Assumptions'!F$44)</f>
        <v>1275908.4760990001</v>
      </c>
      <c r="G10" s="27">
        <f>F10*(1+'Proforma Assumptions'!G$44)</f>
        <v>1314185.7303819701</v>
      </c>
      <c r="H10" s="27">
        <f>G10*(1+'Proforma Assumptions'!H$44)</f>
        <v>1353611.3022934292</v>
      </c>
      <c r="I10" s="27">
        <f>H10*(1+'Proforma Assumptions'!I$44)</f>
        <v>1394219.6413622322</v>
      </c>
    </row>
    <row r="11" spans="1:9" ht="16" thickBot="1" x14ac:dyDescent="0.25">
      <c r="B11" s="16" t="s">
        <v>49</v>
      </c>
      <c r="C11" s="37">
        <f>'Proforma Assumptions'!C11</f>
        <v>37257</v>
      </c>
      <c r="D11" s="28">
        <f>C11*(1+'Proforma Assumptions'!D$44)</f>
        <v>38374.71</v>
      </c>
      <c r="E11" s="28">
        <f>D11*(1+'Proforma Assumptions'!E$44)</f>
        <v>39525.951300000001</v>
      </c>
      <c r="F11" s="28">
        <f>E11*(1+'Proforma Assumptions'!F$44)</f>
        <v>40711.729839</v>
      </c>
      <c r="G11" s="28">
        <f>F11*(1+'Proforma Assumptions'!G$44)</f>
        <v>41933.081734170002</v>
      </c>
      <c r="H11" s="28">
        <f>G11*(1+'Proforma Assumptions'!H$44)</f>
        <v>43191.074186195103</v>
      </c>
      <c r="I11" s="28">
        <f>H11*(1+'Proforma Assumptions'!I$44)</f>
        <v>44486.806411780955</v>
      </c>
    </row>
    <row r="12" spans="1:9" ht="16" thickTop="1" x14ac:dyDescent="0.2">
      <c r="B12" t="s">
        <v>54</v>
      </c>
      <c r="C12" s="36">
        <f>'Proforma Assumptions'!C12</f>
        <v>2753314</v>
      </c>
      <c r="D12" s="27">
        <f>SUM(D9:D11)</f>
        <v>2835913.42</v>
      </c>
      <c r="E12" s="27">
        <f t="shared" ref="E12:I12" si="2">SUM(E9:E11)</f>
        <v>2920990.8226000001</v>
      </c>
      <c r="F12" s="27">
        <f t="shared" si="2"/>
        <v>3008620.547278</v>
      </c>
      <c r="G12" s="27">
        <f t="shared" si="2"/>
        <v>3098879.1636963403</v>
      </c>
      <c r="H12" s="27">
        <f t="shared" si="2"/>
        <v>3191845.5386072309</v>
      </c>
      <c r="I12" s="27">
        <f t="shared" si="2"/>
        <v>3287600.9047654476</v>
      </c>
    </row>
    <row r="13" spans="1:9" x14ac:dyDescent="0.2">
      <c r="B13" t="s">
        <v>55</v>
      </c>
      <c r="C13" s="36">
        <f>'Proforma Assumptions'!C13</f>
        <v>4323328</v>
      </c>
      <c r="D13" s="27">
        <f>D7-D12</f>
        <v>4665324.0315789934</v>
      </c>
      <c r="E13" s="27">
        <f t="shared" ref="E13:I13" si="3">E7-E12</f>
        <v>4917802.3143000472</v>
      </c>
      <c r="F13" s="27">
        <f t="shared" si="3"/>
        <v>5065336.383729049</v>
      </c>
      <c r="G13" s="27">
        <f t="shared" si="3"/>
        <v>5217296.4752409216</v>
      </c>
      <c r="H13" s="27">
        <f t="shared" si="3"/>
        <v>5373815.3694981467</v>
      </c>
      <c r="I13" s="27">
        <f t="shared" si="3"/>
        <v>5535029.8305830937</v>
      </c>
    </row>
    <row r="14" spans="1:9" x14ac:dyDescent="0.2">
      <c r="A14" t="s">
        <v>56</v>
      </c>
      <c r="D14" s="14"/>
    </row>
    <row r="15" spans="1:9" x14ac:dyDescent="0.2">
      <c r="B15" t="s">
        <v>57</v>
      </c>
      <c r="C15" s="36" cm="1">
        <f t="array" ref="C15:C22">'Proforma Assumptions'!C15:C22</f>
        <v>543749</v>
      </c>
      <c r="D15" s="40">
        <f>C15*(1+'Proforma Assumptions'!D$44)</f>
        <v>560061.47</v>
      </c>
      <c r="E15" s="40">
        <f>D15*(1+'Proforma Assumptions'!E$44)</f>
        <v>576863.31409999996</v>
      </c>
      <c r="F15" s="40">
        <f>E15*(1+'Proforma Assumptions'!F$44)</f>
        <v>594169.21352300001</v>
      </c>
      <c r="G15" s="40">
        <f>F15*(1+'Proforma Assumptions'!G$44)</f>
        <v>611994.28992869006</v>
      </c>
      <c r="H15" s="40">
        <f>G15*(1+'Proforma Assumptions'!H$44)</f>
        <v>630354.11862655077</v>
      </c>
      <c r="I15" s="40">
        <f>H15*(1+'Proforma Assumptions'!I$44)</f>
        <v>649264.74218534736</v>
      </c>
    </row>
    <row r="16" spans="1:9" x14ac:dyDescent="0.2">
      <c r="B16" t="s">
        <v>58</v>
      </c>
      <c r="C16" s="36">
        <v>43987</v>
      </c>
      <c r="D16" s="40">
        <f>C16*(1+'Proforma Assumptions'!D$44)</f>
        <v>45306.61</v>
      </c>
      <c r="E16" s="40">
        <f>D16*(1+'Proforma Assumptions'!E$44)</f>
        <v>46665.808300000004</v>
      </c>
      <c r="F16" s="40">
        <f>E16*(1+'Proforma Assumptions'!F$44)</f>
        <v>48065.782549000003</v>
      </c>
      <c r="G16" s="40">
        <f>F16*(1+'Proforma Assumptions'!G$44)</f>
        <v>49507.756025470007</v>
      </c>
      <c r="H16" s="40">
        <f>G16*(1+'Proforma Assumptions'!H$44)</f>
        <v>50992.988706234108</v>
      </c>
      <c r="I16" s="40">
        <f>H16*(1+'Proforma Assumptions'!I$44)</f>
        <v>52522.778367421131</v>
      </c>
    </row>
    <row r="17" spans="1:9" x14ac:dyDescent="0.2">
      <c r="B17" t="s">
        <v>59</v>
      </c>
      <c r="C17" s="36">
        <v>509861</v>
      </c>
      <c r="D17" s="40">
        <f>C17*(1+'Proforma Assumptions'!D$44)</f>
        <v>525156.82999999996</v>
      </c>
      <c r="E17" s="40">
        <f>D17*(1+'Proforma Assumptions'!E$44)</f>
        <v>540911.53489999997</v>
      </c>
      <c r="F17" s="40">
        <f>E17*(1+'Proforma Assumptions'!F$44)</f>
        <v>557138.880947</v>
      </c>
      <c r="G17" s="40">
        <f>F17*(1+'Proforma Assumptions'!G$44)</f>
        <v>573853.04737540998</v>
      </c>
      <c r="H17" s="40">
        <f>G17*(1+'Proforma Assumptions'!H$44)</f>
        <v>591068.63879667234</v>
      </c>
      <c r="I17" s="40">
        <f>H17*(1+'Proforma Assumptions'!I$44)</f>
        <v>608800.69796057255</v>
      </c>
    </row>
    <row r="18" spans="1:9" x14ac:dyDescent="0.2">
      <c r="B18" t="s">
        <v>60</v>
      </c>
      <c r="C18" s="36">
        <v>515653</v>
      </c>
      <c r="D18" s="40">
        <f>C18*(1+'Proforma Assumptions'!D$44)</f>
        <v>531122.59</v>
      </c>
      <c r="E18" s="40">
        <f>D18*(1+'Proforma Assumptions'!E$44)</f>
        <v>547056.26769999997</v>
      </c>
      <c r="F18" s="40">
        <f>E18*(1+'Proforma Assumptions'!F$44)</f>
        <v>563467.95573099994</v>
      </c>
      <c r="G18" s="40">
        <f>F18*(1+'Proforma Assumptions'!G$44)</f>
        <v>580371.99440292991</v>
      </c>
      <c r="H18" s="40">
        <f>G18*(1+'Proforma Assumptions'!H$44)</f>
        <v>597783.15423501784</v>
      </c>
      <c r="I18" s="40">
        <f>H18*(1+'Proforma Assumptions'!I$44)</f>
        <v>615716.64886206842</v>
      </c>
    </row>
    <row r="19" spans="1:9" x14ac:dyDescent="0.2">
      <c r="B19" t="s">
        <v>61</v>
      </c>
      <c r="C19" s="36">
        <v>319172</v>
      </c>
      <c r="D19" s="40">
        <f>C19*(1+'Proforma Assumptions'!D$44)</f>
        <v>328747.16000000003</v>
      </c>
      <c r="E19" s="40">
        <f>D19*(1+'Proforma Assumptions'!E$44)</f>
        <v>338609.57480000006</v>
      </c>
      <c r="F19" s="40">
        <f>E19*(1+'Proforma Assumptions'!F$44)</f>
        <v>348767.86204400007</v>
      </c>
      <c r="G19" s="40">
        <f>F19*(1+'Proforma Assumptions'!G$44)</f>
        <v>359230.8979053201</v>
      </c>
      <c r="H19" s="40">
        <f>G19*(1+'Proforma Assumptions'!H$44)</f>
        <v>370007.82484247972</v>
      </c>
      <c r="I19" s="40">
        <f>H19*(1+'Proforma Assumptions'!I$44)</f>
        <v>381108.05958775413</v>
      </c>
    </row>
    <row r="20" spans="1:9" ht="16" thickBot="1" x14ac:dyDescent="0.25">
      <c r="B20" s="16" t="s">
        <v>62</v>
      </c>
      <c r="C20" s="37">
        <v>277465</v>
      </c>
      <c r="D20" s="41">
        <f>C20*(1+'Proforma Assumptions'!D$44)</f>
        <v>285788.95</v>
      </c>
      <c r="E20" s="41">
        <f>D20*(1+'Proforma Assumptions'!E$44)</f>
        <v>294362.61850000004</v>
      </c>
      <c r="F20" s="41">
        <f>E20*(1+'Proforma Assumptions'!F$44)</f>
        <v>303193.49705500004</v>
      </c>
      <c r="G20" s="41">
        <f>F20*(1+'Proforma Assumptions'!G$44)</f>
        <v>312289.30196665006</v>
      </c>
      <c r="H20" s="41">
        <f>G20*(1+'Proforma Assumptions'!H$44)</f>
        <v>321657.98102564958</v>
      </c>
      <c r="I20" s="41">
        <f>H20*(1+'Proforma Assumptions'!I$44)</f>
        <v>331307.72045641911</v>
      </c>
    </row>
    <row r="21" spans="1:9" ht="16" thickTop="1" x14ac:dyDescent="0.2">
      <c r="B21" t="s">
        <v>54</v>
      </c>
      <c r="C21" s="36">
        <v>2209887</v>
      </c>
      <c r="D21" s="27">
        <f>SUM(D15:D20)</f>
        <v>2276183.6100000003</v>
      </c>
      <c r="E21" s="27">
        <f t="shared" ref="E21:I21" si="4">SUM(E15:E20)</f>
        <v>2344469.1183000002</v>
      </c>
      <c r="F21" s="27">
        <f t="shared" si="4"/>
        <v>2414803.1918490003</v>
      </c>
      <c r="G21" s="27">
        <f t="shared" si="4"/>
        <v>2487247.2876044698</v>
      </c>
      <c r="H21" s="27">
        <f t="shared" si="4"/>
        <v>2561864.7062326046</v>
      </c>
      <c r="I21" s="27">
        <f t="shared" si="4"/>
        <v>2638720.6474195831</v>
      </c>
    </row>
    <row r="22" spans="1:9" x14ac:dyDescent="0.2">
      <c r="B22" t="s">
        <v>63</v>
      </c>
      <c r="C22" s="36">
        <v>2113441</v>
      </c>
      <c r="D22" s="27">
        <f>D13-D21</f>
        <v>2389140.4215789931</v>
      </c>
      <c r="E22" s="27">
        <f t="shared" ref="E22:I22" si="5">E13-E21</f>
        <v>2573333.196000047</v>
      </c>
      <c r="F22" s="27">
        <f t="shared" si="5"/>
        <v>2650533.1918800487</v>
      </c>
      <c r="G22" s="27">
        <f t="shared" si="5"/>
        <v>2730049.1876364518</v>
      </c>
      <c r="H22" s="27">
        <f t="shared" si="5"/>
        <v>2811950.6632655421</v>
      </c>
      <c r="I22" s="27">
        <f t="shared" si="5"/>
        <v>2896309.1831635106</v>
      </c>
    </row>
    <row r="23" spans="1:9" x14ac:dyDescent="0.2">
      <c r="B23" t="s">
        <v>83</v>
      </c>
      <c r="C23" s="31">
        <v>0.03</v>
      </c>
      <c r="D23" s="27">
        <f>D7*$C23</f>
        <v>225037.12354736979</v>
      </c>
      <c r="E23" s="27">
        <f t="shared" ref="E23:I23" si="6">E7*$C23</f>
        <v>235163.79410700142</v>
      </c>
      <c r="F23" s="27">
        <f t="shared" si="6"/>
        <v>242218.70793021147</v>
      </c>
      <c r="G23" s="27">
        <f t="shared" si="6"/>
        <v>249485.26916811784</v>
      </c>
      <c r="H23" s="27">
        <f t="shared" si="6"/>
        <v>256969.8272431613</v>
      </c>
      <c r="I23" s="27">
        <f t="shared" si="6"/>
        <v>264678.92206045624</v>
      </c>
    </row>
    <row r="24" spans="1:9" x14ac:dyDescent="0.2">
      <c r="A24" t="s">
        <v>84</v>
      </c>
      <c r="D24" s="14"/>
    </row>
    <row r="25" spans="1:9" x14ac:dyDescent="0.2">
      <c r="B25" t="s">
        <v>66</v>
      </c>
      <c r="C25" s="38" cm="1">
        <f t="array" ref="C25:C28">'Proforma Assumptions'!C25:C28</f>
        <v>138189</v>
      </c>
      <c r="D25" s="27">
        <f>C25*(1+'Proforma Assumptions'!D$44)</f>
        <v>142334.67000000001</v>
      </c>
      <c r="E25" s="27">
        <f>D25*(1+'Proforma Assumptions'!E$44)</f>
        <v>146604.71010000003</v>
      </c>
      <c r="F25" s="27">
        <f>E25*(1+'Proforma Assumptions'!F$44)</f>
        <v>151002.85140300004</v>
      </c>
      <c r="G25" s="27">
        <f>F25*(1+'Proforma Assumptions'!G$44)</f>
        <v>155532.93694509004</v>
      </c>
      <c r="H25" s="27">
        <f>G25*(1+'Proforma Assumptions'!H$44)</f>
        <v>160198.92505344274</v>
      </c>
      <c r="I25" s="27">
        <f>H25*(1+'Proforma Assumptions'!I$44)</f>
        <v>165004.89280504602</v>
      </c>
    </row>
    <row r="26" spans="1:9" x14ac:dyDescent="0.2">
      <c r="B26" t="s">
        <v>67</v>
      </c>
      <c r="C26" s="38">
        <v>53827</v>
      </c>
      <c r="D26" s="27">
        <f>C26*(1+'Proforma Assumptions'!D$44)</f>
        <v>55441.810000000005</v>
      </c>
      <c r="E26" s="27">
        <f>D26*(1+'Proforma Assumptions'!E$44)</f>
        <v>57105.064300000005</v>
      </c>
      <c r="F26" s="27">
        <f>E26*(1+'Proforma Assumptions'!F$44)</f>
        <v>58818.216229000005</v>
      </c>
      <c r="G26" s="27">
        <f>F26*(1+'Proforma Assumptions'!G$44)</f>
        <v>60582.762715870005</v>
      </c>
      <c r="H26" s="27">
        <f>G26*(1+'Proforma Assumptions'!H$44)</f>
        <v>62400.245597346104</v>
      </c>
      <c r="I26" s="27">
        <f>H26*(1+'Proforma Assumptions'!I$44)</f>
        <v>64272.252965266489</v>
      </c>
    </row>
    <row r="27" spans="1:9" ht="16" thickBot="1" x14ac:dyDescent="0.25">
      <c r="B27" s="16" t="s">
        <v>68</v>
      </c>
      <c r="C27" s="39">
        <v>16718</v>
      </c>
      <c r="D27" s="28">
        <f>C27*(1+'Proforma Assumptions'!D$44)</f>
        <v>17219.54</v>
      </c>
      <c r="E27" s="28">
        <f>D27*(1+'Proforma Assumptions'!E$44)</f>
        <v>17736.126200000002</v>
      </c>
      <c r="F27" s="28">
        <f>E27*(1+'Proforma Assumptions'!F$44)</f>
        <v>18268.209986000002</v>
      </c>
      <c r="G27" s="28">
        <f>F27*(1+'Proforma Assumptions'!G$44)</f>
        <v>18816.256285580002</v>
      </c>
      <c r="H27" s="28">
        <f>G27*(1+'Proforma Assumptions'!H$44)</f>
        <v>19380.743974147405</v>
      </c>
      <c r="I27" s="28">
        <f>H27*(1+'Proforma Assumptions'!I$44)</f>
        <v>19962.166293371829</v>
      </c>
    </row>
    <row r="28" spans="1:9" ht="16" thickTop="1" x14ac:dyDescent="0.2">
      <c r="B28" t="s">
        <v>54</v>
      </c>
      <c r="C28" s="38">
        <v>208734</v>
      </c>
      <c r="D28" s="27">
        <f>SUM(D25:D27)</f>
        <v>214996.02000000002</v>
      </c>
      <c r="E28" s="27">
        <f t="shared" ref="E28:I28" si="7">SUM(E25:E27)</f>
        <v>221445.90060000002</v>
      </c>
      <c r="F28" s="27">
        <f t="shared" si="7"/>
        <v>228089.27761800005</v>
      </c>
      <c r="G28" s="27">
        <f t="shared" si="7"/>
        <v>234931.95594654005</v>
      </c>
      <c r="H28" s="27">
        <f t="shared" si="7"/>
        <v>241979.91462493624</v>
      </c>
      <c r="I28" s="27">
        <f t="shared" si="7"/>
        <v>249239.31206368434</v>
      </c>
    </row>
    <row r="29" spans="1:9" x14ac:dyDescent="0.2">
      <c r="B29" t="s">
        <v>69</v>
      </c>
      <c r="D29" s="27">
        <f>D22-D23-D28</f>
        <v>1949107.2780316235</v>
      </c>
      <c r="E29" s="27">
        <f t="shared" ref="E29:I29" si="8">E22-E23-E28</f>
        <v>2116723.5012930459</v>
      </c>
      <c r="F29" s="27">
        <f t="shared" si="8"/>
        <v>2180225.206331837</v>
      </c>
      <c r="G29" s="27">
        <f t="shared" si="8"/>
        <v>2245631.9625217938</v>
      </c>
      <c r="H29" s="27">
        <f t="shared" si="8"/>
        <v>2313000.9213974443</v>
      </c>
      <c r="I29" s="27">
        <f t="shared" si="8"/>
        <v>2382390.9490393703</v>
      </c>
    </row>
    <row r="30" spans="1:9" x14ac:dyDescent="0.2">
      <c r="B30" t="s">
        <v>85</v>
      </c>
      <c r="C30" s="31">
        <v>0.04</v>
      </c>
      <c r="D30" s="27">
        <f>$C30*D7</f>
        <v>300049.49806315976</v>
      </c>
      <c r="E30" s="27">
        <f t="shared" ref="E30:I30" si="9">$C30*E7</f>
        <v>313551.72547600191</v>
      </c>
      <c r="F30" s="27">
        <f t="shared" si="9"/>
        <v>322958.27724028198</v>
      </c>
      <c r="G30" s="27">
        <f t="shared" si="9"/>
        <v>332647.02555749047</v>
      </c>
      <c r="H30" s="27">
        <f t="shared" si="9"/>
        <v>342626.43632421509</v>
      </c>
      <c r="I30" s="27">
        <f t="shared" si="9"/>
        <v>352905.22941394168</v>
      </c>
    </row>
    <row r="31" spans="1:9" x14ac:dyDescent="0.2">
      <c r="A31" t="s">
        <v>82</v>
      </c>
      <c r="D31" s="27">
        <f>D29-D30</f>
        <v>1649057.7799684638</v>
      </c>
      <c r="E31" s="27">
        <f t="shared" ref="E31:I31" si="10">E29-E30</f>
        <v>1803171.7758170441</v>
      </c>
      <c r="F31" s="27">
        <f t="shared" si="10"/>
        <v>1857266.9290915551</v>
      </c>
      <c r="G31" s="27">
        <f t="shared" si="10"/>
        <v>1912984.9369643033</v>
      </c>
      <c r="H31" s="27">
        <f t="shared" si="10"/>
        <v>1970374.4850732293</v>
      </c>
      <c r="I31" s="27">
        <f t="shared" si="10"/>
        <v>2029485.7196254286</v>
      </c>
    </row>
    <row r="33" spans="1:8" x14ac:dyDescent="0.2">
      <c r="A33" t="s">
        <v>91</v>
      </c>
      <c r="B33" s="31">
        <v>6.5000000000000002E-2</v>
      </c>
      <c r="H33" s="27">
        <f>I31/B33</f>
        <v>31222857.225006592</v>
      </c>
    </row>
    <row r="34" spans="1:8" ht="16" thickBot="1" x14ac:dyDescent="0.25">
      <c r="A34" s="16" t="s">
        <v>92</v>
      </c>
      <c r="B34" s="32">
        <v>0.02</v>
      </c>
      <c r="C34" s="16"/>
      <c r="D34" s="16"/>
      <c r="E34" s="16"/>
      <c r="F34" s="16"/>
      <c r="G34" s="16"/>
      <c r="H34" s="28">
        <f>H33*B34</f>
        <v>624457.14450013184</v>
      </c>
    </row>
    <row r="35" spans="1:8" ht="16" thickTop="1" x14ac:dyDescent="0.2">
      <c r="A35" t="s">
        <v>81</v>
      </c>
      <c r="H35" s="27">
        <f>H33-H34</f>
        <v>30598400.080506459</v>
      </c>
    </row>
    <row r="37" spans="1:8" x14ac:dyDescent="0.2">
      <c r="A37" t="s">
        <v>86</v>
      </c>
      <c r="B37" s="31">
        <v>6.25E-2</v>
      </c>
      <c r="C37" s="29">
        <f>D31/B37</f>
        <v>26384924.479495421</v>
      </c>
    </row>
    <row r="38" spans="1:8" x14ac:dyDescent="0.2">
      <c r="C38" s="25"/>
    </row>
    <row r="39" spans="1:8" x14ac:dyDescent="0.2">
      <c r="A39" t="s">
        <v>87</v>
      </c>
      <c r="C39" s="25"/>
      <c r="D39" s="29">
        <f>D31</f>
        <v>1649057.7799684638</v>
      </c>
      <c r="E39" s="29">
        <f t="shared" ref="E39:H39" si="11">E31</f>
        <v>1803171.7758170441</v>
      </c>
      <c r="F39" s="29">
        <f t="shared" si="11"/>
        <v>1857266.9290915551</v>
      </c>
      <c r="G39" s="29">
        <f t="shared" si="11"/>
        <v>1912984.9369643033</v>
      </c>
      <c r="H39" s="29">
        <f t="shared" si="11"/>
        <v>1970374.4850732293</v>
      </c>
    </row>
    <row r="40" spans="1:8" x14ac:dyDescent="0.2">
      <c r="A40" t="s">
        <v>88</v>
      </c>
      <c r="B40" s="31">
        <v>9.5000000000000001E-2</v>
      </c>
      <c r="C40" s="29">
        <f>-PV(B40,5*12,C37*12,-H35,0)</f>
        <v>3318313610.5470467</v>
      </c>
      <c r="D40" s="25"/>
      <c r="E40" s="25"/>
      <c r="F40" s="25"/>
      <c r="G40" s="25"/>
      <c r="H40" s="25"/>
    </row>
    <row r="41" spans="1:8" x14ac:dyDescent="0.2">
      <c r="B41" s="30"/>
      <c r="D41" s="22"/>
      <c r="E41" s="22"/>
      <c r="F41" s="22"/>
      <c r="G41" s="22"/>
      <c r="H41" s="22"/>
    </row>
    <row r="42" spans="1:8" x14ac:dyDescent="0.2">
      <c r="A42" t="s">
        <v>89</v>
      </c>
      <c r="B42" s="30"/>
      <c r="C42" s="29">
        <f>-C37</f>
        <v>-26384924.479495421</v>
      </c>
      <c r="D42" s="29">
        <f>D39</f>
        <v>1649057.7799684638</v>
      </c>
      <c r="E42" s="29">
        <f t="shared" ref="E42:G42" si="12">E39</f>
        <v>1803171.7758170441</v>
      </c>
      <c r="F42" s="29">
        <f t="shared" si="12"/>
        <v>1857266.9290915551</v>
      </c>
      <c r="G42" s="29">
        <f t="shared" si="12"/>
        <v>1912984.9369643033</v>
      </c>
      <c r="H42" s="29">
        <f>H39+H35</f>
        <v>32568774.56557969</v>
      </c>
    </row>
    <row r="43" spans="1:8" x14ac:dyDescent="0.2">
      <c r="A43" t="s">
        <v>90</v>
      </c>
      <c r="B43" s="35">
        <f>IRR(C42:H42)</f>
        <v>9.5548029403448975E-2</v>
      </c>
      <c r="D43" s="26"/>
    </row>
    <row r="44" spans="1:8" x14ac:dyDescent="0.2">
      <c r="B4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0827-C86D-E340-9B96-0880924B846A}">
  <sheetPr>
    <tabColor rgb="FF7030A0"/>
  </sheetPr>
  <dimension ref="A1:M21"/>
  <sheetViews>
    <sheetView tabSelected="1" topLeftCell="A3" zoomScale="78" zoomScaleNormal="78" workbookViewId="0">
      <selection activeCell="E16" sqref="E16"/>
    </sheetView>
  </sheetViews>
  <sheetFormatPr baseColWidth="10" defaultRowHeight="15" x14ac:dyDescent="0.2"/>
  <cols>
    <col min="2" max="2" width="13.1640625" bestFit="1" customWidth="1"/>
    <col min="6" max="6" width="16" customWidth="1"/>
    <col min="11" max="11" width="13.1640625" bestFit="1" customWidth="1"/>
  </cols>
  <sheetData>
    <row r="1" spans="1:13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32" x14ac:dyDescent="0.2">
      <c r="A3" s="42"/>
      <c r="B3" s="47" t="s">
        <v>94</v>
      </c>
      <c r="C3" s="47" t="s">
        <v>95</v>
      </c>
      <c r="D3" s="47" t="s">
        <v>96</v>
      </c>
      <c r="E3" s="42"/>
      <c r="F3" s="42"/>
      <c r="G3" s="42"/>
      <c r="H3" s="42"/>
      <c r="I3" s="42"/>
    </row>
    <row r="4" spans="1:13" x14ac:dyDescent="0.2">
      <c r="A4" s="42"/>
      <c r="B4" s="48">
        <f>Proforma!H33</f>
        <v>31222857.225006592</v>
      </c>
      <c r="C4" s="49">
        <v>0.06</v>
      </c>
      <c r="D4" s="43">
        <f>Proforma!B43</f>
        <v>9.5548029403448975E-2</v>
      </c>
      <c r="E4" s="42"/>
      <c r="F4" s="42"/>
      <c r="G4" s="42"/>
      <c r="H4" s="42"/>
      <c r="I4" s="42"/>
    </row>
    <row r="5" spans="1:13" x14ac:dyDescent="0.2">
      <c r="A5" s="42"/>
      <c r="B5" s="42"/>
      <c r="C5" s="42"/>
      <c r="D5" s="42"/>
      <c r="E5" s="42"/>
      <c r="F5" s="42"/>
      <c r="G5" s="42"/>
      <c r="H5" s="42"/>
      <c r="I5" s="42"/>
    </row>
    <row r="6" spans="1:13" ht="48" x14ac:dyDescent="0.2">
      <c r="A6" s="46" t="s">
        <v>103</v>
      </c>
      <c r="B6" s="46" t="s">
        <v>97</v>
      </c>
      <c r="C6" s="46" t="s">
        <v>98</v>
      </c>
      <c r="D6" s="46" t="s">
        <v>96</v>
      </c>
      <c r="E6" s="46" t="s">
        <v>102</v>
      </c>
      <c r="F6" s="46" t="s">
        <v>99</v>
      </c>
      <c r="G6" s="46" t="s">
        <v>100</v>
      </c>
      <c r="H6" s="46" t="s">
        <v>101</v>
      </c>
      <c r="I6" s="42"/>
    </row>
    <row r="7" spans="1:13" x14ac:dyDescent="0.2">
      <c r="A7" s="43">
        <v>0.03</v>
      </c>
      <c r="B7" s="48">
        <v>38228208.312954843</v>
      </c>
      <c r="C7" s="50">
        <v>0.4</v>
      </c>
      <c r="D7" s="49">
        <v>9.5882435449860193E-2</v>
      </c>
      <c r="E7" s="43">
        <f>C7*D7</f>
        <v>3.8352974179944078E-2</v>
      </c>
      <c r="F7" s="49">
        <f t="shared" ref="F7:F13" si="0">D7-$E$15</f>
        <v>1.9837167010776605E-2</v>
      </c>
      <c r="G7" s="43">
        <f>F7^2</f>
        <v>3.9351319501344361E-4</v>
      </c>
      <c r="H7" s="43">
        <f>G7*C7</f>
        <v>1.5740527800537746E-4</v>
      </c>
      <c r="I7" s="43"/>
    </row>
    <row r="8" spans="1:13" x14ac:dyDescent="0.2">
      <c r="A8" s="43">
        <v>3.5000000000000003E-2</v>
      </c>
      <c r="B8" s="48">
        <v>35728372.422361679</v>
      </c>
      <c r="C8" s="50">
        <v>0.25</v>
      </c>
      <c r="D8" s="43">
        <v>8.4412827622926567E-2</v>
      </c>
      <c r="E8" s="43">
        <f t="shared" ref="E8:E13" si="1">C8*D8</f>
        <v>2.1103206905731642E-2</v>
      </c>
      <c r="F8" s="49">
        <f t="shared" si="0"/>
        <v>8.3675591838429791E-3</v>
      </c>
      <c r="G8" s="43">
        <f t="shared" ref="G8:G13" si="2">F8^2</f>
        <v>7.001604669511498E-5</v>
      </c>
      <c r="H8" s="43">
        <f t="shared" ref="H8:H13" si="3">G8*C8</f>
        <v>1.7504011673778745E-5</v>
      </c>
      <c r="I8" s="43"/>
    </row>
    <row r="9" spans="1:13" x14ac:dyDescent="0.2">
      <c r="A9" s="43">
        <v>0.04</v>
      </c>
      <c r="B9" s="48">
        <v>33167419.218616351</v>
      </c>
      <c r="C9" s="50">
        <v>0.1</v>
      </c>
      <c r="D9" s="43">
        <v>7.1794898395654005E-2</v>
      </c>
      <c r="E9" s="43">
        <f t="shared" si="1"/>
        <v>7.1794898395654005E-3</v>
      </c>
      <c r="F9" s="49">
        <f t="shared" si="0"/>
        <v>-4.2503700434295827E-3</v>
      </c>
      <c r="G9" s="43">
        <f t="shared" si="2"/>
        <v>1.8065645506083594E-5</v>
      </c>
      <c r="H9" s="43">
        <f t="shared" si="3"/>
        <v>1.8065645506083595E-6</v>
      </c>
      <c r="I9" s="43"/>
    </row>
    <row r="10" spans="1:13" x14ac:dyDescent="0.2">
      <c r="A10" s="43">
        <v>4.4999999999999998E-2</v>
      </c>
      <c r="B10" s="48">
        <v>30544159.119139444</v>
      </c>
      <c r="C10" s="50">
        <v>0.1</v>
      </c>
      <c r="D10" s="43">
        <v>5.7843674389321365E-2</v>
      </c>
      <c r="E10" s="43">
        <f t="shared" si="1"/>
        <v>5.7843674389321366E-3</v>
      </c>
      <c r="F10" s="49">
        <f t="shared" si="0"/>
        <v>-1.8201594049762224E-2</v>
      </c>
      <c r="G10" s="43">
        <f t="shared" si="2"/>
        <v>3.3129802595233956E-4</v>
      </c>
      <c r="H10" s="43">
        <f t="shared" si="3"/>
        <v>3.312980259523396E-5</v>
      </c>
      <c r="I10" s="43"/>
    </row>
    <row r="11" spans="1:13" x14ac:dyDescent="0.2">
      <c r="A11" s="43">
        <v>0.05</v>
      </c>
      <c r="B11" s="48">
        <v>27857385.259749159</v>
      </c>
      <c r="C11" s="50">
        <v>0.05</v>
      </c>
      <c r="D11" s="43">
        <v>4.2323977366431502E-2</v>
      </c>
      <c r="E11" s="43">
        <f t="shared" si="1"/>
        <v>2.1161988683215754E-3</v>
      </c>
      <c r="F11" s="49">
        <f t="shared" si="0"/>
        <v>-3.3721291072652086E-2</v>
      </c>
      <c r="G11" s="43">
        <f t="shared" si="2"/>
        <v>1.1371254716065252E-3</v>
      </c>
      <c r="H11" s="43">
        <f t="shared" si="3"/>
        <v>5.6856273580326266E-5</v>
      </c>
      <c r="I11" s="43"/>
    </row>
    <row r="12" spans="1:13" x14ac:dyDescent="0.2">
      <c r="A12" s="43">
        <v>5.5E-2</v>
      </c>
      <c r="B12" s="48">
        <v>25105873.328094821</v>
      </c>
      <c r="C12" s="50">
        <v>0.05</v>
      </c>
      <c r="D12" s="43">
        <v>2.4929708515407878E-2</v>
      </c>
      <c r="E12" s="43">
        <f t="shared" si="1"/>
        <v>1.2464854257703941E-3</v>
      </c>
      <c r="F12" s="49">
        <f t="shared" si="0"/>
        <v>-5.111555992367571E-2</v>
      </c>
      <c r="G12" s="43">
        <f t="shared" si="2"/>
        <v>2.6128004663108825E-3</v>
      </c>
      <c r="H12" s="43">
        <f t="shared" si="3"/>
        <v>1.3064002331554414E-4</v>
      </c>
      <c r="I12" s="43"/>
    </row>
    <row r="13" spans="1:13" x14ac:dyDescent="0.2">
      <c r="A13" s="43">
        <v>0.06</v>
      </c>
      <c r="B13" s="45">
        <v>22288381.396289475</v>
      </c>
      <c r="C13" s="50">
        <v>0.05</v>
      </c>
      <c r="D13" s="44">
        <v>5.2509156163671467E-3</v>
      </c>
      <c r="E13" s="43">
        <f t="shared" si="1"/>
        <v>2.6254578081835733E-4</v>
      </c>
      <c r="F13" s="49">
        <f t="shared" si="0"/>
        <v>-7.0794352822716441E-2</v>
      </c>
      <c r="G13" s="43">
        <f t="shared" si="2"/>
        <v>5.0118403915872592E-3</v>
      </c>
      <c r="H13" s="43">
        <f t="shared" si="3"/>
        <v>2.5059201957936298E-4</v>
      </c>
      <c r="I13" s="43"/>
    </row>
    <row r="14" spans="1:13" x14ac:dyDescent="0.2">
      <c r="A14" s="43"/>
      <c r="B14" s="43"/>
      <c r="C14" s="50"/>
      <c r="D14" s="42"/>
      <c r="E14" s="42"/>
      <c r="F14" s="42"/>
      <c r="G14" s="42"/>
      <c r="H14" s="42"/>
      <c r="I14" s="42"/>
    </row>
    <row r="15" spans="1:13" x14ac:dyDescent="0.2">
      <c r="A15" s="43"/>
      <c r="B15" s="43"/>
      <c r="C15" s="42"/>
      <c r="D15" s="42" t="s">
        <v>104</v>
      </c>
      <c r="E15" s="52">
        <f>SUM(E7:E13)</f>
        <v>7.6045268439083588E-2</v>
      </c>
      <c r="F15" s="42"/>
      <c r="G15" s="42" t="s">
        <v>105</v>
      </c>
      <c r="H15" s="43">
        <f>SUM(H7:H13)</f>
        <v>6.4793397330023192E-4</v>
      </c>
      <c r="I15" s="42" t="s">
        <v>108</v>
      </c>
    </row>
    <row r="16" spans="1:13" x14ac:dyDescent="0.2">
      <c r="A16" s="42"/>
      <c r="B16" s="43"/>
      <c r="C16" s="42"/>
      <c r="D16" s="42"/>
      <c r="E16" s="42"/>
      <c r="F16" s="42"/>
      <c r="G16" s="42" t="s">
        <v>106</v>
      </c>
      <c r="H16" s="52">
        <f>SQRT(H15)</f>
        <v>2.5454547202812938E-2</v>
      </c>
      <c r="I16" s="42"/>
    </row>
    <row r="17" spans="1:13" x14ac:dyDescent="0.2">
      <c r="A17" s="42"/>
      <c r="B17" s="42"/>
      <c r="C17" s="42"/>
      <c r="D17" s="42"/>
      <c r="E17" s="42"/>
      <c r="F17" s="42"/>
      <c r="G17" s="42"/>
      <c r="H17" s="42"/>
      <c r="I17" s="42"/>
    </row>
    <row r="18" spans="1:13" x14ac:dyDescent="0.2">
      <c r="A18" s="42"/>
      <c r="B18" s="42"/>
      <c r="C18" s="42"/>
      <c r="D18" s="42"/>
      <c r="E18" s="42"/>
      <c r="F18" s="42"/>
      <c r="G18" s="42" t="s">
        <v>107</v>
      </c>
      <c r="H18" s="51">
        <f>H16/E15</f>
        <v>0.33472887564600312</v>
      </c>
      <c r="I18" s="42"/>
    </row>
    <row r="19" spans="1:13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3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H17"/>
  <sheetViews>
    <sheetView zoomScaleNormal="100" workbookViewId="0">
      <selection activeCell="B9" sqref="B9"/>
    </sheetView>
  </sheetViews>
  <sheetFormatPr baseColWidth="10" defaultColWidth="8.83203125" defaultRowHeight="15" x14ac:dyDescent="0.2"/>
  <cols>
    <col min="1" max="1" width="18.6640625" style="4" customWidth="1"/>
    <col min="2" max="8" width="15.83203125" style="6" customWidth="1"/>
    <col min="9" max="9" width="21.5" style="6" customWidth="1"/>
    <col min="10" max="13" width="23.1640625" style="6" customWidth="1"/>
    <col min="14" max="16384" width="8.83203125" style="6"/>
  </cols>
  <sheetData>
    <row r="1" spans="1:8" s="3" customFormat="1" ht="47.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4.5" customHeight="1" x14ac:dyDescent="0.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ht="15" customHeight="1" x14ac:dyDescent="0.2">
      <c r="A3" s="4" t="s">
        <v>16</v>
      </c>
      <c r="B3" s="5">
        <v>1985</v>
      </c>
      <c r="C3" s="5">
        <v>1977</v>
      </c>
      <c r="D3" s="5">
        <v>1984</v>
      </c>
      <c r="E3" s="5">
        <v>1998</v>
      </c>
      <c r="F3" s="5">
        <v>1999</v>
      </c>
      <c r="G3" s="5">
        <v>2001</v>
      </c>
      <c r="H3" s="5">
        <v>2012</v>
      </c>
    </row>
    <row r="4" spans="1:8" ht="15" customHeight="1" x14ac:dyDescent="0.2">
      <c r="A4" s="4" t="s">
        <v>17</v>
      </c>
      <c r="B4" s="5" t="s">
        <v>18</v>
      </c>
      <c r="C4" s="5" t="s">
        <v>19</v>
      </c>
      <c r="D4" s="5" t="s">
        <v>18</v>
      </c>
      <c r="E4" s="5" t="s">
        <v>18</v>
      </c>
      <c r="F4" s="5" t="s">
        <v>20</v>
      </c>
      <c r="G4" s="5" t="s">
        <v>20</v>
      </c>
      <c r="H4" s="5" t="s">
        <v>21</v>
      </c>
    </row>
    <row r="5" spans="1:8" ht="15" customHeight="1" x14ac:dyDescent="0.2">
      <c r="A5" s="4" t="s">
        <v>22</v>
      </c>
      <c r="B5" s="5">
        <v>186</v>
      </c>
      <c r="C5" s="5">
        <v>235</v>
      </c>
      <c r="D5" s="5">
        <v>137</v>
      </c>
      <c r="E5" s="5">
        <v>106</v>
      </c>
      <c r="F5" s="5">
        <v>94</v>
      </c>
      <c r="G5" s="5">
        <v>164</v>
      </c>
      <c r="H5" s="5">
        <v>180</v>
      </c>
    </row>
    <row r="6" spans="1:8" ht="30.5" customHeight="1" x14ac:dyDescent="0.2">
      <c r="A6" s="4" t="s">
        <v>23</v>
      </c>
      <c r="B6" s="5" t="s">
        <v>24</v>
      </c>
      <c r="C6" s="5" t="s">
        <v>25</v>
      </c>
      <c r="D6" s="5" t="s">
        <v>26</v>
      </c>
      <c r="E6" s="5" t="s">
        <v>25</v>
      </c>
      <c r="F6" s="5" t="s">
        <v>25</v>
      </c>
      <c r="G6" s="5" t="s">
        <v>25</v>
      </c>
      <c r="H6" s="5" t="s">
        <v>25</v>
      </c>
    </row>
    <row r="7" spans="1:8" ht="15" customHeight="1" x14ac:dyDescent="0.2">
      <c r="A7" s="4" t="s">
        <v>27</v>
      </c>
      <c r="B7" s="7">
        <v>8000</v>
      </c>
      <c r="C7" s="7">
        <v>12000</v>
      </c>
      <c r="D7" s="7">
        <v>5000</v>
      </c>
      <c r="E7" s="7" t="s">
        <v>28</v>
      </c>
      <c r="F7" s="7" t="s">
        <v>28</v>
      </c>
      <c r="G7" s="7">
        <v>2300</v>
      </c>
      <c r="H7" s="7">
        <v>3000</v>
      </c>
    </row>
    <row r="8" spans="1:8" ht="15" customHeight="1" x14ac:dyDescent="0.2">
      <c r="A8" s="4" t="s">
        <v>29</v>
      </c>
      <c r="B8" s="7">
        <v>5200</v>
      </c>
      <c r="C8" s="7">
        <v>8791</v>
      </c>
      <c r="D8" s="7">
        <v>2948</v>
      </c>
      <c r="E8" s="7" t="s">
        <v>28</v>
      </c>
      <c r="F8" s="7" t="s">
        <v>28</v>
      </c>
      <c r="G8" s="7">
        <v>1144</v>
      </c>
      <c r="H8" s="7">
        <v>2184</v>
      </c>
    </row>
    <row r="9" spans="1:8" ht="30" customHeight="1" x14ac:dyDescent="0.2">
      <c r="A9" s="4" t="s">
        <v>30</v>
      </c>
      <c r="B9" s="8" t="s">
        <v>31</v>
      </c>
      <c r="C9" s="8" t="s">
        <v>31</v>
      </c>
      <c r="D9" s="8" t="s">
        <v>31</v>
      </c>
      <c r="E9" s="8" t="s">
        <v>31</v>
      </c>
      <c r="F9" s="8" t="s">
        <v>31</v>
      </c>
      <c r="G9" s="8" t="s">
        <v>31</v>
      </c>
      <c r="H9" s="8" t="s">
        <v>31</v>
      </c>
    </row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ht="15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A2"/>
  <sheetViews>
    <sheetView zoomScaleNormal="100" workbookViewId="0">
      <selection activeCell="C3" sqref="C3"/>
    </sheetView>
  </sheetViews>
  <sheetFormatPr baseColWidth="10" defaultColWidth="8.83203125" defaultRowHeight="15" x14ac:dyDescent="0.2"/>
  <cols>
    <col min="1" max="1" width="96.1640625" customWidth="1"/>
    <col min="2" max="13" width="118.5" customWidth="1"/>
  </cols>
  <sheetData>
    <row r="1" spans="1:1" ht="214.75" customHeight="1" x14ac:dyDescent="0.2"/>
    <row r="2" spans="1:1" x14ac:dyDescent="0.2">
      <c r="A2" t="s">
        <v>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H17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8.33203125" customWidth="1"/>
    <col min="2" max="7" width="11.5" customWidth="1"/>
    <col min="8" max="8" width="14.6640625" customWidth="1"/>
  </cols>
  <sheetData>
    <row r="1" spans="1:8" s="9" customFormat="1" x14ac:dyDescent="0.2">
      <c r="A1" s="9" t="s">
        <v>33</v>
      </c>
      <c r="B1" s="10">
        <v>2012</v>
      </c>
      <c r="C1" s="10">
        <f>B1+1</f>
        <v>2013</v>
      </c>
      <c r="D1" s="10">
        <f t="shared" ref="D1:G1" si="0">C1+1</f>
        <v>2014</v>
      </c>
      <c r="E1" s="10">
        <f t="shared" si="0"/>
        <v>2015</v>
      </c>
      <c r="F1" s="10">
        <f t="shared" si="0"/>
        <v>2016</v>
      </c>
      <c r="G1" s="10">
        <f t="shared" si="0"/>
        <v>2017</v>
      </c>
      <c r="H1" s="10" t="s">
        <v>34</v>
      </c>
    </row>
    <row r="3" spans="1:8" x14ac:dyDescent="0.2">
      <c r="A3" t="s">
        <v>35</v>
      </c>
      <c r="B3" s="11">
        <v>0.64400000000000002</v>
      </c>
      <c r="C3" s="11">
        <v>0.64900000000000002</v>
      </c>
      <c r="D3" s="11">
        <v>0.66600000000000004</v>
      </c>
      <c r="E3" s="11">
        <v>0.70899999999999996</v>
      </c>
      <c r="F3" s="11">
        <v>0.56899999999999995</v>
      </c>
      <c r="G3" s="11">
        <v>0.68200000000000005</v>
      </c>
      <c r="H3" s="11">
        <v>0.70299999999999996</v>
      </c>
    </row>
    <row r="4" spans="1:8" x14ac:dyDescent="0.2">
      <c r="A4" t="s">
        <v>36</v>
      </c>
      <c r="B4" s="11">
        <v>0.58199999999999996</v>
      </c>
      <c r="C4" s="11">
        <v>0.66900000000000004</v>
      </c>
      <c r="D4" s="11">
        <v>0.71499999999999997</v>
      </c>
      <c r="E4" s="11">
        <v>0.71699999999999997</v>
      </c>
      <c r="F4" s="11">
        <v>0.70799999999999996</v>
      </c>
      <c r="G4" s="11">
        <v>0.69199999999999995</v>
      </c>
      <c r="H4" s="11">
        <v>0.70599999999999996</v>
      </c>
    </row>
    <row r="5" spans="1:8" x14ac:dyDescent="0.2">
      <c r="A5" t="s">
        <v>37</v>
      </c>
      <c r="B5" s="11">
        <f>B3/B4</f>
        <v>1.1065292096219932</v>
      </c>
      <c r="C5" s="11">
        <f t="shared" ref="C5:H5" si="1">C3/C4</f>
        <v>0.97010463378176381</v>
      </c>
      <c r="D5" s="11">
        <f t="shared" si="1"/>
        <v>0.93146853146853159</v>
      </c>
      <c r="E5" s="11">
        <f t="shared" si="1"/>
        <v>0.98884239888423986</v>
      </c>
      <c r="F5" s="11">
        <f t="shared" si="1"/>
        <v>0.8036723163841808</v>
      </c>
      <c r="G5" s="11">
        <f t="shared" si="1"/>
        <v>0.98554913294797708</v>
      </c>
      <c r="H5" s="11">
        <f t="shared" si="1"/>
        <v>0.99575070821529743</v>
      </c>
    </row>
    <row r="7" spans="1:8" x14ac:dyDescent="0.2">
      <c r="A7" t="s">
        <v>38</v>
      </c>
      <c r="B7" s="12">
        <v>98.29</v>
      </c>
      <c r="C7" s="12">
        <v>103.37</v>
      </c>
      <c r="D7" s="12">
        <v>105.44</v>
      </c>
      <c r="E7" s="12">
        <v>107.61</v>
      </c>
      <c r="F7" s="12">
        <v>113.41</v>
      </c>
      <c r="G7" s="12">
        <v>112.8</v>
      </c>
      <c r="H7" s="12">
        <v>112.56</v>
      </c>
    </row>
    <row r="8" spans="1:8" x14ac:dyDescent="0.2">
      <c r="A8" t="s">
        <v>39</v>
      </c>
      <c r="B8" s="12">
        <v>89.31</v>
      </c>
      <c r="C8" s="12">
        <v>92.8</v>
      </c>
      <c r="D8" s="12">
        <v>99.67</v>
      </c>
      <c r="E8" s="12">
        <v>108.36</v>
      </c>
      <c r="F8" s="12">
        <v>113.69</v>
      </c>
      <c r="G8" s="12">
        <v>115.79</v>
      </c>
      <c r="H8" s="12">
        <v>115.34</v>
      </c>
    </row>
    <row r="9" spans="1:8" x14ac:dyDescent="0.2">
      <c r="A9" t="s">
        <v>40</v>
      </c>
      <c r="B9" s="11">
        <f>B7/B8</f>
        <v>1.1005486507669915</v>
      </c>
      <c r="C9" s="11">
        <f t="shared" ref="C9:H9" si="2">C7/C8</f>
        <v>1.1139008620689657</v>
      </c>
      <c r="D9" s="11">
        <f t="shared" si="2"/>
        <v>1.0578910404334303</v>
      </c>
      <c r="E9" s="11">
        <f t="shared" si="2"/>
        <v>0.99307862679955705</v>
      </c>
      <c r="F9" s="11">
        <f t="shared" si="2"/>
        <v>0.99753716245931923</v>
      </c>
      <c r="G9" s="11">
        <f t="shared" si="2"/>
        <v>0.97417739010277216</v>
      </c>
      <c r="H9" s="11">
        <f t="shared" si="2"/>
        <v>0.9758973469741633</v>
      </c>
    </row>
    <row r="11" spans="1:8" x14ac:dyDescent="0.2">
      <c r="A11" t="s">
        <v>41</v>
      </c>
      <c r="B11" s="12">
        <v>63.31</v>
      </c>
      <c r="C11" s="12">
        <v>67.06</v>
      </c>
      <c r="D11" s="12">
        <v>70.22</v>
      </c>
      <c r="E11" s="12">
        <v>76.239999999999995</v>
      </c>
      <c r="F11" s="12">
        <v>64.52</v>
      </c>
      <c r="G11" s="12">
        <v>76.900000000000006</v>
      </c>
      <c r="H11" s="12">
        <v>79.09</v>
      </c>
    </row>
    <row r="12" spans="1:8" x14ac:dyDescent="0.2">
      <c r="A12" t="s">
        <v>42</v>
      </c>
      <c r="B12" s="12">
        <v>51.95</v>
      </c>
      <c r="C12" s="12">
        <v>62.06</v>
      </c>
      <c r="D12" s="12">
        <v>71.3</v>
      </c>
      <c r="E12" s="12">
        <v>77.67</v>
      </c>
      <c r="F12" s="12">
        <v>80.459999999999994</v>
      </c>
      <c r="G12" s="12">
        <v>80.12</v>
      </c>
      <c r="H12" s="12">
        <v>81.39</v>
      </c>
    </row>
    <row r="13" spans="1:8" x14ac:dyDescent="0.2">
      <c r="A13" t="s">
        <v>43</v>
      </c>
      <c r="B13" s="11">
        <f>B11/B12</f>
        <v>1.2186717998075072</v>
      </c>
      <c r="C13" s="11">
        <f t="shared" ref="C13:H13" si="3">C11/C12</f>
        <v>1.0805671930389946</v>
      </c>
      <c r="D13" s="11">
        <f t="shared" si="3"/>
        <v>0.98485273492286118</v>
      </c>
      <c r="E13" s="11">
        <f t="shared" si="3"/>
        <v>0.98158877301403369</v>
      </c>
      <c r="F13" s="11">
        <f t="shared" si="3"/>
        <v>0.80188913745960733</v>
      </c>
      <c r="G13" s="11">
        <f t="shared" si="3"/>
        <v>0.95981028457314033</v>
      </c>
      <c r="H13" s="11">
        <f t="shared" si="3"/>
        <v>0.97174100012286524</v>
      </c>
    </row>
    <row r="16" spans="1:8" x14ac:dyDescent="0.2">
      <c r="C16" s="33">
        <f>C11/B11-1</f>
        <v>5.9232348760069442E-2</v>
      </c>
      <c r="D16" s="33">
        <f t="shared" ref="D16:H16" si="4">D11/C11-1</f>
        <v>4.7121980316134682E-2</v>
      </c>
      <c r="E16" s="33">
        <f t="shared" si="4"/>
        <v>8.573056109370536E-2</v>
      </c>
      <c r="F16" s="33">
        <f t="shared" si="4"/>
        <v>-0.15372507869884577</v>
      </c>
      <c r="G16" s="33">
        <f t="shared" si="4"/>
        <v>0.19187848729076262</v>
      </c>
      <c r="H16" s="33">
        <f t="shared" si="4"/>
        <v>2.8478543563068781E-2</v>
      </c>
    </row>
    <row r="17" spans="3:8" x14ac:dyDescent="0.2">
      <c r="C17" s="33">
        <f>C12/B12-1</f>
        <v>0.19461020211742053</v>
      </c>
      <c r="D17" s="33">
        <f t="shared" ref="D17:H17" si="5">D12/C12-1</f>
        <v>0.14888817273606181</v>
      </c>
      <c r="E17" s="33">
        <f t="shared" si="5"/>
        <v>8.9340813464235724E-2</v>
      </c>
      <c r="F17" s="33">
        <f t="shared" si="5"/>
        <v>3.5921205098493614E-2</v>
      </c>
      <c r="G17" s="33">
        <f t="shared" si="5"/>
        <v>-4.2257022122792476E-3</v>
      </c>
      <c r="H17" s="33">
        <f t="shared" si="5"/>
        <v>1.5851223165252115E-2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Proforma Assumptions</vt:lpstr>
      <vt:lpstr>Proforma</vt:lpstr>
      <vt:lpstr>Sensitivity Analysis</vt:lpstr>
      <vt:lpstr>Competitive Set</vt:lpstr>
      <vt:lpstr>YOY RevPAR% Change</vt:lpstr>
      <vt:lpstr>Competitive Set Performance</vt:lpstr>
      <vt:lpstr>'Proforma Assumptions'!Print_Area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Biegelsen</dc:creator>
  <cp:lastModifiedBy>Marc Emile Lanton</cp:lastModifiedBy>
  <cp:lastPrinted>2021-11-11T20:53:29Z</cp:lastPrinted>
  <dcterms:created xsi:type="dcterms:W3CDTF">2020-11-05T18:41:53Z</dcterms:created>
  <dcterms:modified xsi:type="dcterms:W3CDTF">2023-11-17T03:01:07Z</dcterms:modified>
</cp:coreProperties>
</file>