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lanton28/Desktop/CU Boulder Saved Excel/"/>
    </mc:Choice>
  </mc:AlternateContent>
  <xr:revisionPtr revIDLastSave="0" documentId="8_{C847B94E-3214-2740-881E-3FB7D21AB547}" xr6:coauthVersionLast="47" xr6:coauthVersionMax="47" xr10:uidLastSave="{00000000-0000-0000-0000-000000000000}"/>
  <bookViews>
    <workbookView xWindow="0" yWindow="500" windowWidth="28800" windowHeight="16260" activeTab="6" xr2:uid="{00000000-000D-0000-FFFF-FFFF00000000}"/>
  </bookViews>
  <sheets>
    <sheet name="QUESTIONS" sheetId="6" r:id="rId1"/>
    <sheet name="Assumptions" sheetId="1" r:id="rId2"/>
    <sheet name="Income" sheetId="2" r:id="rId3"/>
    <sheet name="Expenses" sheetId="3" r:id="rId4"/>
    <sheet name="Financing" sheetId="5" r:id="rId5"/>
    <sheet name="Depreciation and Amortization" sheetId="7" r:id="rId6"/>
    <sheet name="Cash Flows" sheetId="4" r:id="rId7"/>
  </sheets>
  <definedNames>
    <definedName name="_xlnm.Print_Area" localSheetId="1">Assumptions!$A$1:$H$25</definedName>
    <definedName name="_xlnm.Print_Area" localSheetId="6">'Cash Flows'!$C$3:$H$27</definedName>
    <definedName name="_xlnm.Print_Area" localSheetId="3">Expenses!$F$29:$K$53</definedName>
    <definedName name="_xlnm.Print_Area" localSheetId="2">Income!$J$54:$Q$70</definedName>
    <definedName name="_xlnm.Print_Area" localSheetId="0">QUESTIONS!$A$1:$D$84</definedName>
    <definedName name="_xlnm.Print_Titles" localSheetId="6">'Cash Flows'!$A:$A,'Cash Flows'!$1:$1</definedName>
    <definedName name="_xlnm.Print_Titles" localSheetId="3">Expenses!$A:$B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6" l="1"/>
  <c r="D28" i="6"/>
  <c r="D27" i="6"/>
  <c r="D20" i="4"/>
  <c r="E20" i="4"/>
  <c r="F20" i="4"/>
  <c r="G20" i="4"/>
  <c r="G21" i="4" s="1"/>
  <c r="C20" i="4"/>
  <c r="D21" i="4"/>
  <c r="E21" i="4"/>
  <c r="F21" i="4"/>
  <c r="C21" i="4"/>
  <c r="D19" i="4"/>
  <c r="E19" i="4"/>
  <c r="F19" i="4"/>
  <c r="G19" i="4"/>
  <c r="C19" i="4"/>
  <c r="D18" i="4"/>
  <c r="E18" i="4"/>
  <c r="F18" i="4"/>
  <c r="G18" i="4"/>
  <c r="C18" i="4"/>
  <c r="D26" i="6" l="1"/>
  <c r="D25" i="6"/>
  <c r="D24" i="6"/>
  <c r="D23" i="6"/>
  <c r="D20" i="6"/>
  <c r="D19" i="6"/>
  <c r="D18" i="6"/>
  <c r="D17" i="6"/>
  <c r="D16" i="6"/>
  <c r="D15" i="6"/>
  <c r="D14" i="6"/>
  <c r="D13" i="6"/>
  <c r="D12" i="6"/>
  <c r="D11" i="6"/>
  <c r="D10" i="6"/>
  <c r="D8" i="6"/>
  <c r="D7" i="6"/>
  <c r="D5" i="6"/>
  <c r="D4" i="6"/>
  <c r="D3" i="6"/>
  <c r="B79" i="4"/>
  <c r="B78" i="4"/>
  <c r="B77" i="4"/>
  <c r="B76" i="4"/>
  <c r="B75" i="4"/>
  <c r="B71" i="4"/>
  <c r="B70" i="4"/>
  <c r="B66" i="4"/>
  <c r="B65" i="4"/>
  <c r="G61" i="4"/>
  <c r="D61" i="4"/>
  <c r="E61" i="4"/>
  <c r="F61" i="4"/>
  <c r="C61" i="4"/>
  <c r="B62" i="4"/>
  <c r="B61" i="4"/>
  <c r="B60" i="4"/>
  <c r="G60" i="4"/>
  <c r="D60" i="4"/>
  <c r="E60" i="4"/>
  <c r="F60" i="4"/>
  <c r="C60" i="4"/>
  <c r="G57" i="4"/>
  <c r="G56" i="4"/>
  <c r="G55" i="4"/>
  <c r="G54" i="4"/>
  <c r="G53" i="4"/>
  <c r="G51" i="4"/>
  <c r="G50" i="4"/>
  <c r="G49" i="4"/>
  <c r="G48" i="4"/>
  <c r="G47" i="4"/>
  <c r="G45" i="4"/>
  <c r="G44" i="4"/>
  <c r="G43" i="4"/>
  <c r="G41" i="4"/>
  <c r="G40" i="4"/>
  <c r="G39" i="4"/>
  <c r="G38" i="4"/>
  <c r="G37" i="4"/>
  <c r="G35" i="4"/>
  <c r="G34" i="4"/>
  <c r="G33" i="4"/>
  <c r="C22" i="4"/>
  <c r="D22" i="4"/>
  <c r="E22" i="4"/>
  <c r="F22" i="4"/>
  <c r="G22" i="4"/>
  <c r="D14" i="4"/>
  <c r="E14" i="4"/>
  <c r="F14" i="4"/>
  <c r="G14" i="4"/>
  <c r="C14" i="4"/>
  <c r="D12" i="4"/>
  <c r="E12" i="4"/>
  <c r="F12" i="4"/>
  <c r="G12" i="4"/>
  <c r="H12" i="4"/>
  <c r="C12" i="4"/>
  <c r="C10" i="4"/>
  <c r="D10" i="4"/>
  <c r="E10" i="4"/>
  <c r="F10" i="4"/>
  <c r="G10" i="4"/>
  <c r="H10" i="4"/>
  <c r="D5" i="4"/>
  <c r="E5" i="4"/>
  <c r="F5" i="4"/>
  <c r="G5" i="4"/>
  <c r="H5" i="4"/>
  <c r="C5" i="4"/>
  <c r="C31" i="5"/>
  <c r="C30" i="5"/>
  <c r="C29" i="5"/>
  <c r="C27" i="5"/>
  <c r="C28" i="5"/>
  <c r="G17" i="5"/>
  <c r="G15" i="5"/>
  <c r="D24" i="5"/>
  <c r="E24" i="5"/>
  <c r="F24" i="5"/>
  <c r="G24" i="5"/>
  <c r="C24" i="5"/>
  <c r="D22" i="5"/>
  <c r="C22" i="5"/>
  <c r="D21" i="5" s="1"/>
  <c r="I52" i="3"/>
  <c r="J52" i="3"/>
  <c r="K52" i="3"/>
  <c r="L52" i="3"/>
  <c r="H52" i="3"/>
  <c r="G52" i="3"/>
  <c r="I51" i="3"/>
  <c r="J51" i="3" s="1"/>
  <c r="K51" i="3" s="1"/>
  <c r="L51" i="3" s="1"/>
  <c r="H51" i="3"/>
  <c r="G51" i="3"/>
  <c r="G16" i="5" l="1"/>
  <c r="C23" i="5" l="1"/>
  <c r="H53" i="3"/>
  <c r="I53" i="3"/>
  <c r="G53" i="3"/>
  <c r="H46" i="3"/>
  <c r="I46" i="3"/>
  <c r="J46" i="3"/>
  <c r="K46" i="3"/>
  <c r="L46" i="3"/>
  <c r="G46" i="3"/>
  <c r="H43" i="3"/>
  <c r="I43" i="3"/>
  <c r="J43" i="3"/>
  <c r="K43" i="3"/>
  <c r="L43" i="3"/>
  <c r="G43" i="3"/>
  <c r="H39" i="3"/>
  <c r="I38" i="3"/>
  <c r="J38" i="3" s="1"/>
  <c r="K38" i="3" s="1"/>
  <c r="L38" i="3" s="1"/>
  <c r="I39" i="3"/>
  <c r="J39" i="3"/>
  <c r="K39" i="3"/>
  <c r="L39" i="3"/>
  <c r="I40" i="3"/>
  <c r="J40" i="3" s="1"/>
  <c r="K40" i="3" s="1"/>
  <c r="L40" i="3" s="1"/>
  <c r="I41" i="3"/>
  <c r="J41" i="3"/>
  <c r="K41" i="3"/>
  <c r="L41" i="3"/>
  <c r="I42" i="3"/>
  <c r="J42" i="3" s="1"/>
  <c r="K42" i="3" s="1"/>
  <c r="L42" i="3" s="1"/>
  <c r="H40" i="3"/>
  <c r="H41" i="3"/>
  <c r="H42" i="3"/>
  <c r="H38" i="3"/>
  <c r="G38" i="3"/>
  <c r="H35" i="3"/>
  <c r="I35" i="3"/>
  <c r="J35" i="3"/>
  <c r="K35" i="3"/>
  <c r="L35" i="3"/>
  <c r="G35" i="3"/>
  <c r="I34" i="3"/>
  <c r="J34" i="3"/>
  <c r="K34" i="3"/>
  <c r="L34" i="3"/>
  <c r="H34" i="3"/>
  <c r="H33" i="3"/>
  <c r="I33" i="3"/>
  <c r="J33" i="3"/>
  <c r="K33" i="3"/>
  <c r="L33" i="3"/>
  <c r="G33" i="3"/>
  <c r="D16" i="7"/>
  <c r="E16" i="7"/>
  <c r="F16" i="7"/>
  <c r="G16" i="7"/>
  <c r="C16" i="7"/>
  <c r="C14" i="7"/>
  <c r="C13" i="7"/>
  <c r="C12" i="7"/>
  <c r="C11" i="7"/>
  <c r="E21" i="5"/>
  <c r="E22" i="5" s="1"/>
  <c r="E8" i="7"/>
  <c r="F8" i="7"/>
  <c r="G8" i="7" s="1"/>
  <c r="D8" i="7"/>
  <c r="C8" i="7"/>
  <c r="C6" i="7"/>
  <c r="C5" i="7"/>
  <c r="C4" i="7"/>
  <c r="C3" i="7"/>
  <c r="C2" i="7"/>
  <c r="C2" i="5"/>
  <c r="C21" i="5" s="1"/>
  <c r="C13" i="5"/>
  <c r="C14" i="5" s="1"/>
  <c r="C11" i="5"/>
  <c r="C10" i="5"/>
  <c r="C6" i="5"/>
  <c r="C7" i="5"/>
  <c r="C5" i="5"/>
  <c r="C4" i="5"/>
  <c r="C3" i="5"/>
  <c r="N38" i="2"/>
  <c r="M41" i="2"/>
  <c r="G39" i="3"/>
  <c r="G40" i="3"/>
  <c r="G41" i="3"/>
  <c r="G42" i="3"/>
  <c r="G34" i="3"/>
  <c r="O38" i="2"/>
  <c r="P38" i="2" s="1"/>
  <c r="O39" i="2"/>
  <c r="P39" i="2"/>
  <c r="Q39" i="2"/>
  <c r="R39" i="2"/>
  <c r="O40" i="2"/>
  <c r="P40" i="2" s="1"/>
  <c r="Q40" i="2" s="1"/>
  <c r="R40" i="2" s="1"/>
  <c r="O41" i="2"/>
  <c r="N41" i="2"/>
  <c r="N39" i="2"/>
  <c r="N40" i="2"/>
  <c r="M39" i="2"/>
  <c r="M40" i="2"/>
  <c r="M38" i="2"/>
  <c r="C4" i="4"/>
  <c r="C6" i="4" s="1"/>
  <c r="T26" i="2"/>
  <c r="C15" i="7"/>
  <c r="D7" i="7"/>
  <c r="D15" i="7" s="1"/>
  <c r="D20" i="5"/>
  <c r="E20" i="5" s="1"/>
  <c r="F20" i="5" s="1"/>
  <c r="G20" i="5" s="1"/>
  <c r="C8" i="4" l="1"/>
  <c r="C7" i="4"/>
  <c r="C9" i="4"/>
  <c r="G47" i="3" s="1"/>
  <c r="G48" i="3" s="1"/>
  <c r="C11" i="4" s="1"/>
  <c r="C13" i="4" s="1"/>
  <c r="D4" i="4"/>
  <c r="C15" i="4"/>
  <c r="C25" i="4" s="1"/>
  <c r="C17" i="4"/>
  <c r="C23" i="4" s="1"/>
  <c r="C26" i="4" s="1"/>
  <c r="L53" i="3"/>
  <c r="K53" i="3"/>
  <c r="J53" i="3"/>
  <c r="F21" i="5"/>
  <c r="F22" i="5" s="1"/>
  <c r="D23" i="5"/>
  <c r="C12" i="5"/>
  <c r="P41" i="2"/>
  <c r="Q38" i="2"/>
  <c r="E7" i="7"/>
  <c r="E15" i="7" s="1"/>
  <c r="D6" i="4" l="1"/>
  <c r="E4" i="4"/>
  <c r="C27" i="4"/>
  <c r="C62" i="4" s="1"/>
  <c r="F23" i="5"/>
  <c r="G21" i="5"/>
  <c r="G22" i="5" s="1"/>
  <c r="E23" i="5"/>
  <c r="Q41" i="2"/>
  <c r="R38" i="2"/>
  <c r="R41" i="2" s="1"/>
  <c r="F7" i="7"/>
  <c r="F15" i="7"/>
  <c r="G7" i="7"/>
  <c r="G15" i="7" s="1"/>
  <c r="F4" i="4" l="1"/>
  <c r="E6" i="4"/>
  <c r="D7" i="4"/>
  <c r="D9" i="4" s="1"/>
  <c r="H47" i="3" s="1"/>
  <c r="H48" i="3" s="1"/>
  <c r="D11" i="4" s="1"/>
  <c r="D13" i="4" s="1"/>
  <c r="D8" i="4"/>
  <c r="G23" i="5"/>
  <c r="D29" i="4"/>
  <c r="E29" i="4" s="1"/>
  <c r="F29" i="4" s="1"/>
  <c r="G29" i="4" s="1"/>
  <c r="D3" i="4"/>
  <c r="E3" i="4" s="1"/>
  <c r="F3" i="4" s="1"/>
  <c r="G3" i="4" s="1"/>
  <c r="H3" i="4" s="1"/>
  <c r="D15" i="4" l="1"/>
  <c r="D25" i="4" s="1"/>
  <c r="D17" i="4"/>
  <c r="D23" i="4" s="1"/>
  <c r="D26" i="4" s="1"/>
  <c r="E7" i="4"/>
  <c r="E8" i="4"/>
  <c r="E9" i="4" s="1"/>
  <c r="I47" i="3" s="1"/>
  <c r="I48" i="3" s="1"/>
  <c r="E11" i="4" s="1"/>
  <c r="E13" i="4" s="1"/>
  <c r="G4" i="4"/>
  <c r="F6" i="4"/>
  <c r="V26" i="2"/>
  <c r="E15" i="4" l="1"/>
  <c r="E25" i="4" s="1"/>
  <c r="E17" i="4"/>
  <c r="E23" i="4" s="1"/>
  <c r="E26" i="4" s="1"/>
  <c r="H4" i="4"/>
  <c r="H6" i="4" s="1"/>
  <c r="G6" i="4"/>
  <c r="F8" i="4"/>
  <c r="F7" i="4"/>
  <c r="F9" i="4" s="1"/>
  <c r="J47" i="3" s="1"/>
  <c r="J48" i="3" s="1"/>
  <c r="F11" i="4" s="1"/>
  <c r="F13" i="4" s="1"/>
  <c r="D27" i="4"/>
  <c r="D62" i="4" s="1"/>
  <c r="F46" i="2"/>
  <c r="G46" i="2" s="1"/>
  <c r="H46" i="2" s="1"/>
  <c r="I46" i="2" s="1"/>
  <c r="J46" i="2" s="1"/>
  <c r="F15" i="4" l="1"/>
  <c r="F25" i="4" s="1"/>
  <c r="F17" i="4"/>
  <c r="F23" i="4" s="1"/>
  <c r="F26" i="4" s="1"/>
  <c r="H8" i="4"/>
  <c r="H7" i="4"/>
  <c r="H9" i="4" s="1"/>
  <c r="L47" i="3" s="1"/>
  <c r="L48" i="3" s="1"/>
  <c r="H11" i="4" s="1"/>
  <c r="H13" i="4" s="1"/>
  <c r="G30" i="4" s="1"/>
  <c r="G7" i="4"/>
  <c r="G9" i="4" s="1"/>
  <c r="K47" i="3" s="1"/>
  <c r="K48" i="3" s="1"/>
  <c r="G11" i="4" s="1"/>
  <c r="G13" i="4" s="1"/>
  <c r="G8" i="4"/>
  <c r="E27" i="4"/>
  <c r="E62" i="4" s="1"/>
  <c r="H16" i="3"/>
  <c r="H17" i="3"/>
  <c r="H18" i="3"/>
  <c r="I18" i="3"/>
  <c r="J18" i="3"/>
  <c r="K18" i="3" s="1"/>
  <c r="L18" i="3" s="1"/>
  <c r="H19" i="3"/>
  <c r="C20" i="3"/>
  <c r="C12" i="3"/>
  <c r="F56" i="2"/>
  <c r="G56" i="2" s="1"/>
  <c r="H56" i="2" s="1"/>
  <c r="I56" i="2" s="1"/>
  <c r="J56" i="2" s="1"/>
  <c r="F49" i="2"/>
  <c r="G49" i="2" s="1"/>
  <c r="H49" i="2" s="1"/>
  <c r="I49" i="2" s="1"/>
  <c r="J49" i="2" s="1"/>
  <c r="F48" i="2"/>
  <c r="G48" i="2" s="1"/>
  <c r="H48" i="2" s="1"/>
  <c r="I48" i="2" s="1"/>
  <c r="J48" i="2" s="1"/>
  <c r="F47" i="2"/>
  <c r="G47" i="2" s="1"/>
  <c r="H47" i="2" s="1"/>
  <c r="I47" i="2" s="1"/>
  <c r="J47" i="2" s="1"/>
  <c r="G38" i="2"/>
  <c r="J38" i="2" s="1"/>
  <c r="R30" i="2"/>
  <c r="T28" i="2"/>
  <c r="F39" i="2" s="1"/>
  <c r="J39" i="2" s="1"/>
  <c r="H9" i="2"/>
  <c r="H10" i="2" s="1"/>
  <c r="I9" i="2"/>
  <c r="I10" i="2" s="1"/>
  <c r="I11" i="2" s="1"/>
  <c r="I12" i="2" s="1"/>
  <c r="I13" i="2" s="1"/>
  <c r="I14" i="2" s="1"/>
  <c r="I19" i="2" s="1"/>
  <c r="I20" i="2" s="1"/>
  <c r="I21" i="2" s="1"/>
  <c r="I22" i="2" s="1"/>
  <c r="I23" i="2" s="1"/>
  <c r="J9" i="2"/>
  <c r="K9" i="2"/>
  <c r="K10" i="2" s="1"/>
  <c r="L9" i="2"/>
  <c r="L10" i="2" s="1"/>
  <c r="L12" i="2" s="1"/>
  <c r="L13" i="2" s="1"/>
  <c r="L14" i="2" s="1"/>
  <c r="L15" i="2" s="1"/>
  <c r="L16" i="2" s="1"/>
  <c r="L19" i="2" s="1"/>
  <c r="L20" i="2" s="1"/>
  <c r="L21" i="2" s="1"/>
  <c r="L22" i="2" s="1"/>
  <c r="L23" i="2" s="1"/>
  <c r="M9" i="2"/>
  <c r="M10" i="2" s="1"/>
  <c r="M12" i="2" s="1"/>
  <c r="M13" i="2" s="1"/>
  <c r="M14" i="2" s="1"/>
  <c r="M15" i="2" s="1"/>
  <c r="M16" i="2" s="1"/>
  <c r="M18" i="2" s="1"/>
  <c r="M19" i="2" s="1"/>
  <c r="M20" i="2" s="1"/>
  <c r="M21" i="2" s="1"/>
  <c r="M22" i="2" s="1"/>
  <c r="M23" i="2" s="1"/>
  <c r="N9" i="2"/>
  <c r="N10" i="2" s="1"/>
  <c r="N12" i="2" s="1"/>
  <c r="N13" i="2" s="1"/>
  <c r="N14" i="2" s="1"/>
  <c r="N15" i="2" s="1"/>
  <c r="N16" i="2" s="1"/>
  <c r="N18" i="2" s="1"/>
  <c r="N19" i="2" s="1"/>
  <c r="N20" i="2" s="1"/>
  <c r="N21" i="2" s="1"/>
  <c r="N22" i="2" s="1"/>
  <c r="N23" i="2" s="1"/>
  <c r="O9" i="2"/>
  <c r="O10" i="2" s="1"/>
  <c r="P9" i="2"/>
  <c r="Q9" i="2"/>
  <c r="G9" i="2"/>
  <c r="G10" i="2" s="1"/>
  <c r="G11" i="2" s="1"/>
  <c r="G12" i="2" s="1"/>
  <c r="G13" i="2" s="1"/>
  <c r="G14" i="2" s="1"/>
  <c r="G15" i="2" s="1"/>
  <c r="G16" i="2" s="1"/>
  <c r="G17" i="2" s="1"/>
  <c r="G19" i="2" s="1"/>
  <c r="G20" i="2" s="1"/>
  <c r="G21" i="2" s="1"/>
  <c r="G22" i="2" s="1"/>
  <c r="T8" i="2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G5" i="2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G15" i="4" l="1"/>
  <c r="G25" i="4" s="1"/>
  <c r="G17" i="4"/>
  <c r="G23" i="4" s="1"/>
  <c r="G31" i="4"/>
  <c r="G32" i="4" s="1"/>
  <c r="F27" i="4"/>
  <c r="F62" i="4" s="1"/>
  <c r="I19" i="3"/>
  <c r="J19" i="3" s="1"/>
  <c r="K19" i="3" s="1"/>
  <c r="L19" i="3" s="1"/>
  <c r="I17" i="3"/>
  <c r="J17" i="3" s="1"/>
  <c r="K17" i="3" s="1"/>
  <c r="L17" i="3" s="1"/>
  <c r="I16" i="3"/>
  <c r="J16" i="3" s="1"/>
  <c r="K16" i="3" s="1"/>
  <c r="L16" i="3" s="1"/>
  <c r="G30" i="2"/>
  <c r="F40" i="2"/>
  <c r="J40" i="2" s="1"/>
  <c r="J41" i="2" s="1"/>
  <c r="I15" i="2"/>
  <c r="I30" i="2" s="1"/>
  <c r="J10" i="2"/>
  <c r="J11" i="2" s="1"/>
  <c r="J12" i="2" s="1"/>
  <c r="J13" i="2" s="1"/>
  <c r="J14" i="2" s="1"/>
  <c r="J15" i="2" s="1"/>
  <c r="J16" i="2" s="1"/>
  <c r="J19" i="2" s="1"/>
  <c r="J20" i="2" s="1"/>
  <c r="J21" i="2" s="1"/>
  <c r="J22" i="2" s="1"/>
  <c r="N30" i="2"/>
  <c r="L30" i="2"/>
  <c r="G25" i="2"/>
  <c r="G26" i="2" s="1"/>
  <c r="M30" i="2"/>
  <c r="H11" i="2"/>
  <c r="O11" i="2"/>
  <c r="R25" i="2"/>
  <c r="R26" i="2" s="1"/>
  <c r="K14" i="2"/>
  <c r="K15" i="2" s="1"/>
  <c r="K16" i="2" s="1"/>
  <c r="K18" i="2" s="1"/>
  <c r="K19" i="2" s="1"/>
  <c r="K20" i="2" s="1"/>
  <c r="K21" i="2" s="1"/>
  <c r="K22" i="2" s="1"/>
  <c r="K23" i="2" s="1"/>
  <c r="Q10" i="2"/>
  <c r="N25" i="2"/>
  <c r="N26" i="2" s="1"/>
  <c r="P10" i="2"/>
  <c r="M25" i="2"/>
  <c r="M26" i="2" s="1"/>
  <c r="L25" i="2"/>
  <c r="L26" i="2" s="1"/>
  <c r="T9" i="2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G26" i="4" l="1"/>
  <c r="D30" i="6"/>
  <c r="G27" i="4"/>
  <c r="G62" i="4" s="1"/>
  <c r="B72" i="4" s="1"/>
  <c r="D9" i="6" s="1"/>
  <c r="J25" i="2"/>
  <c r="J26" i="2" s="1"/>
  <c r="K30" i="2"/>
  <c r="I25" i="2"/>
  <c r="I26" i="2" s="1"/>
  <c r="J30" i="2"/>
  <c r="O12" i="2"/>
  <c r="P14" i="2"/>
  <c r="P15" i="2" s="1"/>
  <c r="P16" i="2" s="1"/>
  <c r="P17" i="2" s="1"/>
  <c r="P22" i="2" s="1"/>
  <c r="P23" i="2" s="1"/>
  <c r="Q11" i="2"/>
  <c r="T11" i="2" s="1"/>
  <c r="T10" i="2"/>
  <c r="H12" i="2"/>
  <c r="K25" i="2"/>
  <c r="K26" i="2" s="1"/>
  <c r="A23" i="6"/>
  <c r="A24" i="6" s="1"/>
  <c r="A25" i="6" s="1"/>
  <c r="A26" i="6" s="1"/>
  <c r="A27" i="6" s="1"/>
  <c r="A28" i="6" s="1"/>
  <c r="A29" i="6" s="1"/>
  <c r="A30" i="6" s="1"/>
  <c r="F55" i="2"/>
  <c r="G55" i="2" s="1"/>
  <c r="H55" i="2" s="1"/>
  <c r="I55" i="2" s="1"/>
  <c r="J55" i="2" s="1"/>
  <c r="B67" i="4" l="1"/>
  <c r="D6" i="6" s="1"/>
  <c r="P25" i="2"/>
  <c r="P26" i="2" s="1"/>
  <c r="P30" i="2"/>
  <c r="Q12" i="2"/>
  <c r="O13" i="2"/>
  <c r="H13" i="2"/>
  <c r="A33" i="6"/>
  <c r="A34" i="6" s="1"/>
  <c r="A35" i="6" s="1"/>
  <c r="A36" i="6" s="1"/>
  <c r="A37" i="6" s="1"/>
  <c r="A44" i="6" s="1"/>
  <c r="A45" i="6" s="1"/>
  <c r="A49" i="6" s="1"/>
  <c r="A50" i="6" s="1"/>
  <c r="A54" i="6" s="1"/>
  <c r="H15" i="3"/>
  <c r="H26" i="3"/>
  <c r="H25" i="3"/>
  <c r="H11" i="3"/>
  <c r="H10" i="3"/>
  <c r="I11" i="3" l="1"/>
  <c r="J11" i="3" s="1"/>
  <c r="K11" i="3" s="1"/>
  <c r="L11" i="3" s="1"/>
  <c r="I10" i="3"/>
  <c r="J10" i="3" s="1"/>
  <c r="K10" i="3" s="1"/>
  <c r="L10" i="3" s="1"/>
  <c r="I25" i="3"/>
  <c r="J25" i="3" s="1"/>
  <c r="K25" i="3" s="1"/>
  <c r="L25" i="3" s="1"/>
  <c r="I26" i="3"/>
  <c r="J26" i="3" s="1"/>
  <c r="K26" i="3" s="1"/>
  <c r="L26" i="3" s="1"/>
  <c r="I15" i="3"/>
  <c r="J15" i="3" s="1"/>
  <c r="K15" i="3" s="1"/>
  <c r="L15" i="3" s="1"/>
  <c r="Q13" i="2"/>
  <c r="T12" i="2"/>
  <c r="O14" i="2"/>
  <c r="H14" i="2"/>
  <c r="O15" i="2" l="1"/>
  <c r="Q14" i="2"/>
  <c r="T14" i="2" s="1"/>
  <c r="T13" i="2"/>
  <c r="H15" i="2"/>
  <c r="O16" i="2" l="1"/>
  <c r="O17" i="2" s="1"/>
  <c r="O18" i="2" s="1"/>
  <c r="O19" i="2" s="1"/>
  <c r="O20" i="2" s="1"/>
  <c r="O21" i="2" s="1"/>
  <c r="O22" i="2" s="1"/>
  <c r="O23" i="2" s="1"/>
  <c r="Q15" i="2"/>
  <c r="T15" i="2" s="1"/>
  <c r="H16" i="2"/>
  <c r="O30" i="2" l="1"/>
  <c r="O25" i="2"/>
  <c r="O26" i="2" s="1"/>
  <c r="Q16" i="2"/>
  <c r="T16" i="2" s="1"/>
  <c r="H17" i="2"/>
  <c r="H19" i="2"/>
  <c r="Q17" i="2" l="1"/>
  <c r="T17" i="2" s="1"/>
  <c r="H20" i="2"/>
  <c r="Q18" i="2" l="1"/>
  <c r="H21" i="2"/>
  <c r="Q19" i="2" l="1"/>
  <c r="T18" i="2"/>
  <c r="H22" i="2"/>
  <c r="H30" i="2" s="1"/>
  <c r="Q20" i="2" l="1"/>
  <c r="T19" i="2"/>
  <c r="Q21" i="2" l="1"/>
  <c r="T20" i="2"/>
  <c r="H25" i="2"/>
  <c r="H26" i="2" s="1"/>
  <c r="Q22" i="2" l="1"/>
  <c r="T21" i="2"/>
  <c r="Q23" i="2" l="1"/>
  <c r="T22" i="2"/>
  <c r="Q30" i="2" l="1"/>
  <c r="Q25" i="2"/>
  <c r="Q26" i="2" s="1"/>
  <c r="T23" i="2"/>
  <c r="T25" i="2" s="1"/>
</calcChain>
</file>

<file path=xl/sharedStrings.xml><?xml version="1.0" encoding="utf-8"?>
<sst xmlns="http://schemas.openxmlformats.org/spreadsheetml/2006/main" count="426" uniqueCount="269">
  <si>
    <t>Property Characteristics</t>
  </si>
  <si>
    <t xml:space="preserve">Purchase Price </t>
  </si>
  <si>
    <t>Land to Value Ratio</t>
  </si>
  <si>
    <t>($)</t>
  </si>
  <si>
    <t>(%)</t>
  </si>
  <si>
    <t>Terminal Cap Rate</t>
  </si>
  <si>
    <t>Selling Costs</t>
  </si>
  <si>
    <t>Loan Characteristics</t>
  </si>
  <si>
    <t>Annual Interest Rate</t>
  </si>
  <si>
    <t>Loan Term (Years)</t>
  </si>
  <si>
    <t>Financing Costs</t>
  </si>
  <si>
    <t>Prepayment Penalty</t>
  </si>
  <si>
    <t>Investor Characteristics</t>
  </si>
  <si>
    <t>Tax Rates</t>
  </si>
  <si>
    <t xml:space="preserve">    Capital Gain</t>
  </si>
  <si>
    <t xml:space="preserve">    Depreciation Recatpure</t>
  </si>
  <si>
    <t>Required Yields</t>
  </si>
  <si>
    <t xml:space="preserve">    Property</t>
  </si>
  <si>
    <t xml:space="preserve">    Before Tax</t>
  </si>
  <si>
    <t xml:space="preserve">    After Tax</t>
  </si>
  <si>
    <t>NPVs</t>
  </si>
  <si>
    <t>Number of Units</t>
  </si>
  <si>
    <t>Square Feet</t>
  </si>
  <si>
    <t>Totals</t>
  </si>
  <si>
    <t>Non-Rental Income</t>
  </si>
  <si>
    <t>Per Unit per Month</t>
  </si>
  <si>
    <t>Per Square Foot per Month</t>
  </si>
  <si>
    <t>Source</t>
  </si>
  <si>
    <t>Quantity</t>
  </si>
  <si>
    <t>Monthly Payment</t>
  </si>
  <si>
    <t>$ Amount (Monthly)</t>
  </si>
  <si>
    <t>End of Year 1</t>
  </si>
  <si>
    <t>End of Year 2</t>
  </si>
  <si>
    <t>End of Year 3</t>
  </si>
  <si>
    <t>End of Year 4</t>
  </si>
  <si>
    <t>End of Year 5</t>
  </si>
  <si>
    <t>Pro Forma Cash Flows</t>
  </si>
  <si>
    <t>Year</t>
  </si>
  <si>
    <t>Gross Rental Revenue</t>
  </si>
  <si>
    <t xml:space="preserve">  plus Non-Rental Income</t>
  </si>
  <si>
    <t>Gross Potential Income</t>
  </si>
  <si>
    <t>Gross Effective Income</t>
  </si>
  <si>
    <t xml:space="preserve">  less Fixed Operating Expenses</t>
  </si>
  <si>
    <t xml:space="preserve">  less Variable Operating Expenses</t>
  </si>
  <si>
    <t>Net Operating Income</t>
  </si>
  <si>
    <t xml:space="preserve">  less Annual Debt Service</t>
  </si>
  <si>
    <t>Before Tax Cash Flow</t>
  </si>
  <si>
    <t xml:space="preserve">  less Interest</t>
  </si>
  <si>
    <t xml:space="preserve">  less Depreciation</t>
  </si>
  <si>
    <t xml:space="preserve">  less Amortization of Financing Costs</t>
  </si>
  <si>
    <t>Taxable Income</t>
  </si>
  <si>
    <t xml:space="preserve">  less Income Tax</t>
  </si>
  <si>
    <t>After Tax Cash Flow</t>
  </si>
  <si>
    <t>Expected Selling Price</t>
  </si>
  <si>
    <t xml:space="preserve">  less Selling Costs</t>
  </si>
  <si>
    <t>Net Sales Proceeds</t>
  </si>
  <si>
    <t xml:space="preserve">  less Mortgage Balance</t>
  </si>
  <si>
    <t xml:space="preserve">  less Prepayment Penalty</t>
  </si>
  <si>
    <t>Before Tax Cash Flow from Sale</t>
  </si>
  <si>
    <t xml:space="preserve">  less Original Purchase Price</t>
  </si>
  <si>
    <t xml:space="preserve">  x Capital Gain Tax Rate</t>
  </si>
  <si>
    <t>Capital Gain Tax</t>
  </si>
  <si>
    <t>Accumulated Depreciation</t>
  </si>
  <si>
    <t xml:space="preserve">  x Depreciation Tax Rate</t>
  </si>
  <si>
    <t>Depreciation Recovery Tax</t>
  </si>
  <si>
    <t>Unamortized Financing Costs</t>
  </si>
  <si>
    <t>Total Ordinary Expenses</t>
  </si>
  <si>
    <t xml:space="preserve">  x  Ordinary Income Tax Rate</t>
  </si>
  <si>
    <t>Ordinary Income Credit</t>
  </si>
  <si>
    <t xml:space="preserve">  less Capital Gain Tax</t>
  </si>
  <si>
    <t xml:space="preserve">  less Depreciation Recovery Tax</t>
  </si>
  <si>
    <t xml:space="preserve">  plus Ordinary Income Credit</t>
  </si>
  <si>
    <t>Vacancy and Collection Loss</t>
  </si>
  <si>
    <t xml:space="preserve">  less Capital Reserves</t>
  </si>
  <si>
    <t>Fixed Expenses</t>
  </si>
  <si>
    <t>$ Amount (Annual)</t>
  </si>
  <si>
    <t>Per Unit per Year</t>
  </si>
  <si>
    <t>Per Square Foot per Year</t>
  </si>
  <si>
    <t>Property Taxes</t>
  </si>
  <si>
    <t>Insurance</t>
  </si>
  <si>
    <t xml:space="preserve"> </t>
  </si>
  <si>
    <t>Expected Change</t>
  </si>
  <si>
    <t>Repairs/Maintenance</t>
  </si>
  <si>
    <t>Variable Expenses</t>
  </si>
  <si>
    <t>Sub-total Variable</t>
  </si>
  <si>
    <t>Structural Reserves</t>
  </si>
  <si>
    <t>Replacements</t>
  </si>
  <si>
    <t>Total Reserves</t>
  </si>
  <si>
    <t>Depreciation</t>
  </si>
  <si>
    <t>Useful Life for Depreciation (Years)</t>
  </si>
  <si>
    <t xml:space="preserve">    Ordinary Income</t>
  </si>
  <si>
    <t>Management Fee (% of EGI)</t>
  </si>
  <si>
    <t>Loan to Value Ratio</t>
  </si>
  <si>
    <t>INPUT PARAMETERS</t>
  </si>
  <si>
    <t>Task</t>
  </si>
  <si>
    <t>Base Case</t>
  </si>
  <si>
    <t>Equity</t>
  </si>
  <si>
    <t>Property IRR</t>
  </si>
  <si>
    <t>BTIRR</t>
  </si>
  <si>
    <t>ATIRR</t>
  </si>
  <si>
    <t>Property NPV</t>
  </si>
  <si>
    <t>BTNPV</t>
  </si>
  <si>
    <t>ATNPV</t>
  </si>
  <si>
    <t>Loan Amount</t>
  </si>
  <si>
    <t>Year 1 Annual Debt Service</t>
  </si>
  <si>
    <t>Expected Borrowing Cost</t>
  </si>
  <si>
    <t>Debt Service</t>
  </si>
  <si>
    <t>Interest</t>
  </si>
  <si>
    <t>Annual Debt Service</t>
  </si>
  <si>
    <t>Change Capital Gains Rate to 20%</t>
  </si>
  <si>
    <t>Change BT Required Return to 18%</t>
  </si>
  <si>
    <t>Answer</t>
  </si>
  <si>
    <t>Question</t>
  </si>
  <si>
    <t>Fifth Year Cash Flows</t>
  </si>
  <si>
    <t>Federal Income Tax</t>
  </si>
  <si>
    <t xml:space="preserve">ATIRR </t>
  </si>
  <si>
    <t>Balloon Payment (Mortgage Balance + Prepayment Penalty)</t>
  </si>
  <si>
    <t>Expected Borrowing Cost (annualized)</t>
  </si>
  <si>
    <t>Federal Income Tax (the tax, not the earnings)</t>
  </si>
  <si>
    <t>Year 1 NOI Multiplier</t>
  </si>
  <si>
    <t>Year 1 Debt Service Coverage Ratio (DSCR)</t>
  </si>
  <si>
    <t>Year 1 Operating Expense Ratio</t>
  </si>
  <si>
    <t>Year 1 Breakeven Occupancy</t>
  </si>
  <si>
    <t>Loan Fees</t>
  </si>
  <si>
    <t>Year One Ratios, Multipliers and Rates of Return</t>
  </si>
  <si>
    <t>Contract Loan Amount</t>
  </si>
  <si>
    <t>TURNTABLE STUDIOS</t>
  </si>
  <si>
    <t>Floor:</t>
  </si>
  <si>
    <t>Room #</t>
  </si>
  <si>
    <t>View</t>
  </si>
  <si>
    <t>City</t>
  </si>
  <si>
    <t>City N/E</t>
  </si>
  <si>
    <t>N</t>
  </si>
  <si>
    <t>NW</t>
  </si>
  <si>
    <t>W</t>
  </si>
  <si>
    <t>MTN/SW</t>
  </si>
  <si>
    <t xml:space="preserve">MTN </t>
  </si>
  <si>
    <t>MTN</t>
  </si>
  <si>
    <t>MTN/City</t>
  </si>
  <si>
    <t>Year One Rent Roll</t>
  </si>
  <si>
    <t>Total Rent per Month</t>
  </si>
  <si>
    <t>Total Rent per Year</t>
  </si>
  <si>
    <t>Unit count per floor</t>
  </si>
  <si>
    <t>Average Rent per Unit</t>
  </si>
  <si>
    <t>A</t>
  </si>
  <si>
    <t>M</t>
  </si>
  <si>
    <t>E</t>
  </si>
  <si>
    <t>I</t>
  </si>
  <si>
    <t>T</t>
  </si>
  <si>
    <t>Y</t>
  </si>
  <si>
    <t>S</t>
  </si>
  <si>
    <t>C</t>
  </si>
  <si>
    <t>P</t>
  </si>
  <si>
    <t>amenity</t>
  </si>
  <si>
    <t>space</t>
  </si>
  <si>
    <t>Parking</t>
  </si>
  <si>
    <t>Utility reimbursement</t>
  </si>
  <si>
    <t>Other</t>
  </si>
  <si>
    <t>Expected End of Year Rates of Change</t>
  </si>
  <si>
    <t>1</t>
  </si>
  <si>
    <t>2</t>
  </si>
  <si>
    <t>3</t>
  </si>
  <si>
    <t>4</t>
  </si>
  <si>
    <t>5</t>
  </si>
  <si>
    <t>Rents</t>
  </si>
  <si>
    <t>Parking Income</t>
  </si>
  <si>
    <t>Utility Reimbursement</t>
  </si>
  <si>
    <t>Other Income</t>
  </si>
  <si>
    <t>Year:</t>
  </si>
  <si>
    <t>Loss</t>
  </si>
  <si>
    <t>Vacancy</t>
  </si>
  <si>
    <t>Collection</t>
  </si>
  <si>
    <t>End of Year 6</t>
  </si>
  <si>
    <t>Gross</t>
  </si>
  <si>
    <t>Rentable</t>
  </si>
  <si>
    <t>Salary</t>
  </si>
  <si>
    <t>Advertising</t>
  </si>
  <si>
    <t>Genearal and Administrative</t>
  </si>
  <si>
    <t>Utilities (net of electricity paid by tenants)</t>
  </si>
  <si>
    <t>Note:  tenants pay electricity expenses directly to Excel</t>
  </si>
  <si>
    <t>Sub-total Fixed</t>
  </si>
  <si>
    <t>Year 1 BTROE</t>
  </si>
  <si>
    <t>Amortization of Financing Costs</t>
  </si>
  <si>
    <t>Input Parameters</t>
  </si>
  <si>
    <t>Computed Values</t>
  </si>
  <si>
    <t>Net Loan Amount</t>
  </si>
  <si>
    <t>Amortization Schedule</t>
  </si>
  <si>
    <t>Beginning Balance</t>
  </si>
  <si>
    <t>Ending Balance</t>
  </si>
  <si>
    <t>Principal Reduction</t>
  </si>
  <si>
    <t>Annual Interest Expense</t>
  </si>
  <si>
    <t>Turntable Studios</t>
  </si>
  <si>
    <t>Prepayment Penalty (%)</t>
  </si>
  <si>
    <t>Discount Points (%)</t>
  </si>
  <si>
    <t>Contract Interest Rate (%)</t>
  </si>
  <si>
    <t>Contract Loan Amount $$$)</t>
  </si>
  <si>
    <t>Total Future Payment</t>
  </si>
  <si>
    <t>Prepayment Month</t>
  </si>
  <si>
    <t>Final Cash Flow</t>
  </si>
  <si>
    <t>Borrowing Cost</t>
  </si>
  <si>
    <t>Per Year</t>
  </si>
  <si>
    <t>Total</t>
  </si>
  <si>
    <t>Note: Other income consists of pet fees, pet rent, application fees, lease termination fees, damage fees, forfeited deposits, common area laundry revenue, and trash revenue.</t>
  </si>
  <si>
    <t xml:space="preserve">  less Vacancy Loss</t>
  </si>
  <si>
    <t xml:space="preserve">  less Collection Loss</t>
  </si>
  <si>
    <t>Capital Reserves (Annual)</t>
  </si>
  <si>
    <t>Financing Costs (%)</t>
  </si>
  <si>
    <t>Financing Costs ($$$)</t>
  </si>
  <si>
    <t>Discount Points ($$$)</t>
  </si>
  <si>
    <t>Purchase Price</t>
  </si>
  <si>
    <t>Depreciable Basis</t>
  </si>
  <si>
    <t>Annual Depreciation Deduction</t>
  </si>
  <si>
    <t>Useful Life (Years)</t>
  </si>
  <si>
    <t>Land to Value Ratio (%)</t>
  </si>
  <si>
    <t>Annual Amortization</t>
  </si>
  <si>
    <t>Year End Unamortized Expenses</t>
  </si>
  <si>
    <t xml:space="preserve">  x Ordinary Income Tax Rate (%)</t>
  </si>
  <si>
    <t>Appreciation</t>
  </si>
  <si>
    <t>Cash Flows for IRR and NPV</t>
  </si>
  <si>
    <t xml:space="preserve">  Property</t>
  </si>
  <si>
    <t xml:space="preserve">  Before Tax Equity</t>
  </si>
  <si>
    <t xml:space="preserve">  After Tax Equity</t>
  </si>
  <si>
    <t>IRR</t>
  </si>
  <si>
    <t xml:space="preserve">  Year 1 BTROE (cash on cash)</t>
  </si>
  <si>
    <t xml:space="preserve">  Year 1 NOI Multiplier</t>
  </si>
  <si>
    <t xml:space="preserve">  Year 1 Debt Service Coverage</t>
  </si>
  <si>
    <t xml:space="preserve">  Year 1 Operating Expense Ratio</t>
  </si>
  <si>
    <t xml:space="preserve">  Year 1 Breakeven Occupancy</t>
  </si>
  <si>
    <t>Change Purchase Price to $33M</t>
  </si>
  <si>
    <t>Change Land to Value Ratio to 25%</t>
  </si>
  <si>
    <t>Change Terminal Cap Rate to 6.25%</t>
  </si>
  <si>
    <t>Change Loan to Value Ratio to 75%</t>
  </si>
  <si>
    <t>Year 1 DSCR</t>
  </si>
  <si>
    <t>Change Loan Term to 25 Years</t>
  </si>
  <si>
    <t>Change Ordinary Tax Rate to 25%</t>
  </si>
  <si>
    <t>Change Rent Growth Rate to 3%</t>
  </si>
  <si>
    <t>Change Parking Income to $4000/mo</t>
  </si>
  <si>
    <t>Change Property Tax Growth Rate to 5%</t>
  </si>
  <si>
    <t>Change Management Fee to 6%</t>
  </si>
  <si>
    <t>Change Mortgage Interest Rate to 6%</t>
  </si>
  <si>
    <t>Change Other Income Growth to 5% Annually</t>
  </si>
  <si>
    <t>Change Annual Vacancy Rate to 10%</t>
  </si>
  <si>
    <t>From this point downward, change each parameter, answer the questions for that section, and then change the value back.  Copy the answers to each question (27-31, then 32, then 33-35, etc.) and PASTE VALUES.</t>
  </si>
  <si>
    <t>Values are allowed for the remaining questions</t>
  </si>
  <si>
    <t>LINK each answer 1 through 26 to the source of the answer.</t>
  </si>
  <si>
    <t>$</t>
  </si>
  <si>
    <t>%</t>
  </si>
  <si>
    <t>#</t>
  </si>
  <si>
    <t>&lt;--- Numbers and formulas appear in the teal-colored cells.</t>
  </si>
  <si>
    <t>Pmt per year:</t>
  </si>
  <si>
    <t>Calculated</t>
  </si>
  <si>
    <t>Property Tax</t>
  </si>
  <si>
    <t>Variable Expenses at 100% Occupancy</t>
  </si>
  <si>
    <t>G&amp;A</t>
  </si>
  <si>
    <t>Utilities</t>
  </si>
  <si>
    <t>Repairs/Mainten</t>
  </si>
  <si>
    <t>Subtotal @ 100% Occup:</t>
  </si>
  <si>
    <t>Variable Expenses at Actual Occupancy</t>
  </si>
  <si>
    <t>Subtotal @ Actual Occ:</t>
  </si>
  <si>
    <t>Management Fee</t>
  </si>
  <si>
    <t>Reserves</t>
  </si>
  <si>
    <t>Structural</t>
  </si>
  <si>
    <t>Mortgage Bal end of holding period</t>
  </si>
  <si>
    <t>a</t>
  </si>
  <si>
    <t>b</t>
  </si>
  <si>
    <t>c</t>
  </si>
  <si>
    <t>-</t>
  </si>
  <si>
    <t>+</t>
  </si>
  <si>
    <t>Discount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</si>
</sst>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_(* #,##0_);_(* \(#,##0\);_(* &quot;-&quot;??_);_(@_)"/>
    <numFmt numFmtId="168" formatCode="_(&quot;$&quot;* #,##0_);_(&quot;$&quot;* \(#,##0\);_(&quot;$&quot;* &quot;-&quot;??_);_(@_)"/>
    <numFmt numFmtId="169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3" fillId="0" borderId="0" xfId="0" applyFont="1"/>
    <xf numFmtId="165" fontId="0" fillId="0" borderId="0" xfId="0" applyNumberFormat="1"/>
    <xf numFmtId="166" fontId="0" fillId="0" borderId="0" xfId="3" applyNumberFormat="1" applyFont="1"/>
    <xf numFmtId="10" fontId="0" fillId="0" borderId="0" xfId="3" applyNumberFormat="1" applyFont="1"/>
    <xf numFmtId="0" fontId="0" fillId="0" borderId="2" xfId="0" applyBorder="1"/>
    <xf numFmtId="49" fontId="0" fillId="0" borderId="1" xfId="0" applyNumberFormat="1" applyBorder="1" applyAlignment="1">
      <alignment horizontal="center" wrapText="1"/>
    </xf>
    <xf numFmtId="44" fontId="0" fillId="0" borderId="0" xfId="0" applyNumberForma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/>
    <xf numFmtId="10" fontId="0" fillId="0" borderId="0" xfId="0" applyNumberFormat="1"/>
    <xf numFmtId="168" fontId="0" fillId="0" borderId="0" xfId="2" applyNumberFormat="1" applyFont="1"/>
    <xf numFmtId="168" fontId="0" fillId="0" borderId="0" xfId="0" applyNumberFormat="1" applyAlignment="1">
      <alignment horizontal="left"/>
    </xf>
    <xf numFmtId="168" fontId="0" fillId="0" borderId="0" xfId="0" applyNumberFormat="1"/>
    <xf numFmtId="0" fontId="0" fillId="2" borderId="1" xfId="0" applyFill="1" applyBorder="1" applyAlignment="1">
      <alignment horizontal="center"/>
    </xf>
    <xf numFmtId="165" fontId="0" fillId="2" borderId="0" xfId="0" applyNumberFormat="1" applyFill="1"/>
    <xf numFmtId="10" fontId="0" fillId="2" borderId="0" xfId="3" applyNumberFormat="1" applyFont="1" applyFill="1"/>
    <xf numFmtId="0" fontId="0" fillId="2" borderId="0" xfId="0" applyFill="1"/>
    <xf numFmtId="9" fontId="0" fillId="2" borderId="0" xfId="3" applyFont="1" applyFill="1"/>
    <xf numFmtId="166" fontId="0" fillId="2" borderId="0" xfId="3" applyNumberFormat="1" applyFont="1" applyFill="1"/>
    <xf numFmtId="166" fontId="0" fillId="2" borderId="0" xfId="0" applyNumberFormat="1" applyFill="1"/>
    <xf numFmtId="3" fontId="0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center" wrapText="1"/>
    </xf>
    <xf numFmtId="44" fontId="0" fillId="0" borderId="0" xfId="2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 indent="2"/>
    </xf>
    <xf numFmtId="0" fontId="0" fillId="0" borderId="0" xfId="0" applyAlignment="1">
      <alignment horizontal="right" indent="2"/>
    </xf>
    <xf numFmtId="165" fontId="0" fillId="0" borderId="0" xfId="0" applyNumberFormat="1" applyAlignment="1">
      <alignment horizontal="right" indent="1"/>
    </xf>
    <xf numFmtId="0" fontId="2" fillId="0" borderId="0" xfId="0" quotePrefix="1" applyFont="1" applyAlignment="1">
      <alignment horizontal="center"/>
    </xf>
    <xf numFmtId="166" fontId="0" fillId="0" borderId="0" xfId="3" applyNumberFormat="1" applyFont="1" applyFill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4" fontId="0" fillId="0" borderId="0" xfId="2" applyFont="1" applyFill="1"/>
    <xf numFmtId="0" fontId="0" fillId="0" borderId="2" xfId="0" applyBorder="1" applyAlignment="1">
      <alignment horizontal="center"/>
    </xf>
    <xf numFmtId="44" fontId="0" fillId="0" borderId="2" xfId="2" applyFont="1" applyFill="1" applyBorder="1"/>
    <xf numFmtId="166" fontId="0" fillId="0" borderId="1" xfId="3" applyNumberFormat="1" applyFont="1" applyFill="1" applyBorder="1"/>
    <xf numFmtId="49" fontId="0" fillId="0" borderId="0" xfId="0" applyNumberFormat="1"/>
    <xf numFmtId="0" fontId="5" fillId="0" borderId="1" xfId="0" applyFont="1" applyBorder="1"/>
    <xf numFmtId="0" fontId="5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7" fontId="1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44" fontId="0" fillId="0" borderId="0" xfId="2" applyFont="1" applyFill="1" applyBorder="1"/>
    <xf numFmtId="165" fontId="0" fillId="0" borderId="2" xfId="0" applyNumberFormat="1" applyBorder="1"/>
    <xf numFmtId="1" fontId="0" fillId="0" borderId="0" xfId="2" applyNumberFormat="1" applyFont="1" applyBorder="1" applyAlignment="1">
      <alignment horizontal="center"/>
    </xf>
    <xf numFmtId="1" fontId="0" fillId="0" borderId="0" xfId="2" applyNumberFormat="1" applyFont="1" applyFill="1" applyBorder="1" applyAlignment="1">
      <alignment horizontal="center"/>
    </xf>
    <xf numFmtId="42" fontId="0" fillId="0" borderId="0" xfId="0" applyNumberFormat="1"/>
    <xf numFmtId="42" fontId="0" fillId="0" borderId="0" xfId="2" applyNumberFormat="1" applyFont="1" applyBorder="1"/>
    <xf numFmtId="165" fontId="0" fillId="0" borderId="0" xfId="2" applyNumberFormat="1" applyFont="1"/>
    <xf numFmtId="0" fontId="0" fillId="0" borderId="2" xfId="0" applyBorder="1" applyAlignment="1">
      <alignment horizontal="right"/>
    </xf>
    <xf numFmtId="169" fontId="0" fillId="0" borderId="0" xfId="3" applyNumberFormat="1" applyFont="1"/>
    <xf numFmtId="2" fontId="0" fillId="0" borderId="0" xfId="1" applyNumberFormat="1" applyFont="1"/>
    <xf numFmtId="164" fontId="0" fillId="0" borderId="0" xfId="3" applyNumberFormat="1" applyFont="1" applyFill="1"/>
    <xf numFmtId="0" fontId="6" fillId="0" borderId="3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8" fontId="0" fillId="4" borderId="0" xfId="2" applyNumberFormat="1" applyFont="1" applyFill="1" applyAlignment="1">
      <alignment horizontal="left"/>
    </xf>
    <xf numFmtId="168" fontId="0" fillId="4" borderId="0" xfId="0" applyNumberFormat="1" applyFill="1" applyAlignment="1">
      <alignment horizontal="left"/>
    </xf>
    <xf numFmtId="166" fontId="0" fillId="4" borderId="0" xfId="3" applyNumberFormat="1" applyFont="1" applyFill="1"/>
    <xf numFmtId="168" fontId="0" fillId="4" borderId="0" xfId="0" applyNumberFormat="1" applyFill="1"/>
    <xf numFmtId="165" fontId="0" fillId="4" borderId="0" xfId="0" applyNumberFormat="1" applyFill="1"/>
    <xf numFmtId="168" fontId="0" fillId="4" borderId="0" xfId="2" applyNumberFormat="1" applyFont="1" applyFill="1"/>
    <xf numFmtId="168" fontId="0" fillId="4" borderId="0" xfId="0" applyNumberFormat="1" applyFill="1" applyAlignment="1">
      <alignment horizontal="center"/>
    </xf>
    <xf numFmtId="169" fontId="0" fillId="4" borderId="0" xfId="0" applyNumberFormat="1" applyFill="1"/>
    <xf numFmtId="2" fontId="0" fillId="4" borderId="0" xfId="0" applyNumberFormat="1" applyFill="1"/>
    <xf numFmtId="9" fontId="0" fillId="4" borderId="0" xfId="3" applyFont="1" applyFill="1"/>
    <xf numFmtId="0" fontId="0" fillId="4" borderId="0" xfId="0" applyFill="1"/>
    <xf numFmtId="10" fontId="0" fillId="4" borderId="0" xfId="0" applyNumberFormat="1" applyFill="1"/>
    <xf numFmtId="10" fontId="0" fillId="4" borderId="0" xfId="3" applyNumberFormat="1" applyFont="1" applyFill="1"/>
    <xf numFmtId="165" fontId="0" fillId="4" borderId="0" xfId="0" applyNumberFormat="1" applyFill="1" applyAlignment="1">
      <alignment horizontal="right"/>
    </xf>
    <xf numFmtId="164" fontId="0" fillId="4" borderId="0" xfId="0" applyNumberFormat="1" applyFill="1"/>
    <xf numFmtId="6" fontId="0" fillId="4" borderId="0" xfId="0" applyNumberFormat="1" applyFill="1"/>
    <xf numFmtId="42" fontId="0" fillId="0" borderId="2" xfId="0" applyNumberFormat="1" applyBorder="1"/>
    <xf numFmtId="168" fontId="0" fillId="0" borderId="0" xfId="2" applyNumberFormat="1" applyFont="1" applyFill="1"/>
    <xf numFmtId="168" fontId="0" fillId="0" borderId="2" xfId="2" applyNumberFormat="1" applyFont="1" applyFill="1" applyBorder="1"/>
    <xf numFmtId="168" fontId="0" fillId="0" borderId="1" xfId="0" applyNumberFormat="1" applyBorder="1"/>
    <xf numFmtId="165" fontId="0" fillId="0" borderId="1" xfId="0" applyNumberFormat="1" applyBorder="1"/>
    <xf numFmtId="10" fontId="0" fillId="0" borderId="0" xfId="3" applyNumberFormat="1" applyFont="1" applyFill="1" applyBorder="1"/>
    <xf numFmtId="9" fontId="0" fillId="0" borderId="0" xfId="3" applyFont="1" applyFill="1"/>
    <xf numFmtId="9" fontId="0" fillId="0" borderId="2" xfId="3" applyFont="1" applyFill="1" applyBorder="1"/>
    <xf numFmtId="0" fontId="7" fillId="0" borderId="0" xfId="0" applyFont="1"/>
    <xf numFmtId="42" fontId="0" fillId="4" borderId="0" xfId="0" applyNumberFormat="1" applyFill="1"/>
    <xf numFmtId="42" fontId="0" fillId="4" borderId="2" xfId="0" applyNumberFormat="1" applyFill="1" applyBorder="1"/>
    <xf numFmtId="42" fontId="0" fillId="4" borderId="0" xfId="2" applyNumberFormat="1" applyFont="1" applyFill="1" applyBorder="1"/>
    <xf numFmtId="165" fontId="0" fillId="4" borderId="0" xfId="0" applyNumberFormat="1" applyFill="1" applyAlignment="1">
      <alignment horizontal="right" indent="1"/>
    </xf>
    <xf numFmtId="0" fontId="0" fillId="0" borderId="7" xfId="0" applyBorder="1"/>
    <xf numFmtId="42" fontId="0" fillId="4" borderId="7" xfId="0" applyNumberFormat="1" applyFill="1" applyBorder="1"/>
    <xf numFmtId="42" fontId="0" fillId="0" borderId="7" xfId="0" applyNumberFormat="1" applyBorder="1"/>
    <xf numFmtId="42" fontId="0" fillId="4" borderId="7" xfId="2" applyNumberFormat="1" applyFont="1" applyFill="1" applyBorder="1"/>
    <xf numFmtId="168" fontId="0" fillId="0" borderId="0" xfId="2" applyNumberFormat="1" applyFont="1" applyFill="1" applyAlignment="1">
      <alignment horizontal="left"/>
    </xf>
    <xf numFmtId="9" fontId="0" fillId="4" borderId="0" xfId="0" applyNumberFormat="1" applyFill="1"/>
    <xf numFmtId="44" fontId="0" fillId="4" borderId="0" xfId="2" applyFont="1" applyFill="1"/>
    <xf numFmtId="10" fontId="0" fillId="4" borderId="0" xfId="2" applyNumberFormat="1" applyFont="1" applyFill="1"/>
    <xf numFmtId="2" fontId="0" fillId="4" borderId="0" xfId="3" applyNumberFormat="1" applyFont="1" applyFill="1"/>
    <xf numFmtId="169" fontId="0" fillId="4" borderId="0" xfId="3" applyNumberFormat="1" applyFont="1" applyFill="1"/>
    <xf numFmtId="8" fontId="0" fillId="4" borderId="0" xfId="0" applyNumberFormat="1" applyFill="1"/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84"/>
  <sheetViews>
    <sheetView topLeftCell="A31" zoomScale="85" zoomScaleNormal="85" workbookViewId="0">
      <selection activeCell="D30" sqref="D30"/>
    </sheetView>
  </sheetViews>
  <sheetFormatPr baseColWidth="10" defaultColWidth="8.83203125" defaultRowHeight="15" x14ac:dyDescent="0.2"/>
  <cols>
    <col min="1" max="1" width="11.1640625" style="14" customWidth="1"/>
    <col min="2" max="2" width="6.5" style="69" customWidth="1"/>
    <col min="3" max="3" width="54.83203125" customWidth="1"/>
    <col min="4" max="4" width="18.83203125" customWidth="1"/>
    <col min="5" max="5" width="26" customWidth="1"/>
  </cols>
  <sheetData>
    <row r="1" spans="1:5" ht="16" thickBot="1" x14ac:dyDescent="0.25">
      <c r="A1" s="30" t="s">
        <v>112</v>
      </c>
      <c r="B1" s="71" t="s">
        <v>94</v>
      </c>
      <c r="C1" s="17"/>
      <c r="D1" s="17" t="s">
        <v>111</v>
      </c>
    </row>
    <row r="2" spans="1:5" ht="16" thickBot="1" x14ac:dyDescent="0.25">
      <c r="B2" s="70" t="s">
        <v>95</v>
      </c>
    </row>
    <row r="3" spans="1:5" ht="33" thickBot="1" x14ac:dyDescent="0.25">
      <c r="A3" s="14">
        <v>1</v>
      </c>
      <c r="B3" s="69" t="s">
        <v>245</v>
      </c>
      <c r="C3" t="s">
        <v>96</v>
      </c>
      <c r="D3" s="107">
        <f>Assumptions!D3-Financing!C2</f>
        <v>9300000</v>
      </c>
      <c r="E3" s="68" t="s">
        <v>244</v>
      </c>
    </row>
    <row r="4" spans="1:5" x14ac:dyDescent="0.2">
      <c r="A4" s="14">
        <f>A3+1</f>
        <v>2</v>
      </c>
      <c r="B4" s="69" t="s">
        <v>246</v>
      </c>
      <c r="C4" t="s">
        <v>97</v>
      </c>
      <c r="D4" s="108">
        <f>'Cash Flows'!B65</f>
        <v>9.7671317317667095E-2</v>
      </c>
    </row>
    <row r="5" spans="1:5" x14ac:dyDescent="0.2">
      <c r="A5" s="14">
        <f t="shared" ref="A5:A54" si="0">A4+1</f>
        <v>3</v>
      </c>
      <c r="B5" s="69" t="s">
        <v>246</v>
      </c>
      <c r="C5" t="s">
        <v>98</v>
      </c>
      <c r="D5" s="108">
        <f>'Cash Flows'!B66</f>
        <v>0.18234796301625189</v>
      </c>
    </row>
    <row r="6" spans="1:5" x14ac:dyDescent="0.2">
      <c r="A6" s="14">
        <f t="shared" si="0"/>
        <v>4</v>
      </c>
      <c r="B6" s="69" t="s">
        <v>246</v>
      </c>
      <c r="C6" t="s">
        <v>99</v>
      </c>
      <c r="D6" s="108">
        <f>'Cash Flows'!B67</f>
        <v>0.15913918765600377</v>
      </c>
    </row>
    <row r="7" spans="1:5" x14ac:dyDescent="0.2">
      <c r="A7" s="14">
        <f t="shared" si="0"/>
        <v>5</v>
      </c>
      <c r="B7" s="69" t="s">
        <v>245</v>
      </c>
      <c r="C7" t="s">
        <v>100</v>
      </c>
      <c r="D7" s="107">
        <f>'Cash Flows'!B70</f>
        <v>2380984.3098432757</v>
      </c>
    </row>
    <row r="8" spans="1:5" x14ac:dyDescent="0.2">
      <c r="A8" s="14">
        <f t="shared" si="0"/>
        <v>6</v>
      </c>
      <c r="B8" s="69" t="s">
        <v>245</v>
      </c>
      <c r="C8" t="s">
        <v>101</v>
      </c>
      <c r="D8" s="107">
        <f>'Cash Flows'!B71</f>
        <v>3333477.8211623598</v>
      </c>
    </row>
    <row r="9" spans="1:5" x14ac:dyDescent="0.2">
      <c r="A9" s="14">
        <f t="shared" si="0"/>
        <v>7</v>
      </c>
      <c r="B9" s="69" t="s">
        <v>245</v>
      </c>
      <c r="C9" t="s">
        <v>102</v>
      </c>
      <c r="D9" s="107">
        <f>'Cash Flows'!B72</f>
        <v>2913915.3443222605</v>
      </c>
    </row>
    <row r="10" spans="1:5" x14ac:dyDescent="0.2">
      <c r="A10" s="14">
        <f t="shared" si="0"/>
        <v>8</v>
      </c>
      <c r="B10" s="69" t="s">
        <v>246</v>
      </c>
      <c r="C10" t="s">
        <v>181</v>
      </c>
      <c r="D10" s="84">
        <f>'Cash Flows'!B75</f>
        <v>2.9090783112641027E-2</v>
      </c>
    </row>
    <row r="11" spans="1:5" x14ac:dyDescent="0.2">
      <c r="A11" s="14">
        <f t="shared" si="0"/>
        <v>9</v>
      </c>
      <c r="B11" s="69" t="s">
        <v>247</v>
      </c>
      <c r="C11" t="s">
        <v>119</v>
      </c>
      <c r="D11" s="110">
        <f>'Cash Flows'!B76</f>
        <v>19.420327898965855</v>
      </c>
    </row>
    <row r="12" spans="1:5" x14ac:dyDescent="0.2">
      <c r="A12" s="14">
        <f t="shared" si="0"/>
        <v>10</v>
      </c>
      <c r="B12" s="69" t="s">
        <v>247</v>
      </c>
      <c r="C12" t="s">
        <v>120</v>
      </c>
      <c r="D12" s="109">
        <f>'Cash Flows'!B77</f>
        <v>1.2098341590686881</v>
      </c>
    </row>
    <row r="13" spans="1:5" x14ac:dyDescent="0.2">
      <c r="A13" s="14">
        <f t="shared" si="0"/>
        <v>11</v>
      </c>
      <c r="B13" s="69" t="s">
        <v>246</v>
      </c>
      <c r="C13" t="s">
        <v>121</v>
      </c>
      <c r="D13" s="84">
        <f>'Cash Flows'!B78</f>
        <v>0.31234533174832457</v>
      </c>
    </row>
    <row r="14" spans="1:5" x14ac:dyDescent="0.2">
      <c r="A14" s="14">
        <f t="shared" si="0"/>
        <v>12</v>
      </c>
      <c r="B14" s="69" t="s">
        <v>246</v>
      </c>
      <c r="C14" t="s">
        <v>122</v>
      </c>
      <c r="D14" s="84">
        <f>'Cash Flows'!B79</f>
        <v>0.82340728703427701</v>
      </c>
    </row>
    <row r="15" spans="1:5" x14ac:dyDescent="0.2">
      <c r="A15" s="14">
        <f t="shared" si="0"/>
        <v>13</v>
      </c>
      <c r="B15" s="69" t="s">
        <v>245</v>
      </c>
      <c r="C15" t="s">
        <v>103</v>
      </c>
      <c r="D15" s="107">
        <f>Financing!C2</f>
        <v>21700000</v>
      </c>
    </row>
    <row r="16" spans="1:5" x14ac:dyDescent="0.2">
      <c r="A16" s="14">
        <f t="shared" si="0"/>
        <v>14</v>
      </c>
      <c r="B16" s="69" t="s">
        <v>245</v>
      </c>
      <c r="C16" t="s">
        <v>123</v>
      </c>
      <c r="D16" s="107">
        <f>Financing!C10</f>
        <v>217000</v>
      </c>
    </row>
    <row r="17" spans="1:5" x14ac:dyDescent="0.2">
      <c r="A17" s="14">
        <f t="shared" si="0"/>
        <v>15</v>
      </c>
      <c r="B17" s="69" t="s">
        <v>245</v>
      </c>
      <c r="C17" t="s">
        <v>104</v>
      </c>
      <c r="D17" s="107">
        <f>Financing!C14</f>
        <v>1319408.5467865933</v>
      </c>
    </row>
    <row r="18" spans="1:5" x14ac:dyDescent="0.2">
      <c r="A18" s="14">
        <f t="shared" si="0"/>
        <v>16</v>
      </c>
      <c r="B18" s="69" t="s">
        <v>245</v>
      </c>
      <c r="C18" t="s">
        <v>116</v>
      </c>
      <c r="D18" s="107">
        <f>Financing!G15</f>
        <v>19781268.024380427</v>
      </c>
    </row>
    <row r="19" spans="1:5" x14ac:dyDescent="0.2">
      <c r="A19" s="14">
        <f t="shared" si="0"/>
        <v>17</v>
      </c>
      <c r="B19" s="69" t="s">
        <v>246</v>
      </c>
      <c r="C19" t="s">
        <v>117</v>
      </c>
      <c r="D19" s="108">
        <f>Financing!C31</f>
        <v>4.7343938966846889E-2</v>
      </c>
    </row>
    <row r="20" spans="1:5" x14ac:dyDescent="0.2">
      <c r="A20" s="14">
        <f t="shared" si="0"/>
        <v>18</v>
      </c>
      <c r="B20" s="69" t="s">
        <v>245</v>
      </c>
      <c r="C20" t="s">
        <v>53</v>
      </c>
      <c r="D20" s="107">
        <f>'Cash Flows'!G30</f>
        <v>39133271.985304296</v>
      </c>
    </row>
    <row r="22" spans="1:5" x14ac:dyDescent="0.2">
      <c r="C22" s="31" t="s">
        <v>113</v>
      </c>
    </row>
    <row r="23" spans="1:5" x14ac:dyDescent="0.2">
      <c r="A23" s="14">
        <f>A20+1</f>
        <v>19</v>
      </c>
      <c r="B23" s="69" t="s">
        <v>245</v>
      </c>
      <c r="C23" t="s">
        <v>40</v>
      </c>
      <c r="D23" s="107">
        <f>'Cash Flows'!G6</f>
        <v>3009911.2214094005</v>
      </c>
    </row>
    <row r="24" spans="1:5" x14ac:dyDescent="0.2">
      <c r="A24" s="14">
        <f t="shared" si="0"/>
        <v>20</v>
      </c>
      <c r="B24" s="69" t="s">
        <v>245</v>
      </c>
      <c r="C24" t="s">
        <v>74</v>
      </c>
      <c r="D24" s="107">
        <f>'Cash Flows'!G10</f>
        <v>-140481.50762896001</v>
      </c>
    </row>
    <row r="25" spans="1:5" x14ac:dyDescent="0.2">
      <c r="A25" s="14">
        <f t="shared" si="0"/>
        <v>21</v>
      </c>
      <c r="B25" s="69" t="s">
        <v>245</v>
      </c>
      <c r="C25" t="s">
        <v>83</v>
      </c>
      <c r="D25" s="107">
        <f>'Cash Flows'!G11</f>
        <v>-720248.46269940434</v>
      </c>
    </row>
    <row r="26" spans="1:5" x14ac:dyDescent="0.2">
      <c r="A26" s="14">
        <f t="shared" si="0"/>
        <v>22</v>
      </c>
      <c r="B26" s="69" t="s">
        <v>245</v>
      </c>
      <c r="C26" t="s">
        <v>106</v>
      </c>
      <c r="D26" s="107">
        <f>'Cash Flows'!G14</f>
        <v>1319408.5467865933</v>
      </c>
    </row>
    <row r="27" spans="1:5" x14ac:dyDescent="0.2">
      <c r="A27" s="14">
        <f t="shared" si="0"/>
        <v>23</v>
      </c>
      <c r="B27" s="69" t="s">
        <v>245</v>
      </c>
      <c r="C27" t="s">
        <v>107</v>
      </c>
      <c r="D27" s="107">
        <f>'Cash Flows'!G18</f>
        <v>-900439.50778066926</v>
      </c>
    </row>
    <row r="28" spans="1:5" x14ac:dyDescent="0.2">
      <c r="A28" s="14">
        <f t="shared" si="0"/>
        <v>24</v>
      </c>
      <c r="B28" s="69" t="s">
        <v>245</v>
      </c>
      <c r="C28" t="s">
        <v>88</v>
      </c>
      <c r="D28" s="107">
        <f>'Cash Flows'!G19</f>
        <v>-901818.18181818177</v>
      </c>
    </row>
    <row r="29" spans="1:5" x14ac:dyDescent="0.2">
      <c r="A29" s="14">
        <f t="shared" si="0"/>
        <v>25</v>
      </c>
      <c r="B29" s="69" t="s">
        <v>245</v>
      </c>
      <c r="C29" t="s">
        <v>182</v>
      </c>
      <c r="D29" s="107">
        <f>'Cash Flows'!G20</f>
        <v>-7233.333333333333</v>
      </c>
    </row>
    <row r="30" spans="1:5" ht="16" thickBot="1" x14ac:dyDescent="0.25">
      <c r="A30" s="14">
        <f t="shared" si="0"/>
        <v>26</v>
      </c>
      <c r="B30" s="69" t="s">
        <v>245</v>
      </c>
      <c r="C30" t="s">
        <v>118</v>
      </c>
      <c r="D30" s="107">
        <f>'Cash Flows'!G23</f>
        <v>51813.071792220406</v>
      </c>
    </row>
    <row r="31" spans="1:5" ht="47.5" customHeight="1" thickBot="1" x14ac:dyDescent="0.25">
      <c r="A31" s="112" t="s">
        <v>242</v>
      </c>
      <c r="B31" s="113"/>
      <c r="C31" s="113"/>
      <c r="D31" s="114"/>
    </row>
    <row r="32" spans="1:5" ht="33" thickBot="1" x14ac:dyDescent="0.25">
      <c r="B32" s="69" t="s">
        <v>228</v>
      </c>
      <c r="E32" s="68" t="s">
        <v>243</v>
      </c>
    </row>
    <row r="33" spans="1:4" x14ac:dyDescent="0.2">
      <c r="A33" s="14">
        <f>A30+1</f>
        <v>27</v>
      </c>
      <c r="B33" s="69" t="s">
        <v>245</v>
      </c>
      <c r="C33" t="s">
        <v>103</v>
      </c>
      <c r="D33" s="107">
        <v>23100000</v>
      </c>
    </row>
    <row r="34" spans="1:4" x14ac:dyDescent="0.2">
      <c r="A34" s="14">
        <f t="shared" si="0"/>
        <v>28</v>
      </c>
      <c r="B34" s="69" t="s">
        <v>245</v>
      </c>
      <c r="C34" t="s">
        <v>96</v>
      </c>
      <c r="D34" s="107">
        <v>9900000</v>
      </c>
    </row>
    <row r="35" spans="1:4" x14ac:dyDescent="0.2">
      <c r="A35" s="14">
        <f t="shared" si="0"/>
        <v>29</v>
      </c>
      <c r="B35" s="69" t="s">
        <v>246</v>
      </c>
      <c r="C35" t="s">
        <v>97</v>
      </c>
      <c r="D35" s="83">
        <v>8.2699999999999996E-2</v>
      </c>
    </row>
    <row r="36" spans="1:4" x14ac:dyDescent="0.2">
      <c r="A36" s="14">
        <f t="shared" si="0"/>
        <v>30</v>
      </c>
      <c r="B36" s="69" t="s">
        <v>245</v>
      </c>
      <c r="C36" t="s">
        <v>100</v>
      </c>
      <c r="D36" s="87">
        <v>380984.31</v>
      </c>
    </row>
    <row r="37" spans="1:4" x14ac:dyDescent="0.2">
      <c r="A37" s="14">
        <f t="shared" si="0"/>
        <v>31</v>
      </c>
      <c r="B37" s="69" t="s">
        <v>246</v>
      </c>
      <c r="C37" t="s">
        <v>181</v>
      </c>
      <c r="D37" s="83">
        <v>1.89E-2</v>
      </c>
    </row>
    <row r="39" spans="1:4" x14ac:dyDescent="0.2">
      <c r="B39" s="69" t="s">
        <v>229</v>
      </c>
    </row>
    <row r="40" spans="1:4" x14ac:dyDescent="0.2">
      <c r="A40" s="14">
        <v>32</v>
      </c>
      <c r="B40" s="69" t="s">
        <v>246</v>
      </c>
      <c r="C40" t="s">
        <v>115</v>
      </c>
      <c r="D40" s="106">
        <v>0.16</v>
      </c>
    </row>
    <row r="42" spans="1:4" x14ac:dyDescent="0.2">
      <c r="B42" s="69" t="s">
        <v>230</v>
      </c>
    </row>
    <row r="43" spans="1:4" x14ac:dyDescent="0.2">
      <c r="A43" s="14">
        <v>33</v>
      </c>
      <c r="B43" s="69" t="s">
        <v>246</v>
      </c>
      <c r="C43" t="s">
        <v>97</v>
      </c>
      <c r="D43" s="83">
        <v>6.5500000000000003E-2</v>
      </c>
    </row>
    <row r="44" spans="1:4" x14ac:dyDescent="0.2">
      <c r="A44" s="14">
        <f t="shared" si="0"/>
        <v>34</v>
      </c>
      <c r="B44" s="69" t="s">
        <v>246</v>
      </c>
      <c r="C44" t="s">
        <v>98</v>
      </c>
      <c r="D44" s="83">
        <v>0.1013</v>
      </c>
    </row>
    <row r="45" spans="1:4" x14ac:dyDescent="0.2">
      <c r="A45" s="14">
        <f t="shared" si="0"/>
        <v>35</v>
      </c>
      <c r="B45" s="69" t="s">
        <v>246</v>
      </c>
      <c r="C45" t="s">
        <v>99</v>
      </c>
      <c r="D45" s="83">
        <v>8.4000000000000005E-2</v>
      </c>
    </row>
    <row r="47" spans="1:4" x14ac:dyDescent="0.2">
      <c r="B47" s="69" t="s">
        <v>231</v>
      </c>
    </row>
    <row r="48" spans="1:4" x14ac:dyDescent="0.2">
      <c r="A48" s="14">
        <v>36</v>
      </c>
      <c r="B48" s="69" t="s">
        <v>245</v>
      </c>
      <c r="C48" t="s">
        <v>103</v>
      </c>
      <c r="D48" s="87">
        <v>23250000</v>
      </c>
    </row>
    <row r="49" spans="1:4" x14ac:dyDescent="0.2">
      <c r="A49" s="14">
        <f t="shared" si="0"/>
        <v>37</v>
      </c>
      <c r="B49" s="69" t="s">
        <v>245</v>
      </c>
      <c r="C49" t="s">
        <v>96</v>
      </c>
      <c r="D49" s="87">
        <v>7750000</v>
      </c>
    </row>
    <row r="50" spans="1:4" x14ac:dyDescent="0.2">
      <c r="A50" s="14">
        <f t="shared" si="0"/>
        <v>38</v>
      </c>
      <c r="B50" s="69" t="s">
        <v>247</v>
      </c>
      <c r="C50" t="s">
        <v>232</v>
      </c>
      <c r="D50" s="82">
        <v>1.1299999999999999</v>
      </c>
    </row>
    <row r="52" spans="1:4" x14ac:dyDescent="0.2">
      <c r="B52" s="69" t="s">
        <v>239</v>
      </c>
    </row>
    <row r="53" spans="1:4" x14ac:dyDescent="0.2">
      <c r="A53" s="14">
        <v>39</v>
      </c>
      <c r="B53" s="69" t="s">
        <v>245</v>
      </c>
      <c r="C53" t="s">
        <v>108</v>
      </c>
      <c r="D53" s="111">
        <v>1561229.57</v>
      </c>
    </row>
    <row r="54" spans="1:4" x14ac:dyDescent="0.2">
      <c r="A54" s="14">
        <f t="shared" si="0"/>
        <v>40</v>
      </c>
      <c r="B54" s="69" t="s">
        <v>246</v>
      </c>
      <c r="C54" t="s">
        <v>105</v>
      </c>
      <c r="D54" s="83">
        <v>6.2399999999999997E-2</v>
      </c>
    </row>
    <row r="56" spans="1:4" x14ac:dyDescent="0.2">
      <c r="B56" s="69" t="s">
        <v>233</v>
      </c>
    </row>
    <row r="57" spans="1:4" x14ac:dyDescent="0.2">
      <c r="A57" s="14">
        <v>41</v>
      </c>
      <c r="B57" s="69" t="s">
        <v>245</v>
      </c>
      <c r="C57" t="s">
        <v>108</v>
      </c>
      <c r="D57" s="111">
        <v>1447387.77</v>
      </c>
    </row>
    <row r="59" spans="1:4" x14ac:dyDescent="0.2">
      <c r="B59" s="69" t="s">
        <v>234</v>
      </c>
    </row>
    <row r="60" spans="1:4" x14ac:dyDescent="0.2">
      <c r="A60" s="14">
        <v>42</v>
      </c>
      <c r="B60" s="69" t="s">
        <v>246</v>
      </c>
      <c r="C60" t="s">
        <v>99</v>
      </c>
      <c r="D60" s="83">
        <v>0.15790000000000001</v>
      </c>
    </row>
    <row r="62" spans="1:4" x14ac:dyDescent="0.2">
      <c r="B62" s="69" t="s">
        <v>109</v>
      </c>
    </row>
    <row r="63" spans="1:4" x14ac:dyDescent="0.2">
      <c r="A63" s="14">
        <v>43</v>
      </c>
      <c r="B63" s="69" t="s">
        <v>246</v>
      </c>
      <c r="C63" t="s">
        <v>99</v>
      </c>
      <c r="D63" s="83">
        <v>0.15429999999999999</v>
      </c>
    </row>
    <row r="65" spans="1:4" x14ac:dyDescent="0.2">
      <c r="B65" s="69" t="s">
        <v>110</v>
      </c>
    </row>
    <row r="66" spans="1:4" x14ac:dyDescent="0.2">
      <c r="A66" s="14">
        <v>44</v>
      </c>
      <c r="B66" s="69" t="s">
        <v>245</v>
      </c>
      <c r="C66" t="s">
        <v>101</v>
      </c>
      <c r="D66" s="111">
        <v>90010.240000000005</v>
      </c>
    </row>
    <row r="68" spans="1:4" x14ac:dyDescent="0.2">
      <c r="B68" s="69" t="s">
        <v>237</v>
      </c>
    </row>
    <row r="69" spans="1:4" x14ac:dyDescent="0.2">
      <c r="A69" s="14">
        <v>45</v>
      </c>
      <c r="B69" s="69" t="s">
        <v>246</v>
      </c>
      <c r="C69" t="s">
        <v>98</v>
      </c>
      <c r="D69" s="83">
        <v>0.18229999999999999</v>
      </c>
    </row>
    <row r="71" spans="1:4" x14ac:dyDescent="0.2">
      <c r="B71" s="69" t="s">
        <v>235</v>
      </c>
    </row>
    <row r="72" spans="1:4" x14ac:dyDescent="0.2">
      <c r="A72" s="14">
        <v>46</v>
      </c>
      <c r="B72" s="69" t="s">
        <v>246</v>
      </c>
      <c r="C72" t="s">
        <v>98</v>
      </c>
      <c r="D72" s="83">
        <v>0.1183</v>
      </c>
    </row>
    <row r="74" spans="1:4" x14ac:dyDescent="0.2">
      <c r="B74" s="69" t="s">
        <v>236</v>
      </c>
    </row>
    <row r="75" spans="1:4" x14ac:dyDescent="0.2">
      <c r="A75" s="14">
        <v>47</v>
      </c>
      <c r="B75" s="69" t="s">
        <v>246</v>
      </c>
      <c r="C75" t="s">
        <v>98</v>
      </c>
      <c r="D75" s="83">
        <v>0.18590000000000001</v>
      </c>
    </row>
    <row r="77" spans="1:4" x14ac:dyDescent="0.2">
      <c r="B77" s="69" t="s">
        <v>240</v>
      </c>
    </row>
    <row r="78" spans="1:4" x14ac:dyDescent="0.2">
      <c r="A78" s="14">
        <v>48</v>
      </c>
      <c r="B78" s="69" t="s">
        <v>246</v>
      </c>
      <c r="C78" t="s">
        <v>98</v>
      </c>
      <c r="D78" s="83">
        <v>0.18509999999999999</v>
      </c>
    </row>
    <row r="80" spans="1:4" x14ac:dyDescent="0.2">
      <c r="B80" s="69" t="s">
        <v>241</v>
      </c>
    </row>
    <row r="81" spans="1:4" x14ac:dyDescent="0.2">
      <c r="A81" s="14">
        <v>49</v>
      </c>
      <c r="B81" s="69" t="s">
        <v>246</v>
      </c>
      <c r="C81" t="s">
        <v>98</v>
      </c>
      <c r="D81" s="83">
        <v>0.14729999999999999</v>
      </c>
    </row>
    <row r="83" spans="1:4" x14ac:dyDescent="0.2">
      <c r="B83" s="69" t="s">
        <v>238</v>
      </c>
    </row>
    <row r="84" spans="1:4" x14ac:dyDescent="0.2">
      <c r="A84" s="14">
        <v>50</v>
      </c>
      <c r="B84" s="69" t="s">
        <v>246</v>
      </c>
      <c r="C84" t="s">
        <v>98</v>
      </c>
      <c r="D84" s="83">
        <v>0.1716</v>
      </c>
    </row>
  </sheetData>
  <mergeCells count="1">
    <mergeCell ref="A31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249977111117893"/>
  </sheetPr>
  <dimension ref="A1:H25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.6640625" customWidth="1"/>
    <col min="2" max="2" width="35.5" customWidth="1"/>
    <col min="3" max="3" width="3.6640625" style="2" customWidth="1"/>
    <col min="4" max="4" width="21.6640625" customWidth="1"/>
    <col min="5" max="5" width="11.1640625" customWidth="1"/>
    <col min="6" max="6" width="2.6640625" customWidth="1"/>
    <col min="7" max="7" width="30.6640625" customWidth="1"/>
    <col min="8" max="8" width="21.1640625" customWidth="1"/>
  </cols>
  <sheetData>
    <row r="1" spans="1:8" s="5" customFormat="1" ht="27" customHeight="1" x14ac:dyDescent="0.25">
      <c r="A1" s="115" t="s">
        <v>191</v>
      </c>
      <c r="B1" s="115"/>
      <c r="C1" s="115"/>
      <c r="D1" s="115"/>
    </row>
    <row r="2" spans="1:8" ht="21" customHeight="1" thickBot="1" x14ac:dyDescent="0.25">
      <c r="A2" s="1" t="s">
        <v>0</v>
      </c>
      <c r="D2" s="22" t="s">
        <v>93</v>
      </c>
      <c r="F2" s="1"/>
    </row>
    <row r="3" spans="1:8" ht="21" customHeight="1" x14ac:dyDescent="0.2">
      <c r="B3" t="s">
        <v>1</v>
      </c>
      <c r="C3" s="2" t="s">
        <v>3</v>
      </c>
      <c r="D3" s="23">
        <v>31000000</v>
      </c>
    </row>
    <row r="4" spans="1:8" ht="21" customHeight="1" x14ac:dyDescent="0.2">
      <c r="B4" t="s">
        <v>2</v>
      </c>
      <c r="C4" s="3" t="s">
        <v>4</v>
      </c>
      <c r="D4" s="24">
        <v>0.2</v>
      </c>
    </row>
    <row r="5" spans="1:8" ht="21" customHeight="1" x14ac:dyDescent="0.2">
      <c r="B5" t="s">
        <v>5</v>
      </c>
      <c r="C5" s="3" t="s">
        <v>4</v>
      </c>
      <c r="D5" s="24">
        <v>5.2499999999999998E-2</v>
      </c>
      <c r="G5" s="4"/>
      <c r="H5" s="18"/>
    </row>
    <row r="6" spans="1:8" ht="21" customHeight="1" x14ac:dyDescent="0.2">
      <c r="B6" t="s">
        <v>6</v>
      </c>
      <c r="C6" s="3" t="s">
        <v>4</v>
      </c>
      <c r="D6" s="24">
        <v>0.01</v>
      </c>
      <c r="G6" s="4"/>
      <c r="H6" s="18"/>
    </row>
    <row r="7" spans="1:8" ht="21" customHeight="1" x14ac:dyDescent="0.2">
      <c r="D7" s="25"/>
      <c r="G7" s="4"/>
      <c r="H7" s="18"/>
    </row>
    <row r="8" spans="1:8" ht="21" customHeight="1" x14ac:dyDescent="0.2">
      <c r="A8" s="1" t="s">
        <v>7</v>
      </c>
      <c r="D8" s="25"/>
      <c r="H8" s="18"/>
    </row>
    <row r="9" spans="1:8" ht="21" customHeight="1" x14ac:dyDescent="0.2">
      <c r="B9" t="s">
        <v>92</v>
      </c>
      <c r="C9" s="3" t="s">
        <v>4</v>
      </c>
      <c r="D9" s="26">
        <v>0.7</v>
      </c>
      <c r="G9" s="4"/>
      <c r="H9" s="63"/>
    </row>
    <row r="10" spans="1:8" ht="21" customHeight="1" x14ac:dyDescent="0.2">
      <c r="B10" t="s">
        <v>8</v>
      </c>
      <c r="C10" s="3" t="s">
        <v>4</v>
      </c>
      <c r="D10" s="24">
        <v>4.4999999999999998E-2</v>
      </c>
      <c r="G10" s="4"/>
      <c r="H10" s="63"/>
    </row>
    <row r="11" spans="1:8" ht="21" customHeight="1" x14ac:dyDescent="0.2">
      <c r="B11" t="s">
        <v>9</v>
      </c>
      <c r="D11" s="25">
        <v>30</v>
      </c>
      <c r="G11" s="4"/>
      <c r="H11" s="63"/>
    </row>
    <row r="12" spans="1:8" ht="21" customHeight="1" x14ac:dyDescent="0.2">
      <c r="B12" t="s">
        <v>10</v>
      </c>
      <c r="C12" s="3" t="s">
        <v>4</v>
      </c>
      <c r="D12" s="24">
        <v>0.01</v>
      </c>
    </row>
    <row r="13" spans="1:8" ht="21" customHeight="1" x14ac:dyDescent="0.2">
      <c r="B13" t="s">
        <v>268</v>
      </c>
      <c r="C13" s="3" t="s">
        <v>4</v>
      </c>
      <c r="D13" s="24">
        <v>0</v>
      </c>
    </row>
    <row r="14" spans="1:8" ht="21" customHeight="1" x14ac:dyDescent="0.2">
      <c r="B14" t="s">
        <v>11</v>
      </c>
      <c r="C14" s="3" t="s">
        <v>4</v>
      </c>
      <c r="D14" s="24">
        <v>0</v>
      </c>
      <c r="F14" s="1"/>
    </row>
    <row r="15" spans="1:8" ht="21" customHeight="1" x14ac:dyDescent="0.2">
      <c r="D15" s="25"/>
      <c r="H15" s="8"/>
    </row>
    <row r="16" spans="1:8" ht="21" customHeight="1" x14ac:dyDescent="0.2">
      <c r="A16" s="1" t="s">
        <v>12</v>
      </c>
      <c r="D16" s="25"/>
      <c r="H16" s="65"/>
    </row>
    <row r="17" spans="2:8" ht="21" customHeight="1" x14ac:dyDescent="0.2">
      <c r="B17" t="s">
        <v>89</v>
      </c>
      <c r="D17" s="25">
        <v>27.5</v>
      </c>
      <c r="H17" s="66"/>
    </row>
    <row r="18" spans="2:8" ht="21" customHeight="1" x14ac:dyDescent="0.2">
      <c r="B18" t="s">
        <v>13</v>
      </c>
      <c r="D18" s="25"/>
      <c r="H18" s="7"/>
    </row>
    <row r="19" spans="2:8" ht="21" customHeight="1" x14ac:dyDescent="0.2">
      <c r="B19" s="4" t="s">
        <v>90</v>
      </c>
      <c r="C19" s="3" t="s">
        <v>4</v>
      </c>
      <c r="D19" s="27">
        <v>0.36</v>
      </c>
      <c r="H19" s="7"/>
    </row>
    <row r="20" spans="2:8" ht="21" customHeight="1" x14ac:dyDescent="0.2">
      <c r="B20" s="4" t="s">
        <v>15</v>
      </c>
      <c r="C20" s="3" t="s">
        <v>4</v>
      </c>
      <c r="D20" s="27">
        <v>0.25</v>
      </c>
      <c r="F20" s="1"/>
    </row>
    <row r="21" spans="2:8" ht="21" customHeight="1" x14ac:dyDescent="0.2">
      <c r="B21" s="4" t="s">
        <v>14</v>
      </c>
      <c r="C21" s="3" t="s">
        <v>4</v>
      </c>
      <c r="D21" s="27">
        <v>0.15</v>
      </c>
      <c r="H21" s="63"/>
    </row>
    <row r="22" spans="2:8" ht="21" customHeight="1" x14ac:dyDescent="0.2">
      <c r="B22" t="s">
        <v>16</v>
      </c>
      <c r="D22" s="28"/>
      <c r="H22" s="63"/>
    </row>
    <row r="23" spans="2:8" ht="21" customHeight="1" x14ac:dyDescent="0.2">
      <c r="B23" s="4" t="s">
        <v>17</v>
      </c>
      <c r="C23" s="3" t="s">
        <v>4</v>
      </c>
      <c r="D23" s="27">
        <v>0.08</v>
      </c>
      <c r="H23" s="63"/>
    </row>
    <row r="24" spans="2:8" ht="21" customHeight="1" x14ac:dyDescent="0.2">
      <c r="B24" s="4" t="s">
        <v>18</v>
      </c>
      <c r="C24" s="3" t="s">
        <v>4</v>
      </c>
      <c r="D24" s="27">
        <v>0.11</v>
      </c>
      <c r="H24" s="63"/>
    </row>
    <row r="25" spans="2:8" ht="21" customHeight="1" x14ac:dyDescent="0.2">
      <c r="B25" s="4" t="s">
        <v>19</v>
      </c>
      <c r="C25" s="3" t="s">
        <v>4</v>
      </c>
      <c r="D25" s="27">
        <v>9.5000000000000001E-2</v>
      </c>
      <c r="H25" s="8"/>
    </row>
  </sheetData>
  <mergeCells count="1">
    <mergeCell ref="A1:D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V76"/>
  <sheetViews>
    <sheetView topLeftCell="A2" zoomScale="95" zoomScaleNormal="95" workbookViewId="0">
      <selection activeCell="E55" sqref="E55"/>
    </sheetView>
  </sheetViews>
  <sheetFormatPr baseColWidth="10" defaultColWidth="8.83203125" defaultRowHeight="15" x14ac:dyDescent="0.2"/>
  <cols>
    <col min="1" max="1" width="3.5" customWidth="1"/>
    <col min="2" max="2" width="10.33203125" customWidth="1"/>
    <col min="3" max="3" width="5.6640625" customWidth="1"/>
    <col min="4" max="4" width="11.6640625" customWidth="1"/>
    <col min="5" max="5" width="12.6640625" customWidth="1"/>
    <col min="6" max="18" width="11.6640625" customWidth="1"/>
    <col min="19" max="19" width="2.6640625" customWidth="1"/>
    <col min="20" max="20" width="12.6640625" customWidth="1"/>
    <col min="21" max="21" width="8.6640625" customWidth="1"/>
    <col min="22" max="22" width="14.83203125" customWidth="1"/>
    <col min="23" max="155" width="8.6640625" customWidth="1"/>
  </cols>
  <sheetData>
    <row r="1" spans="1:21" s="1" customFormat="1" x14ac:dyDescent="0.2">
      <c r="A1" s="1" t="s">
        <v>126</v>
      </c>
      <c r="I1" s="116" t="s">
        <v>93</v>
      </c>
      <c r="J1" s="120"/>
      <c r="K1" s="120"/>
      <c r="L1" s="120"/>
      <c r="M1" s="120"/>
      <c r="N1" s="120"/>
      <c r="O1" s="120"/>
    </row>
    <row r="2" spans="1:21" x14ac:dyDescent="0.2">
      <c r="I2" s="116"/>
      <c r="J2" s="116"/>
    </row>
    <row r="3" spans="1:21" x14ac:dyDescent="0.2">
      <c r="B3" s="1" t="s">
        <v>139</v>
      </c>
      <c r="C3" s="1"/>
      <c r="G3" s="13"/>
      <c r="I3" s="13"/>
      <c r="J3" s="13"/>
    </row>
    <row r="4" spans="1:21" x14ac:dyDescent="0.2">
      <c r="B4" s="1"/>
      <c r="C4" s="1"/>
      <c r="G4" s="13"/>
      <c r="I4" s="13"/>
      <c r="J4" s="13"/>
    </row>
    <row r="5" spans="1:21" x14ac:dyDescent="0.2">
      <c r="B5" s="34" t="s">
        <v>127</v>
      </c>
      <c r="C5" s="34"/>
      <c r="F5" s="14">
        <v>1</v>
      </c>
      <c r="G5" s="13">
        <f>F5+1</f>
        <v>2</v>
      </c>
      <c r="H5" s="13">
        <f t="shared" ref="H5:R5" si="0">G5+1</f>
        <v>3</v>
      </c>
      <c r="I5" s="13">
        <f t="shared" si="0"/>
        <v>4</v>
      </c>
      <c r="J5" s="13">
        <f t="shared" si="0"/>
        <v>5</v>
      </c>
      <c r="K5" s="13">
        <f t="shared" si="0"/>
        <v>6</v>
      </c>
      <c r="L5" s="13">
        <f t="shared" si="0"/>
        <v>7</v>
      </c>
      <c r="M5" s="13">
        <f t="shared" si="0"/>
        <v>8</v>
      </c>
      <c r="N5" s="13">
        <f t="shared" si="0"/>
        <v>9</v>
      </c>
      <c r="O5" s="13">
        <f t="shared" si="0"/>
        <v>10</v>
      </c>
      <c r="P5" s="13">
        <f t="shared" si="0"/>
        <v>11</v>
      </c>
      <c r="Q5" s="13">
        <f t="shared" si="0"/>
        <v>12</v>
      </c>
      <c r="R5" s="13">
        <f t="shared" si="0"/>
        <v>13</v>
      </c>
      <c r="S5" s="13"/>
      <c r="T5" s="13" t="s">
        <v>23</v>
      </c>
      <c r="U5" s="13"/>
    </row>
    <row r="6" spans="1:21" x14ac:dyDescent="0.2">
      <c r="B6" s="1"/>
      <c r="C6" s="1"/>
      <c r="G6" s="13"/>
      <c r="I6" s="13"/>
      <c r="J6" s="13"/>
    </row>
    <row r="7" spans="1:21" x14ac:dyDescent="0.2">
      <c r="B7" s="35" t="s">
        <v>128</v>
      </c>
      <c r="C7" s="13"/>
      <c r="D7" s="35" t="s">
        <v>129</v>
      </c>
      <c r="G7" s="13"/>
      <c r="I7" s="13"/>
      <c r="J7" s="13"/>
    </row>
    <row r="8" spans="1:21" x14ac:dyDescent="0.2">
      <c r="B8" s="13">
        <v>1</v>
      </c>
      <c r="C8" s="13"/>
      <c r="D8" t="s">
        <v>130</v>
      </c>
      <c r="G8" s="38">
        <v>875</v>
      </c>
      <c r="H8" s="38">
        <v>890</v>
      </c>
      <c r="I8" s="38">
        <v>905</v>
      </c>
      <c r="J8" s="38">
        <v>920</v>
      </c>
      <c r="K8" s="38">
        <v>955</v>
      </c>
      <c r="L8" s="38">
        <v>970</v>
      </c>
      <c r="M8" s="38">
        <v>985</v>
      </c>
      <c r="N8" s="38">
        <v>1000</v>
      </c>
      <c r="O8" s="38">
        <v>1075</v>
      </c>
      <c r="P8" s="38">
        <v>1125</v>
      </c>
      <c r="Q8" s="38">
        <v>1250</v>
      </c>
      <c r="R8" s="38">
        <v>2500</v>
      </c>
      <c r="S8" s="39"/>
      <c r="T8" s="38">
        <f>SUM(G8:R8)</f>
        <v>13450</v>
      </c>
    </row>
    <row r="9" spans="1:21" x14ac:dyDescent="0.2">
      <c r="B9" s="13">
        <f>B8+1</f>
        <v>2</v>
      </c>
      <c r="C9" s="13"/>
      <c r="D9" t="s">
        <v>130</v>
      </c>
      <c r="F9" s="14" t="s">
        <v>144</v>
      </c>
      <c r="G9" s="38">
        <f>G8</f>
        <v>875</v>
      </c>
      <c r="H9" s="38">
        <f t="shared" ref="H9:Q22" si="1">H8</f>
        <v>890</v>
      </c>
      <c r="I9" s="38">
        <f t="shared" si="1"/>
        <v>905</v>
      </c>
      <c r="J9" s="38">
        <f t="shared" si="1"/>
        <v>920</v>
      </c>
      <c r="K9" s="38">
        <f t="shared" si="1"/>
        <v>955</v>
      </c>
      <c r="L9" s="38">
        <f t="shared" si="1"/>
        <v>970</v>
      </c>
      <c r="M9" s="38">
        <f t="shared" si="1"/>
        <v>985</v>
      </c>
      <c r="N9" s="38">
        <f t="shared" si="1"/>
        <v>1000</v>
      </c>
      <c r="O9" s="38">
        <f t="shared" si="1"/>
        <v>1075</v>
      </c>
      <c r="P9" s="38">
        <f t="shared" si="1"/>
        <v>1125</v>
      </c>
      <c r="Q9" s="38">
        <f t="shared" si="1"/>
        <v>1250</v>
      </c>
      <c r="R9" s="38"/>
      <c r="T9" s="38">
        <f t="shared" ref="T9:T23" si="2">SUM(G9:R9)</f>
        <v>10950</v>
      </c>
    </row>
    <row r="10" spans="1:21" x14ac:dyDescent="0.2">
      <c r="B10" s="13">
        <f t="shared" ref="B10:B23" si="3">B9+1</f>
        <v>3</v>
      </c>
      <c r="C10" s="13"/>
      <c r="D10" t="s">
        <v>131</v>
      </c>
      <c r="F10" s="14" t="s">
        <v>145</v>
      </c>
      <c r="G10" s="38">
        <f t="shared" ref="G10:G22" si="4">G9</f>
        <v>875</v>
      </c>
      <c r="H10" s="38">
        <f t="shared" si="1"/>
        <v>890</v>
      </c>
      <c r="I10" s="38">
        <f t="shared" ref="I10:I15" si="5">I9</f>
        <v>905</v>
      </c>
      <c r="J10" s="38">
        <f t="shared" ref="J10:J22" si="6">J9</f>
        <v>920</v>
      </c>
      <c r="K10" s="38">
        <f t="shared" ref="K10:K23" si="7">K9</f>
        <v>955</v>
      </c>
      <c r="L10" s="38">
        <f t="shared" ref="L10:L23" si="8">L9</f>
        <v>970</v>
      </c>
      <c r="M10" s="38">
        <f t="shared" ref="M10:M23" si="9">M9</f>
        <v>985</v>
      </c>
      <c r="N10" s="38">
        <f t="shared" ref="N10:N23" si="10">N9</f>
        <v>1000</v>
      </c>
      <c r="O10" s="38">
        <f t="shared" ref="O10:O23" si="11">O9</f>
        <v>1075</v>
      </c>
      <c r="P10" s="38">
        <f t="shared" ref="P10:P23" si="12">P9</f>
        <v>1125</v>
      </c>
      <c r="Q10" s="38">
        <f t="shared" ref="Q10:Q23" si="13">Q9</f>
        <v>1250</v>
      </c>
      <c r="R10" s="38">
        <v>2500</v>
      </c>
      <c r="T10" s="38">
        <f t="shared" si="2"/>
        <v>13450</v>
      </c>
    </row>
    <row r="11" spans="1:21" x14ac:dyDescent="0.2">
      <c r="B11" s="13">
        <f t="shared" si="3"/>
        <v>4</v>
      </c>
      <c r="C11" s="13"/>
      <c r="D11" t="s">
        <v>132</v>
      </c>
      <c r="F11" s="14" t="s">
        <v>146</v>
      </c>
      <c r="G11" s="38">
        <f t="shared" si="4"/>
        <v>875</v>
      </c>
      <c r="H11" s="38">
        <f t="shared" si="1"/>
        <v>890</v>
      </c>
      <c r="I11" s="38">
        <f t="shared" si="5"/>
        <v>905</v>
      </c>
      <c r="J11" s="38">
        <f t="shared" si="6"/>
        <v>920</v>
      </c>
      <c r="K11" s="38">
        <v>1550</v>
      </c>
      <c r="L11" s="38">
        <v>960</v>
      </c>
      <c r="M11" s="38">
        <v>975</v>
      </c>
      <c r="N11" s="38">
        <v>990</v>
      </c>
      <c r="O11" s="38">
        <f t="shared" si="11"/>
        <v>1075</v>
      </c>
      <c r="P11" s="38">
        <v>1600</v>
      </c>
      <c r="Q11" s="38">
        <f t="shared" si="13"/>
        <v>1250</v>
      </c>
      <c r="R11" s="38"/>
      <c r="T11" s="38">
        <f t="shared" si="2"/>
        <v>11990</v>
      </c>
    </row>
    <row r="12" spans="1:21" x14ac:dyDescent="0.2">
      <c r="B12" s="13">
        <f t="shared" si="3"/>
        <v>5</v>
      </c>
      <c r="C12" s="13"/>
      <c r="D12" t="s">
        <v>132</v>
      </c>
      <c r="F12" s="14" t="s">
        <v>132</v>
      </c>
      <c r="G12" s="38">
        <f t="shared" si="4"/>
        <v>875</v>
      </c>
      <c r="H12" s="38">
        <f t="shared" si="1"/>
        <v>890</v>
      </c>
      <c r="I12" s="38">
        <f t="shared" si="5"/>
        <v>905</v>
      </c>
      <c r="J12" s="38">
        <f t="shared" si="6"/>
        <v>920</v>
      </c>
      <c r="K12" s="38"/>
      <c r="L12" s="38">
        <f t="shared" si="8"/>
        <v>960</v>
      </c>
      <c r="M12" s="38">
        <f t="shared" si="9"/>
        <v>975</v>
      </c>
      <c r="N12" s="38">
        <f t="shared" si="10"/>
        <v>990</v>
      </c>
      <c r="O12" s="38">
        <f t="shared" si="11"/>
        <v>1075</v>
      </c>
      <c r="P12" s="38"/>
      <c r="Q12" s="38">
        <f t="shared" si="13"/>
        <v>1250</v>
      </c>
      <c r="R12" s="38">
        <v>2500</v>
      </c>
      <c r="T12" s="38">
        <f t="shared" si="2"/>
        <v>11340</v>
      </c>
    </row>
    <row r="13" spans="1:21" x14ac:dyDescent="0.2">
      <c r="B13" s="13">
        <f t="shared" si="3"/>
        <v>6</v>
      </c>
      <c r="C13" s="13"/>
      <c r="D13" t="s">
        <v>133</v>
      </c>
      <c r="F13" s="14" t="s">
        <v>147</v>
      </c>
      <c r="G13" s="38">
        <f t="shared" si="4"/>
        <v>875</v>
      </c>
      <c r="H13" s="38">
        <f t="shared" si="1"/>
        <v>890</v>
      </c>
      <c r="I13" s="38">
        <f t="shared" si="5"/>
        <v>905</v>
      </c>
      <c r="J13" s="38">
        <f t="shared" si="6"/>
        <v>920</v>
      </c>
      <c r="K13" s="38">
        <v>945</v>
      </c>
      <c r="L13" s="38">
        <f t="shared" si="8"/>
        <v>960</v>
      </c>
      <c r="M13" s="38">
        <f t="shared" si="9"/>
        <v>975</v>
      </c>
      <c r="N13" s="38">
        <f t="shared" si="10"/>
        <v>990</v>
      </c>
      <c r="O13" s="38">
        <f t="shared" si="11"/>
        <v>1075</v>
      </c>
      <c r="P13" s="38">
        <v>1125</v>
      </c>
      <c r="Q13" s="38">
        <f t="shared" si="13"/>
        <v>1250</v>
      </c>
      <c r="R13" s="38"/>
      <c r="T13" s="38">
        <f t="shared" si="2"/>
        <v>10910</v>
      </c>
    </row>
    <row r="14" spans="1:21" x14ac:dyDescent="0.2">
      <c r="B14" s="13">
        <f t="shared" si="3"/>
        <v>7</v>
      </c>
      <c r="C14" s="13"/>
      <c r="D14" t="s">
        <v>133</v>
      </c>
      <c r="F14" s="14" t="s">
        <v>148</v>
      </c>
      <c r="G14" s="38">
        <f t="shared" si="4"/>
        <v>875</v>
      </c>
      <c r="H14" s="38">
        <f t="shared" si="1"/>
        <v>890</v>
      </c>
      <c r="I14" s="38">
        <f t="shared" si="5"/>
        <v>905</v>
      </c>
      <c r="J14" s="38">
        <f t="shared" si="6"/>
        <v>920</v>
      </c>
      <c r="K14" s="38">
        <f t="shared" si="7"/>
        <v>945</v>
      </c>
      <c r="L14" s="38">
        <f t="shared" si="8"/>
        <v>960</v>
      </c>
      <c r="M14" s="38">
        <f t="shared" si="9"/>
        <v>975</v>
      </c>
      <c r="N14" s="38">
        <f t="shared" si="10"/>
        <v>990</v>
      </c>
      <c r="O14" s="38">
        <f t="shared" si="11"/>
        <v>1075</v>
      </c>
      <c r="P14" s="38">
        <f t="shared" si="12"/>
        <v>1125</v>
      </c>
      <c r="Q14" s="38">
        <f t="shared" si="13"/>
        <v>1250</v>
      </c>
      <c r="R14" s="38">
        <v>2500</v>
      </c>
      <c r="T14" s="38">
        <f t="shared" si="2"/>
        <v>13410</v>
      </c>
    </row>
    <row r="15" spans="1:21" x14ac:dyDescent="0.2">
      <c r="B15" s="13">
        <f t="shared" si="3"/>
        <v>8</v>
      </c>
      <c r="C15" s="13"/>
      <c r="D15" t="s">
        <v>134</v>
      </c>
      <c r="F15" s="14" t="s">
        <v>149</v>
      </c>
      <c r="G15" s="38">
        <f t="shared" si="4"/>
        <v>875</v>
      </c>
      <c r="H15" s="38">
        <f t="shared" si="1"/>
        <v>890</v>
      </c>
      <c r="I15" s="38">
        <f t="shared" si="5"/>
        <v>905</v>
      </c>
      <c r="J15" s="38">
        <f t="shared" si="6"/>
        <v>920</v>
      </c>
      <c r="K15" s="38">
        <f t="shared" si="7"/>
        <v>945</v>
      </c>
      <c r="L15" s="38">
        <f t="shared" si="8"/>
        <v>960</v>
      </c>
      <c r="M15" s="38">
        <f t="shared" si="9"/>
        <v>975</v>
      </c>
      <c r="N15" s="38">
        <f t="shared" si="10"/>
        <v>990</v>
      </c>
      <c r="O15" s="38">
        <f t="shared" si="11"/>
        <v>1075</v>
      </c>
      <c r="P15" s="38">
        <f t="shared" si="12"/>
        <v>1125</v>
      </c>
      <c r="Q15" s="38">
        <f t="shared" si="13"/>
        <v>1250</v>
      </c>
      <c r="R15" s="38"/>
      <c r="T15" s="38">
        <f t="shared" si="2"/>
        <v>10910</v>
      </c>
    </row>
    <row r="16" spans="1:21" x14ac:dyDescent="0.2">
      <c r="B16" s="13">
        <f t="shared" si="3"/>
        <v>9</v>
      </c>
      <c r="C16" s="13"/>
      <c r="D16" t="s">
        <v>134</v>
      </c>
      <c r="F16" s="14"/>
      <c r="G16" s="38">
        <f t="shared" si="4"/>
        <v>875</v>
      </c>
      <c r="H16" s="38">
        <f t="shared" si="1"/>
        <v>890</v>
      </c>
      <c r="I16" s="38">
        <v>1500</v>
      </c>
      <c r="J16" s="38">
        <f t="shared" si="6"/>
        <v>920</v>
      </c>
      <c r="K16" s="38">
        <f t="shared" si="7"/>
        <v>945</v>
      </c>
      <c r="L16" s="38">
        <f t="shared" si="8"/>
        <v>960</v>
      </c>
      <c r="M16" s="38">
        <f t="shared" si="9"/>
        <v>975</v>
      </c>
      <c r="N16" s="38">
        <f t="shared" si="10"/>
        <v>990</v>
      </c>
      <c r="O16" s="38">
        <f t="shared" si="11"/>
        <v>1075</v>
      </c>
      <c r="P16" s="38">
        <f t="shared" si="12"/>
        <v>1125</v>
      </c>
      <c r="Q16" s="38">
        <f t="shared" si="13"/>
        <v>1250</v>
      </c>
      <c r="R16" s="38">
        <v>2500</v>
      </c>
      <c r="T16" s="38">
        <f t="shared" si="2"/>
        <v>14005</v>
      </c>
    </row>
    <row r="17" spans="2:22" x14ac:dyDescent="0.2">
      <c r="B17" s="13">
        <f t="shared" si="3"/>
        <v>10</v>
      </c>
      <c r="C17" s="13"/>
      <c r="D17" t="s">
        <v>135</v>
      </c>
      <c r="F17" s="14" t="s">
        <v>150</v>
      </c>
      <c r="G17" s="38">
        <f t="shared" si="4"/>
        <v>875</v>
      </c>
      <c r="H17" s="38">
        <f t="shared" si="1"/>
        <v>890</v>
      </c>
      <c r="I17" s="38"/>
      <c r="J17" s="38">
        <v>930</v>
      </c>
      <c r="K17" s="38">
        <v>955</v>
      </c>
      <c r="L17" s="38">
        <v>970</v>
      </c>
      <c r="M17" s="38">
        <v>985</v>
      </c>
      <c r="N17" s="38">
        <v>1000</v>
      </c>
      <c r="O17" s="38">
        <f t="shared" si="11"/>
        <v>1075</v>
      </c>
      <c r="P17" s="38">
        <f t="shared" si="12"/>
        <v>1125</v>
      </c>
      <c r="Q17" s="38">
        <f t="shared" si="13"/>
        <v>1250</v>
      </c>
      <c r="R17" s="38"/>
      <c r="T17" s="38">
        <f t="shared" si="2"/>
        <v>10055</v>
      </c>
    </row>
    <row r="18" spans="2:22" x14ac:dyDescent="0.2">
      <c r="B18" s="13">
        <f t="shared" si="3"/>
        <v>11</v>
      </c>
      <c r="C18" s="13"/>
      <c r="D18" t="s">
        <v>136</v>
      </c>
      <c r="F18" s="14" t="s">
        <v>152</v>
      </c>
      <c r="G18" s="38">
        <v>895</v>
      </c>
      <c r="H18" s="38">
        <v>910</v>
      </c>
      <c r="I18" s="38">
        <v>925</v>
      </c>
      <c r="J18" s="38">
        <v>940</v>
      </c>
      <c r="K18" s="38">
        <f t="shared" si="7"/>
        <v>955</v>
      </c>
      <c r="L18" s="38">
        <v>970</v>
      </c>
      <c r="M18" s="38">
        <f t="shared" si="9"/>
        <v>985</v>
      </c>
      <c r="N18" s="38">
        <f t="shared" si="10"/>
        <v>1000</v>
      </c>
      <c r="O18" s="38">
        <f t="shared" si="11"/>
        <v>1075</v>
      </c>
      <c r="P18" s="38">
        <v>1000</v>
      </c>
      <c r="Q18" s="38">
        <f t="shared" si="13"/>
        <v>1250</v>
      </c>
      <c r="R18" s="38">
        <v>2500</v>
      </c>
      <c r="T18" s="38">
        <f t="shared" si="2"/>
        <v>13405</v>
      </c>
    </row>
    <row r="19" spans="2:22" x14ac:dyDescent="0.2">
      <c r="B19" s="13">
        <f t="shared" si="3"/>
        <v>12</v>
      </c>
      <c r="C19" s="13"/>
      <c r="D19" t="s">
        <v>137</v>
      </c>
      <c r="F19" s="14" t="s">
        <v>144</v>
      </c>
      <c r="G19" s="38">
        <f t="shared" si="4"/>
        <v>895</v>
      </c>
      <c r="H19" s="38">
        <f t="shared" si="1"/>
        <v>910</v>
      </c>
      <c r="I19" s="38">
        <f>I18</f>
        <v>925</v>
      </c>
      <c r="J19" s="38">
        <f t="shared" si="6"/>
        <v>940</v>
      </c>
      <c r="K19" s="38">
        <f t="shared" si="7"/>
        <v>955</v>
      </c>
      <c r="L19" s="38">
        <f t="shared" si="8"/>
        <v>970</v>
      </c>
      <c r="M19" s="38">
        <f t="shared" si="9"/>
        <v>985</v>
      </c>
      <c r="N19" s="38">
        <f t="shared" si="10"/>
        <v>1000</v>
      </c>
      <c r="O19" s="38">
        <f t="shared" si="11"/>
        <v>1075</v>
      </c>
      <c r="P19" s="38">
        <v>1600</v>
      </c>
      <c r="Q19" s="38">
        <f t="shared" si="13"/>
        <v>1250</v>
      </c>
      <c r="R19" s="38"/>
      <c r="T19" s="38">
        <f t="shared" si="2"/>
        <v>11505</v>
      </c>
    </row>
    <row r="20" spans="2:22" x14ac:dyDescent="0.2">
      <c r="B20" s="13">
        <f t="shared" si="3"/>
        <v>13</v>
      </c>
      <c r="C20" s="13"/>
      <c r="D20" t="s">
        <v>137</v>
      </c>
      <c r="F20" s="14" t="s">
        <v>151</v>
      </c>
      <c r="G20" s="38">
        <f t="shared" si="4"/>
        <v>895</v>
      </c>
      <c r="H20" s="38">
        <f t="shared" si="1"/>
        <v>910</v>
      </c>
      <c r="I20" s="38">
        <f>I19</f>
        <v>925</v>
      </c>
      <c r="J20" s="38">
        <f t="shared" si="6"/>
        <v>940</v>
      </c>
      <c r="K20" s="38">
        <f t="shared" si="7"/>
        <v>955</v>
      </c>
      <c r="L20" s="38">
        <f t="shared" si="8"/>
        <v>970</v>
      </c>
      <c r="M20" s="38">
        <f t="shared" si="9"/>
        <v>985</v>
      </c>
      <c r="N20" s="38">
        <f t="shared" si="10"/>
        <v>1000</v>
      </c>
      <c r="O20" s="38">
        <f t="shared" si="11"/>
        <v>1075</v>
      </c>
      <c r="P20" s="38"/>
      <c r="Q20" s="38">
        <f t="shared" si="13"/>
        <v>1250</v>
      </c>
      <c r="R20" s="37" t="s">
        <v>153</v>
      </c>
      <c r="T20" s="38">
        <f t="shared" si="2"/>
        <v>9905</v>
      </c>
    </row>
    <row r="21" spans="2:22" x14ac:dyDescent="0.2">
      <c r="B21" s="13">
        <f t="shared" si="3"/>
        <v>14</v>
      </c>
      <c r="C21" s="13"/>
      <c r="D21" t="s">
        <v>138</v>
      </c>
      <c r="F21" s="14" t="s">
        <v>146</v>
      </c>
      <c r="G21" s="38">
        <f t="shared" si="4"/>
        <v>895</v>
      </c>
      <c r="H21" s="38">
        <f t="shared" si="1"/>
        <v>910</v>
      </c>
      <c r="I21" s="38">
        <f>I20</f>
        <v>925</v>
      </c>
      <c r="J21" s="38">
        <f t="shared" si="6"/>
        <v>940</v>
      </c>
      <c r="K21" s="38">
        <f t="shared" si="7"/>
        <v>955</v>
      </c>
      <c r="L21" s="38">
        <f t="shared" si="8"/>
        <v>970</v>
      </c>
      <c r="M21" s="38">
        <f t="shared" si="9"/>
        <v>985</v>
      </c>
      <c r="N21" s="38">
        <f t="shared" si="10"/>
        <v>1000</v>
      </c>
      <c r="O21" s="38">
        <f t="shared" si="11"/>
        <v>1075</v>
      </c>
      <c r="P21" s="38">
        <v>1125</v>
      </c>
      <c r="Q21" s="38">
        <f t="shared" si="13"/>
        <v>1250</v>
      </c>
      <c r="R21" s="37" t="s">
        <v>154</v>
      </c>
      <c r="T21" s="38">
        <f t="shared" si="2"/>
        <v>11030</v>
      </c>
    </row>
    <row r="22" spans="2:22" x14ac:dyDescent="0.2">
      <c r="B22" s="13">
        <f t="shared" si="3"/>
        <v>15</v>
      </c>
      <c r="C22" s="13"/>
      <c r="D22" t="s">
        <v>138</v>
      </c>
      <c r="G22" s="38">
        <f t="shared" si="4"/>
        <v>895</v>
      </c>
      <c r="H22" s="38">
        <f t="shared" si="1"/>
        <v>910</v>
      </c>
      <c r="I22" s="38">
        <f>I21</f>
        <v>925</v>
      </c>
      <c r="J22" s="38">
        <f t="shared" si="6"/>
        <v>940</v>
      </c>
      <c r="K22" s="38">
        <f t="shared" si="7"/>
        <v>955</v>
      </c>
      <c r="L22" s="38">
        <f t="shared" si="8"/>
        <v>970</v>
      </c>
      <c r="M22" s="38">
        <f t="shared" si="9"/>
        <v>985</v>
      </c>
      <c r="N22" s="38">
        <f t="shared" si="10"/>
        <v>1000</v>
      </c>
      <c r="O22" s="38">
        <f t="shared" si="11"/>
        <v>1075</v>
      </c>
      <c r="P22" s="38">
        <f t="shared" si="12"/>
        <v>1125</v>
      </c>
      <c r="Q22" s="38">
        <f t="shared" si="13"/>
        <v>1250</v>
      </c>
      <c r="R22" s="38">
        <v>2500</v>
      </c>
      <c r="T22" s="38">
        <f t="shared" si="2"/>
        <v>13530</v>
      </c>
    </row>
    <row r="23" spans="2:22" x14ac:dyDescent="0.2">
      <c r="B23" s="13">
        <f t="shared" si="3"/>
        <v>16</v>
      </c>
      <c r="C23" s="13"/>
      <c r="D23" t="s">
        <v>130</v>
      </c>
      <c r="G23" s="38">
        <v>875</v>
      </c>
      <c r="H23" s="38">
        <v>890</v>
      </c>
      <c r="I23" s="38">
        <f>I22</f>
        <v>925</v>
      </c>
      <c r="J23" s="38">
        <v>930</v>
      </c>
      <c r="K23" s="38">
        <f t="shared" si="7"/>
        <v>955</v>
      </c>
      <c r="L23" s="38">
        <f t="shared" si="8"/>
        <v>970</v>
      </c>
      <c r="M23" s="38">
        <f t="shared" si="9"/>
        <v>985</v>
      </c>
      <c r="N23" s="38">
        <f t="shared" si="10"/>
        <v>1000</v>
      </c>
      <c r="O23" s="38">
        <f t="shared" si="11"/>
        <v>1075</v>
      </c>
      <c r="P23" s="38">
        <f t="shared" si="12"/>
        <v>1125</v>
      </c>
      <c r="Q23" s="38">
        <f t="shared" si="13"/>
        <v>1250</v>
      </c>
      <c r="R23" s="38"/>
      <c r="T23" s="38">
        <f t="shared" si="2"/>
        <v>10980</v>
      </c>
    </row>
    <row r="24" spans="2:22" x14ac:dyDescent="0.2">
      <c r="B24" s="13"/>
      <c r="C24" s="13"/>
      <c r="G24" s="13"/>
      <c r="I24" s="13"/>
      <c r="J24" s="13"/>
    </row>
    <row r="25" spans="2:22" x14ac:dyDescent="0.2">
      <c r="B25" s="36" t="s">
        <v>140</v>
      </c>
      <c r="C25" s="13"/>
      <c r="G25" s="40">
        <f>SUM(G8:G23)</f>
        <v>14100</v>
      </c>
      <c r="H25" s="40">
        <f t="shared" ref="H25:T25" si="14">SUM(H8:H23)</f>
        <v>14340</v>
      </c>
      <c r="I25" s="40">
        <f>SUM(I8:I23)</f>
        <v>14290</v>
      </c>
      <c r="J25" s="40">
        <f t="shared" si="14"/>
        <v>14840</v>
      </c>
      <c r="K25" s="40">
        <f t="shared" si="14"/>
        <v>14880</v>
      </c>
      <c r="L25" s="40">
        <f t="shared" si="14"/>
        <v>15460</v>
      </c>
      <c r="M25" s="40">
        <f t="shared" si="14"/>
        <v>15700</v>
      </c>
      <c r="N25" s="40">
        <f t="shared" si="14"/>
        <v>15940</v>
      </c>
      <c r="O25" s="40">
        <f t="shared" si="14"/>
        <v>17200</v>
      </c>
      <c r="P25" s="40">
        <f t="shared" si="14"/>
        <v>16575</v>
      </c>
      <c r="Q25" s="40">
        <f t="shared" si="14"/>
        <v>20000</v>
      </c>
      <c r="R25" s="40">
        <f t="shared" si="14"/>
        <v>17500</v>
      </c>
      <c r="S25" s="40"/>
      <c r="T25" s="40">
        <f t="shared" si="14"/>
        <v>190825</v>
      </c>
    </row>
    <row r="26" spans="2:22" x14ac:dyDescent="0.2">
      <c r="B26" s="36" t="s">
        <v>141</v>
      </c>
      <c r="C26" s="13"/>
      <c r="G26" s="40">
        <f>G25*12</f>
        <v>169200</v>
      </c>
      <c r="H26" s="40">
        <f t="shared" ref="H26:R26" si="15">H25*12</f>
        <v>172080</v>
      </c>
      <c r="I26" s="40">
        <f t="shared" si="15"/>
        <v>171480</v>
      </c>
      <c r="J26" s="40">
        <f t="shared" si="15"/>
        <v>178080</v>
      </c>
      <c r="K26" s="40">
        <f t="shared" si="15"/>
        <v>178560</v>
      </c>
      <c r="L26" s="40">
        <f t="shared" si="15"/>
        <v>185520</v>
      </c>
      <c r="M26" s="40">
        <f t="shared" si="15"/>
        <v>188400</v>
      </c>
      <c r="N26" s="40">
        <f t="shared" si="15"/>
        <v>191280</v>
      </c>
      <c r="O26" s="40">
        <f t="shared" si="15"/>
        <v>206400</v>
      </c>
      <c r="P26" s="40">
        <f t="shared" si="15"/>
        <v>198900</v>
      </c>
      <c r="Q26" s="40">
        <f t="shared" si="15"/>
        <v>240000</v>
      </c>
      <c r="R26" s="40">
        <f t="shared" si="15"/>
        <v>210000</v>
      </c>
      <c r="S26" s="40"/>
      <c r="T26" s="100">
        <f>T25*12</f>
        <v>2289900</v>
      </c>
      <c r="V26" s="6">
        <f>$T$26</f>
        <v>2289900</v>
      </c>
    </row>
    <row r="27" spans="2:22" x14ac:dyDescent="0.2">
      <c r="B27" s="13"/>
      <c r="C27" s="13"/>
      <c r="G27" s="13"/>
      <c r="I27" s="13"/>
      <c r="J27" s="13"/>
      <c r="V27" s="40">
        <v>2289900</v>
      </c>
    </row>
    <row r="28" spans="2:22" x14ac:dyDescent="0.2">
      <c r="B28" s="1" t="s">
        <v>142</v>
      </c>
      <c r="C28" s="1"/>
      <c r="G28" s="14">
        <v>16</v>
      </c>
      <c r="H28" s="14">
        <v>16</v>
      </c>
      <c r="I28" s="14">
        <v>15</v>
      </c>
      <c r="J28" s="14">
        <v>16</v>
      </c>
      <c r="K28" s="14">
        <v>15</v>
      </c>
      <c r="L28" s="14">
        <v>16</v>
      </c>
      <c r="M28" s="14">
        <v>16</v>
      </c>
      <c r="N28" s="14">
        <v>16</v>
      </c>
      <c r="O28" s="14">
        <v>16</v>
      </c>
      <c r="P28" s="14">
        <v>14</v>
      </c>
      <c r="Q28" s="14">
        <v>16</v>
      </c>
      <c r="R28" s="14">
        <v>7</v>
      </c>
      <c r="T28" s="39">
        <f>SUM(G28:R28)</f>
        <v>179</v>
      </c>
    </row>
    <row r="29" spans="2:22" x14ac:dyDescent="0.2">
      <c r="B29" s="1"/>
      <c r="C29" s="1"/>
      <c r="G29" s="13"/>
      <c r="I29" s="13"/>
      <c r="J29" s="13"/>
    </row>
    <row r="30" spans="2:22" x14ac:dyDescent="0.2">
      <c r="B30" s="1" t="s">
        <v>143</v>
      </c>
      <c r="C30" s="1"/>
      <c r="G30" s="37">
        <f>AVERAGE(G8:G23)</f>
        <v>881.25</v>
      </c>
      <c r="H30" s="37">
        <f t="shared" ref="H30:R30" si="16">AVERAGE(H8:H23)</f>
        <v>896.25</v>
      </c>
      <c r="I30" s="37">
        <f t="shared" si="16"/>
        <v>952.66666666666663</v>
      </c>
      <c r="J30" s="37">
        <f t="shared" si="16"/>
        <v>927.5</v>
      </c>
      <c r="K30" s="37">
        <f t="shared" si="16"/>
        <v>992</v>
      </c>
      <c r="L30" s="37">
        <f t="shared" si="16"/>
        <v>966.25</v>
      </c>
      <c r="M30" s="37">
        <f t="shared" si="16"/>
        <v>981.25</v>
      </c>
      <c r="N30" s="37">
        <f t="shared" si="16"/>
        <v>996.25</v>
      </c>
      <c r="O30" s="37">
        <f t="shared" si="16"/>
        <v>1075</v>
      </c>
      <c r="P30" s="37">
        <f t="shared" si="16"/>
        <v>1183.9285714285713</v>
      </c>
      <c r="Q30" s="37">
        <f t="shared" si="16"/>
        <v>1250</v>
      </c>
      <c r="R30" s="37">
        <f t="shared" si="16"/>
        <v>2500</v>
      </c>
    </row>
    <row r="31" spans="2:22" x14ac:dyDescent="0.2">
      <c r="B31" s="1"/>
      <c r="C31" s="1"/>
      <c r="G31" s="13"/>
      <c r="I31" s="13"/>
      <c r="J31" s="13"/>
    </row>
    <row r="32" spans="2:22" x14ac:dyDescent="0.2">
      <c r="B32" s="1"/>
      <c r="C32" s="41"/>
      <c r="G32" s="13"/>
      <c r="I32" s="13"/>
      <c r="J32" s="13"/>
    </row>
    <row r="33" spans="2:18" x14ac:dyDescent="0.2">
      <c r="B33" s="1"/>
      <c r="C33" s="41"/>
      <c r="G33" s="13"/>
      <c r="I33" s="13"/>
      <c r="J33" s="13"/>
    </row>
    <row r="34" spans="2:18" x14ac:dyDescent="0.2">
      <c r="B34" s="1"/>
      <c r="C34" s="1"/>
      <c r="G34" s="13"/>
      <c r="I34" s="13"/>
      <c r="J34" s="13"/>
    </row>
    <row r="36" spans="2:18" ht="19" x14ac:dyDescent="0.25">
      <c r="B36" s="96" t="s">
        <v>24</v>
      </c>
      <c r="C36" s="1"/>
      <c r="G36" s="117" t="s">
        <v>93</v>
      </c>
      <c r="H36" s="116"/>
      <c r="I36" s="116"/>
      <c r="J36" s="13"/>
      <c r="L36" s="116" t="s">
        <v>250</v>
      </c>
      <c r="M36" s="116"/>
      <c r="N36" s="116"/>
      <c r="O36" s="116"/>
      <c r="P36" s="116"/>
      <c r="Q36" s="116"/>
      <c r="R36" s="116"/>
    </row>
    <row r="37" spans="2:18" ht="33" customHeight="1" thickBot="1" x14ac:dyDescent="0.25">
      <c r="C37" s="17" t="s">
        <v>27</v>
      </c>
      <c r="D37" s="12"/>
      <c r="E37" s="12"/>
      <c r="F37" s="43" t="s">
        <v>28</v>
      </c>
      <c r="G37" s="44" t="s">
        <v>30</v>
      </c>
      <c r="H37" s="45" t="s">
        <v>25</v>
      </c>
      <c r="I37" s="45" t="s">
        <v>26</v>
      </c>
      <c r="J37" s="43" t="s">
        <v>200</v>
      </c>
      <c r="L37" s="2" t="s">
        <v>168</v>
      </c>
      <c r="M37" s="14">
        <v>1</v>
      </c>
      <c r="N37" s="14">
        <v>2</v>
      </c>
      <c r="O37" s="14">
        <v>3</v>
      </c>
      <c r="P37" s="14">
        <v>4</v>
      </c>
      <c r="Q37" s="14">
        <v>5</v>
      </c>
      <c r="R37" s="14">
        <v>6</v>
      </c>
    </row>
    <row r="38" spans="2:18" x14ac:dyDescent="0.2">
      <c r="C38" t="s">
        <v>155</v>
      </c>
      <c r="F38" s="14">
        <v>160</v>
      </c>
      <c r="G38" s="6">
        <f>36000/12</f>
        <v>3000</v>
      </c>
      <c r="H38" s="46"/>
      <c r="J38" s="6">
        <f>G38*12</f>
        <v>36000</v>
      </c>
      <c r="M38" s="76">
        <f>J38</f>
        <v>36000</v>
      </c>
      <c r="N38" s="76">
        <f>M38*(1+E47)</f>
        <v>37080</v>
      </c>
      <c r="O38" s="76">
        <f t="shared" ref="O38:R40" si="17">N38*(1+F47)</f>
        <v>38192.400000000001</v>
      </c>
      <c r="P38" s="76">
        <f t="shared" si="17"/>
        <v>39338.172000000006</v>
      </c>
      <c r="Q38" s="76">
        <f t="shared" si="17"/>
        <v>40518.317160000006</v>
      </c>
      <c r="R38" s="76">
        <f t="shared" si="17"/>
        <v>41733.866674800011</v>
      </c>
    </row>
    <row r="39" spans="2:18" x14ac:dyDescent="0.2">
      <c r="C39" t="s">
        <v>156</v>
      </c>
      <c r="F39" s="14">
        <f>T28</f>
        <v>179</v>
      </c>
      <c r="H39" s="46">
        <v>45</v>
      </c>
      <c r="J39" s="6">
        <f>H39*F39*12</f>
        <v>96660</v>
      </c>
      <c r="M39" s="76">
        <f t="shared" ref="M39:M40" si="18">J39</f>
        <v>96660</v>
      </c>
      <c r="N39" s="76">
        <f t="shared" ref="N39:N40" si="19">M39*(1+E48)</f>
        <v>98593.2</v>
      </c>
      <c r="O39" s="76">
        <f t="shared" si="17"/>
        <v>100565.064</v>
      </c>
      <c r="P39" s="76">
        <f t="shared" si="17"/>
        <v>102576.36528</v>
      </c>
      <c r="Q39" s="76">
        <f t="shared" si="17"/>
        <v>104627.8925856</v>
      </c>
      <c r="R39" s="76">
        <f t="shared" si="17"/>
        <v>106720.450437312</v>
      </c>
    </row>
    <row r="40" spans="2:18" x14ac:dyDescent="0.2">
      <c r="C40" s="9" t="s">
        <v>157</v>
      </c>
      <c r="D40" s="9"/>
      <c r="E40" s="9"/>
      <c r="F40" s="47">
        <f>T28</f>
        <v>179</v>
      </c>
      <c r="G40" s="9"/>
      <c r="H40" s="48">
        <v>35</v>
      </c>
      <c r="I40" s="9"/>
      <c r="J40" s="58">
        <f>H40*F40*12</f>
        <v>75180</v>
      </c>
      <c r="M40" s="76">
        <f t="shared" si="18"/>
        <v>75180</v>
      </c>
      <c r="N40" s="76">
        <f t="shared" si="19"/>
        <v>76683.600000000006</v>
      </c>
      <c r="O40" s="76">
        <f t="shared" si="17"/>
        <v>78217.272000000012</v>
      </c>
      <c r="P40" s="76">
        <f t="shared" si="17"/>
        <v>79781.617440000016</v>
      </c>
      <c r="Q40" s="76">
        <f t="shared" si="17"/>
        <v>81377.249788800022</v>
      </c>
      <c r="R40" s="76">
        <f t="shared" si="17"/>
        <v>83004.794784576021</v>
      </c>
    </row>
    <row r="41" spans="2:18" x14ac:dyDescent="0.2">
      <c r="C41" t="s">
        <v>201</v>
      </c>
      <c r="F41" s="14"/>
      <c r="H41" s="57"/>
      <c r="J41" s="6">
        <f>SUM(J38:J40)</f>
        <v>207840</v>
      </c>
      <c r="M41" s="76">
        <f>SUM(M38:M40)</f>
        <v>207840</v>
      </c>
      <c r="N41" s="76">
        <f t="shared" ref="N41" si="20">SUM(N38:N40)</f>
        <v>212356.80000000002</v>
      </c>
      <c r="O41" s="76">
        <f t="shared" ref="O41" si="21">SUM(O38:O40)</f>
        <v>216974.73600000003</v>
      </c>
      <c r="P41" s="76">
        <f t="shared" ref="P41" si="22">SUM(P38:P40)</f>
        <v>221696.15471999999</v>
      </c>
      <c r="Q41" s="76">
        <f t="shared" ref="Q41" si="23">SUM(Q38:Q40)</f>
        <v>226523.45953440003</v>
      </c>
      <c r="R41" s="76">
        <f t="shared" ref="R41" si="24">SUM(R38:R40)</f>
        <v>231459.11189668803</v>
      </c>
    </row>
    <row r="42" spans="2:18" ht="30" customHeight="1" x14ac:dyDescent="0.2">
      <c r="C42" s="121" t="s">
        <v>202</v>
      </c>
      <c r="D42" s="121"/>
      <c r="E42" s="121"/>
      <c r="F42" s="121"/>
      <c r="G42" s="121"/>
      <c r="H42" s="121"/>
      <c r="I42" s="121"/>
      <c r="J42" s="121"/>
    </row>
    <row r="43" spans="2:18" x14ac:dyDescent="0.2">
      <c r="J43" s="11"/>
    </row>
    <row r="44" spans="2:18" x14ac:dyDescent="0.2">
      <c r="D44" s="116" t="s">
        <v>158</v>
      </c>
      <c r="E44" s="120"/>
      <c r="F44" s="120"/>
      <c r="G44" s="120"/>
      <c r="H44" s="120"/>
      <c r="I44" s="120"/>
    </row>
    <row r="45" spans="2:18" ht="17" thickBot="1" x14ac:dyDescent="0.25">
      <c r="B45" s="12"/>
      <c r="C45" s="12"/>
      <c r="D45" s="12"/>
      <c r="E45" s="10" t="s">
        <v>159</v>
      </c>
      <c r="F45" s="10" t="s">
        <v>160</v>
      </c>
      <c r="G45" s="10" t="s">
        <v>161</v>
      </c>
      <c r="H45" s="10" t="s">
        <v>162</v>
      </c>
      <c r="I45" s="10" t="s">
        <v>163</v>
      </c>
      <c r="J45" s="43">
        <v>6</v>
      </c>
    </row>
    <row r="46" spans="2:18" x14ac:dyDescent="0.2">
      <c r="B46" t="s">
        <v>164</v>
      </c>
      <c r="E46" s="42">
        <v>0.05</v>
      </c>
      <c r="F46" s="42">
        <f>E46</f>
        <v>0.05</v>
      </c>
      <c r="G46" s="42">
        <f t="shared" ref="G46:J46" si="25">F46</f>
        <v>0.05</v>
      </c>
      <c r="H46" s="42">
        <f t="shared" si="25"/>
        <v>0.05</v>
      </c>
      <c r="I46" s="42">
        <f t="shared" si="25"/>
        <v>0.05</v>
      </c>
      <c r="J46" s="42">
        <f t="shared" si="25"/>
        <v>0.05</v>
      </c>
    </row>
    <row r="47" spans="2:18" x14ac:dyDescent="0.2">
      <c r="B47" t="s">
        <v>165</v>
      </c>
      <c r="E47" s="42">
        <v>0.03</v>
      </c>
      <c r="F47" s="42">
        <f t="shared" ref="F47:J49" si="26">E47</f>
        <v>0.03</v>
      </c>
      <c r="G47" s="42">
        <f t="shared" si="26"/>
        <v>0.03</v>
      </c>
      <c r="H47" s="42">
        <f t="shared" si="26"/>
        <v>0.03</v>
      </c>
      <c r="I47" s="42">
        <f t="shared" si="26"/>
        <v>0.03</v>
      </c>
      <c r="J47" s="42">
        <f t="shared" si="26"/>
        <v>0.03</v>
      </c>
    </row>
    <row r="48" spans="2:18" x14ac:dyDescent="0.2">
      <c r="B48" t="s">
        <v>166</v>
      </c>
      <c r="E48" s="42">
        <v>0.02</v>
      </c>
      <c r="F48" s="42">
        <f t="shared" si="26"/>
        <v>0.02</v>
      </c>
      <c r="G48" s="42">
        <f t="shared" si="26"/>
        <v>0.02</v>
      </c>
      <c r="H48" s="42">
        <f t="shared" si="26"/>
        <v>0.02</v>
      </c>
      <c r="I48" s="42">
        <f t="shared" si="26"/>
        <v>0.02</v>
      </c>
      <c r="J48" s="42">
        <f t="shared" si="26"/>
        <v>0.02</v>
      </c>
    </row>
    <row r="49" spans="2:12" ht="16" thickBot="1" x14ac:dyDescent="0.25">
      <c r="B49" s="12" t="s">
        <v>167</v>
      </c>
      <c r="C49" s="12"/>
      <c r="D49" s="12"/>
      <c r="E49" s="49">
        <v>0.02</v>
      </c>
      <c r="F49" s="49">
        <f t="shared" si="26"/>
        <v>0.02</v>
      </c>
      <c r="G49" s="49">
        <f t="shared" si="26"/>
        <v>0.02</v>
      </c>
      <c r="H49" s="49">
        <f t="shared" si="26"/>
        <v>0.02</v>
      </c>
      <c r="I49" s="49">
        <f t="shared" si="26"/>
        <v>0.02</v>
      </c>
      <c r="J49" s="49">
        <f t="shared" si="26"/>
        <v>0.02</v>
      </c>
    </row>
    <row r="50" spans="2:12" x14ac:dyDescent="0.2">
      <c r="B50" s="1"/>
      <c r="C50" s="1"/>
      <c r="J50" s="11"/>
    </row>
    <row r="51" spans="2:12" x14ac:dyDescent="0.2">
      <c r="B51" s="1"/>
      <c r="C51" s="1"/>
      <c r="J51" s="11"/>
    </row>
    <row r="52" spans="2:12" x14ac:dyDescent="0.2">
      <c r="B52" s="1"/>
      <c r="C52" s="1"/>
      <c r="F52" s="14"/>
      <c r="G52" s="13" t="s">
        <v>72</v>
      </c>
      <c r="J52" s="11"/>
    </row>
    <row r="53" spans="2:12" x14ac:dyDescent="0.2">
      <c r="C53" s="2"/>
      <c r="D53" s="2" t="s">
        <v>168</v>
      </c>
      <c r="E53" s="14">
        <v>1</v>
      </c>
      <c r="F53" s="14">
        <v>2</v>
      </c>
      <c r="G53" s="14">
        <v>3</v>
      </c>
      <c r="H53" s="14">
        <v>4</v>
      </c>
      <c r="I53" s="14">
        <v>5</v>
      </c>
      <c r="J53" s="14">
        <v>6</v>
      </c>
    </row>
    <row r="54" spans="2:12" ht="16" thickBot="1" x14ac:dyDescent="0.25">
      <c r="C54" s="17" t="s">
        <v>169</v>
      </c>
      <c r="D54" s="12"/>
      <c r="E54" s="12"/>
      <c r="F54" s="12"/>
      <c r="G54" s="12"/>
      <c r="H54" s="12"/>
      <c r="I54" s="12"/>
      <c r="J54" s="12"/>
    </row>
    <row r="55" spans="2:12" x14ac:dyDescent="0.2">
      <c r="D55" t="s">
        <v>170</v>
      </c>
      <c r="E55" s="42">
        <v>0.05</v>
      </c>
      <c r="F55" s="42">
        <f>E55</f>
        <v>0.05</v>
      </c>
      <c r="G55" s="42">
        <f t="shared" ref="G55:J55" si="27">F55</f>
        <v>0.05</v>
      </c>
      <c r="H55" s="42">
        <f t="shared" si="27"/>
        <v>0.05</v>
      </c>
      <c r="I55" s="42">
        <f t="shared" si="27"/>
        <v>0.05</v>
      </c>
      <c r="J55" s="42">
        <f t="shared" si="27"/>
        <v>0.05</v>
      </c>
    </row>
    <row r="56" spans="2:12" x14ac:dyDescent="0.2">
      <c r="D56" t="s">
        <v>171</v>
      </c>
      <c r="E56" s="42">
        <v>5.0000000000000001E-3</v>
      </c>
      <c r="F56" s="42">
        <f>E56</f>
        <v>5.0000000000000001E-3</v>
      </c>
      <c r="G56" s="42">
        <f t="shared" ref="G56" si="28">F56</f>
        <v>5.0000000000000001E-3</v>
      </c>
      <c r="H56" s="42">
        <f t="shared" ref="H56" si="29">G56</f>
        <v>5.0000000000000001E-3</v>
      </c>
      <c r="I56" s="42">
        <f t="shared" ref="I56" si="30">H56</f>
        <v>5.0000000000000001E-3</v>
      </c>
      <c r="J56" s="42">
        <f t="shared" ref="J56" si="31">I56</f>
        <v>5.0000000000000001E-3</v>
      </c>
    </row>
    <row r="57" spans="2:12" x14ac:dyDescent="0.2">
      <c r="B57" s="1"/>
      <c r="C57" s="1"/>
    </row>
    <row r="58" spans="2:12" x14ac:dyDescent="0.2">
      <c r="B58" s="118"/>
      <c r="C58" s="118"/>
      <c r="D58" s="119"/>
      <c r="E58" s="50"/>
      <c r="F58" s="14"/>
      <c r="G58" s="32"/>
      <c r="H58" s="32"/>
      <c r="I58" s="32"/>
      <c r="J58" s="32"/>
      <c r="K58" s="32"/>
      <c r="L58" s="32"/>
    </row>
    <row r="59" spans="2:12" x14ac:dyDescent="0.2">
      <c r="F59" s="11"/>
      <c r="G59" s="33"/>
      <c r="H59" s="33"/>
      <c r="I59" s="33"/>
      <c r="J59" s="33"/>
      <c r="K59" s="33"/>
      <c r="L59" s="33"/>
    </row>
    <row r="60" spans="2:12" x14ac:dyDescent="0.2">
      <c r="F60" s="11"/>
      <c r="G60" s="33"/>
      <c r="H60" s="33"/>
      <c r="I60" s="33"/>
      <c r="J60" s="33"/>
      <c r="K60" s="33"/>
      <c r="L60" s="33"/>
    </row>
    <row r="61" spans="2:12" x14ac:dyDescent="0.2">
      <c r="F61" s="11"/>
      <c r="G61" s="33"/>
      <c r="H61" s="33"/>
      <c r="I61" s="33"/>
      <c r="J61" s="33"/>
      <c r="K61" s="33"/>
      <c r="L61" s="33"/>
    </row>
    <row r="62" spans="2:12" x14ac:dyDescent="0.2">
      <c r="F62" s="11"/>
      <c r="G62" s="33"/>
      <c r="H62" s="33"/>
      <c r="I62" s="33"/>
      <c r="J62" s="33"/>
      <c r="K62" s="33"/>
      <c r="L62" s="33"/>
    </row>
    <row r="63" spans="2:12" x14ac:dyDescent="0.2">
      <c r="F63" s="11"/>
      <c r="G63" s="33"/>
      <c r="H63" s="33"/>
      <c r="I63" s="33"/>
      <c r="J63" s="33"/>
      <c r="K63" s="33"/>
      <c r="L63" s="33"/>
    </row>
    <row r="64" spans="2:12" x14ac:dyDescent="0.2">
      <c r="F64" s="11"/>
      <c r="G64" s="33"/>
      <c r="H64" s="33"/>
      <c r="I64" s="33"/>
      <c r="J64" s="33"/>
      <c r="K64" s="33"/>
      <c r="L64" s="33"/>
    </row>
    <row r="65" spans="2:12" x14ac:dyDescent="0.2">
      <c r="F65" s="11"/>
      <c r="G65" s="11"/>
      <c r="H65" s="11"/>
      <c r="I65" s="11"/>
      <c r="J65" s="11"/>
      <c r="K65" s="11"/>
      <c r="L65" s="11"/>
    </row>
    <row r="68" spans="2:12" x14ac:dyDescent="0.2">
      <c r="B68" s="1"/>
      <c r="C68" s="1"/>
      <c r="F68" s="11"/>
      <c r="G68" s="33"/>
      <c r="H68" s="33"/>
      <c r="I68" s="33"/>
      <c r="J68" s="33"/>
      <c r="K68" s="33"/>
    </row>
    <row r="69" spans="2:12" x14ac:dyDescent="0.2">
      <c r="B69" s="1"/>
      <c r="C69" s="1"/>
    </row>
    <row r="76" spans="2:12" x14ac:dyDescent="0.2">
      <c r="B76" s="1"/>
      <c r="C76" s="1"/>
    </row>
  </sheetData>
  <mergeCells count="7">
    <mergeCell ref="I2:J2"/>
    <mergeCell ref="G36:I36"/>
    <mergeCell ref="B58:D58"/>
    <mergeCell ref="I1:O1"/>
    <mergeCell ref="D44:I44"/>
    <mergeCell ref="C42:J42"/>
    <mergeCell ref="L36:R3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N53"/>
  <sheetViews>
    <sheetView topLeftCell="B24" workbookViewId="0">
      <selection activeCell="K50" sqref="K50"/>
    </sheetView>
  </sheetViews>
  <sheetFormatPr baseColWidth="10" defaultColWidth="8.83203125" defaultRowHeight="15" x14ac:dyDescent="0.2"/>
  <cols>
    <col min="1" max="1" width="2.6640625" customWidth="1"/>
    <col min="2" max="2" width="39.1640625" customWidth="1"/>
    <col min="3" max="3" width="14" customWidth="1"/>
    <col min="4" max="4" width="13" customWidth="1"/>
    <col min="5" max="5" width="17" customWidth="1"/>
    <col min="6" max="6" width="5.5" customWidth="1"/>
    <col min="7" max="11" width="15.6640625" customWidth="1"/>
    <col min="12" max="12" width="16.1640625" customWidth="1"/>
    <col min="14" max="14" width="12.5" bestFit="1" customWidth="1"/>
  </cols>
  <sheetData>
    <row r="1" spans="1:14" x14ac:dyDescent="0.2">
      <c r="A1" s="1" t="s">
        <v>126</v>
      </c>
      <c r="G1" s="13" t="s">
        <v>93</v>
      </c>
    </row>
    <row r="3" spans="1:14" x14ac:dyDescent="0.2">
      <c r="A3" t="s">
        <v>21</v>
      </c>
      <c r="C3" s="56">
        <v>179</v>
      </c>
    </row>
    <row r="4" spans="1:14" x14ac:dyDescent="0.2">
      <c r="A4" t="s">
        <v>22</v>
      </c>
      <c r="C4" s="29"/>
    </row>
    <row r="5" spans="1:14" x14ac:dyDescent="0.2">
      <c r="B5" t="s">
        <v>173</v>
      </c>
      <c r="C5" s="55">
        <v>92900</v>
      </c>
    </row>
    <row r="6" spans="1:14" x14ac:dyDescent="0.2">
      <c r="B6" t="s">
        <v>174</v>
      </c>
      <c r="C6" s="55">
        <v>64790</v>
      </c>
      <c r="E6" s="13"/>
    </row>
    <row r="7" spans="1:14" x14ac:dyDescent="0.2">
      <c r="C7" s="13"/>
      <c r="D7" s="13"/>
      <c r="E7" s="13"/>
      <c r="I7" s="1" t="s">
        <v>81</v>
      </c>
    </row>
    <row r="8" spans="1:14" ht="33" thickBot="1" x14ac:dyDescent="0.25">
      <c r="A8" s="51" t="s">
        <v>27</v>
      </c>
      <c r="B8" s="51"/>
      <c r="C8" s="52" t="s">
        <v>75</v>
      </c>
      <c r="D8" s="53" t="s">
        <v>76</v>
      </c>
      <c r="E8" s="53" t="s">
        <v>77</v>
      </c>
      <c r="F8" s="51"/>
      <c r="G8" s="54" t="s">
        <v>31</v>
      </c>
      <c r="H8" s="54" t="s">
        <v>32</v>
      </c>
      <c r="I8" s="54" t="s">
        <v>33</v>
      </c>
      <c r="J8" s="54" t="s">
        <v>34</v>
      </c>
      <c r="K8" s="54" t="s">
        <v>35</v>
      </c>
      <c r="L8" s="54" t="s">
        <v>172</v>
      </c>
    </row>
    <row r="9" spans="1:14" x14ac:dyDescent="0.2">
      <c r="A9" s="1" t="s">
        <v>74</v>
      </c>
      <c r="C9" s="15"/>
      <c r="D9" s="16"/>
      <c r="E9" s="16"/>
    </row>
    <row r="10" spans="1:14" x14ac:dyDescent="0.2">
      <c r="B10" t="s">
        <v>78</v>
      </c>
      <c r="C10" s="89">
        <v>80436</v>
      </c>
      <c r="D10" s="46"/>
      <c r="E10" s="46"/>
      <c r="G10" s="42">
        <v>0.03</v>
      </c>
      <c r="H10" s="42">
        <f>G10</f>
        <v>0.03</v>
      </c>
      <c r="I10" s="42">
        <f t="shared" ref="I10:L10" si="0">H10</f>
        <v>0.03</v>
      </c>
      <c r="J10" s="42">
        <f t="shared" si="0"/>
        <v>0.03</v>
      </c>
      <c r="K10" s="42">
        <f t="shared" si="0"/>
        <v>0.03</v>
      </c>
      <c r="L10" s="42">
        <f t="shared" si="0"/>
        <v>0.03</v>
      </c>
    </row>
    <row r="11" spans="1:14" x14ac:dyDescent="0.2">
      <c r="B11" s="9" t="s">
        <v>79</v>
      </c>
      <c r="C11" s="90">
        <v>44380</v>
      </c>
      <c r="D11" s="48"/>
      <c r="E11" s="48"/>
      <c r="G11" s="42">
        <v>0.03</v>
      </c>
      <c r="H11" s="42">
        <f>G11</f>
        <v>0.03</v>
      </c>
      <c r="I11" s="42">
        <f t="shared" ref="I11:L11" si="1">H11</f>
        <v>0.03</v>
      </c>
      <c r="J11" s="42">
        <f t="shared" si="1"/>
        <v>0.03</v>
      </c>
      <c r="K11" s="42">
        <f t="shared" si="1"/>
        <v>0.03</v>
      </c>
      <c r="L11" s="42">
        <f t="shared" si="1"/>
        <v>0.03</v>
      </c>
    </row>
    <row r="12" spans="1:14" x14ac:dyDescent="0.2">
      <c r="B12" t="s">
        <v>180</v>
      </c>
      <c r="C12" s="21">
        <f>SUM(C10:C11)</f>
        <v>124816</v>
      </c>
      <c r="D12" s="57" t="s">
        <v>80</v>
      </c>
      <c r="F12" s="6" t="s">
        <v>80</v>
      </c>
    </row>
    <row r="13" spans="1:14" x14ac:dyDescent="0.2">
      <c r="B13" t="s">
        <v>80</v>
      </c>
      <c r="C13" s="21"/>
      <c r="F13" s="6"/>
    </row>
    <row r="14" spans="1:14" ht="17" thickBot="1" x14ac:dyDescent="0.25">
      <c r="A14" s="17" t="s">
        <v>83</v>
      </c>
      <c r="B14" s="12"/>
      <c r="C14" s="91"/>
      <c r="D14" s="12"/>
      <c r="E14" s="12"/>
      <c r="F14" s="92"/>
      <c r="G14" s="10" t="s">
        <v>31</v>
      </c>
      <c r="H14" s="10" t="s">
        <v>32</v>
      </c>
      <c r="I14" s="10" t="s">
        <v>33</v>
      </c>
      <c r="J14" s="10" t="s">
        <v>34</v>
      </c>
      <c r="K14" s="10" t="s">
        <v>35</v>
      </c>
      <c r="L14" s="10" t="s">
        <v>172</v>
      </c>
    </row>
    <row r="15" spans="1:14" x14ac:dyDescent="0.2">
      <c r="A15" s="1" t="s">
        <v>80</v>
      </c>
      <c r="B15" t="s">
        <v>175</v>
      </c>
      <c r="C15" s="89">
        <v>190022.10526315789</v>
      </c>
      <c r="D15" s="46"/>
      <c r="E15" s="46"/>
      <c r="F15" s="6"/>
      <c r="G15" s="42">
        <v>0.04</v>
      </c>
      <c r="H15" s="42">
        <f>G15</f>
        <v>0.04</v>
      </c>
      <c r="I15" s="42">
        <f t="shared" ref="I15:L15" si="2">H15</f>
        <v>0.04</v>
      </c>
      <c r="J15" s="42">
        <f t="shared" si="2"/>
        <v>0.04</v>
      </c>
      <c r="K15" s="42">
        <f t="shared" si="2"/>
        <v>0.04</v>
      </c>
      <c r="L15" s="42">
        <f t="shared" si="2"/>
        <v>0.04</v>
      </c>
      <c r="N15" s="67"/>
    </row>
    <row r="16" spans="1:14" x14ac:dyDescent="0.2">
      <c r="A16" s="1"/>
      <c r="B16" t="s">
        <v>176</v>
      </c>
      <c r="C16" s="89">
        <v>30150.753768844221</v>
      </c>
      <c r="D16" s="46"/>
      <c r="E16" s="46"/>
      <c r="F16" s="6"/>
      <c r="G16" s="42">
        <v>0.02</v>
      </c>
      <c r="H16" s="42">
        <f t="shared" ref="H16:H19" si="3">G16</f>
        <v>0.02</v>
      </c>
      <c r="I16" s="42">
        <f t="shared" ref="I16:I19" si="4">H16</f>
        <v>0.02</v>
      </c>
      <c r="J16" s="42">
        <f t="shared" ref="J16:J19" si="5">I16</f>
        <v>0.02</v>
      </c>
      <c r="K16" s="42">
        <f t="shared" ref="K16:K19" si="6">J16</f>
        <v>0.02</v>
      </c>
      <c r="L16" s="42">
        <f t="shared" ref="L16:L19" si="7">K16</f>
        <v>0.02</v>
      </c>
      <c r="N16" s="67"/>
    </row>
    <row r="17" spans="1:14" x14ac:dyDescent="0.2">
      <c r="A17" s="1"/>
      <c r="B17" t="s">
        <v>177</v>
      </c>
      <c r="C17" s="89">
        <v>40530</v>
      </c>
      <c r="D17" s="46"/>
      <c r="E17" s="46"/>
      <c r="F17" s="6"/>
      <c r="G17" s="42">
        <v>0.02</v>
      </c>
      <c r="H17" s="42">
        <f t="shared" si="3"/>
        <v>0.02</v>
      </c>
      <c r="I17" s="42">
        <f t="shared" si="4"/>
        <v>0.02</v>
      </c>
      <c r="J17" s="42">
        <f t="shared" si="5"/>
        <v>0.02</v>
      </c>
      <c r="K17" s="42">
        <f t="shared" si="6"/>
        <v>0.02</v>
      </c>
      <c r="L17" s="42">
        <f t="shared" si="7"/>
        <v>0.02</v>
      </c>
      <c r="N17" s="67"/>
    </row>
    <row r="18" spans="1:14" x14ac:dyDescent="0.2">
      <c r="A18" s="1"/>
      <c r="B18" t="s">
        <v>178</v>
      </c>
      <c r="C18" s="89">
        <v>197877</v>
      </c>
      <c r="D18" s="46"/>
      <c r="E18" s="46"/>
      <c r="F18" s="6"/>
      <c r="G18" s="42">
        <v>0.05</v>
      </c>
      <c r="H18" s="42">
        <f t="shared" si="3"/>
        <v>0.05</v>
      </c>
      <c r="I18" s="42">
        <f t="shared" si="4"/>
        <v>0.05</v>
      </c>
      <c r="J18" s="42">
        <f t="shared" si="5"/>
        <v>0.05</v>
      </c>
      <c r="K18" s="42">
        <f t="shared" si="6"/>
        <v>0.05</v>
      </c>
      <c r="L18" s="42">
        <f t="shared" si="7"/>
        <v>0.05</v>
      </c>
      <c r="N18" s="67"/>
    </row>
    <row r="19" spans="1:14" x14ac:dyDescent="0.2">
      <c r="A19" s="1"/>
      <c r="B19" s="9" t="s">
        <v>82</v>
      </c>
      <c r="C19" s="90">
        <v>68068</v>
      </c>
      <c r="D19" s="48"/>
      <c r="E19" s="48"/>
      <c r="F19" s="58"/>
      <c r="G19" s="42">
        <v>0.03</v>
      </c>
      <c r="H19" s="42">
        <f t="shared" si="3"/>
        <v>0.03</v>
      </c>
      <c r="I19" s="42">
        <f t="shared" si="4"/>
        <v>0.03</v>
      </c>
      <c r="J19" s="42">
        <f t="shared" si="5"/>
        <v>0.03</v>
      </c>
      <c r="K19" s="42">
        <f t="shared" si="6"/>
        <v>0.03</v>
      </c>
      <c r="L19" s="42">
        <f t="shared" si="7"/>
        <v>0.03</v>
      </c>
      <c r="N19" s="67"/>
    </row>
    <row r="20" spans="1:14" x14ac:dyDescent="0.2">
      <c r="B20" t="s">
        <v>84</v>
      </c>
      <c r="C20" s="21">
        <f>SUM(C15:C19)</f>
        <v>526647.85903200204</v>
      </c>
      <c r="F20" s="6" t="s">
        <v>80</v>
      </c>
    </row>
    <row r="21" spans="1:14" x14ac:dyDescent="0.2">
      <c r="C21" s="21"/>
      <c r="F21" s="6"/>
    </row>
    <row r="22" spans="1:14" x14ac:dyDescent="0.2">
      <c r="A22" s="1" t="s">
        <v>91</v>
      </c>
      <c r="C22" s="93">
        <v>4.7500000000000001E-2</v>
      </c>
      <c r="G22" s="116"/>
      <c r="H22" s="120"/>
      <c r="I22" s="120"/>
      <c r="J22" s="120"/>
    </row>
    <row r="24" spans="1:14" ht="17" thickBot="1" x14ac:dyDescent="0.25">
      <c r="A24" s="17" t="s">
        <v>205</v>
      </c>
      <c r="B24" s="12"/>
      <c r="C24" s="12"/>
      <c r="D24" s="12"/>
      <c r="E24" s="12"/>
      <c r="F24" s="12"/>
      <c r="G24" s="10" t="s">
        <v>31</v>
      </c>
      <c r="H24" s="10" t="s">
        <v>32</v>
      </c>
      <c r="I24" s="10" t="s">
        <v>33</v>
      </c>
      <c r="J24" s="10" t="s">
        <v>34</v>
      </c>
      <c r="K24" s="10" t="s">
        <v>35</v>
      </c>
      <c r="L24" s="10" t="s">
        <v>172</v>
      </c>
    </row>
    <row r="25" spans="1:14" x14ac:dyDescent="0.2">
      <c r="B25" t="s">
        <v>85</v>
      </c>
      <c r="D25" s="46">
        <v>50</v>
      </c>
      <c r="G25" s="94">
        <v>0.03</v>
      </c>
      <c r="H25" s="94">
        <f>G25</f>
        <v>0.03</v>
      </c>
      <c r="I25" s="94">
        <f t="shared" ref="I25:L25" si="8">H25</f>
        <v>0.03</v>
      </c>
      <c r="J25" s="94">
        <f t="shared" si="8"/>
        <v>0.03</v>
      </c>
      <c r="K25" s="94">
        <f t="shared" si="8"/>
        <v>0.03</v>
      </c>
      <c r="L25" s="94">
        <f t="shared" si="8"/>
        <v>0.03</v>
      </c>
    </row>
    <row r="26" spans="1:14" x14ac:dyDescent="0.2">
      <c r="B26" s="9" t="s">
        <v>86</v>
      </c>
      <c r="C26" s="9"/>
      <c r="D26" s="48">
        <v>100</v>
      </c>
      <c r="E26" s="9"/>
      <c r="F26" s="9"/>
      <c r="G26" s="95">
        <v>0.03</v>
      </c>
      <c r="H26" s="95">
        <f>G26</f>
        <v>0.03</v>
      </c>
      <c r="I26" s="95">
        <f t="shared" ref="I26:L26" si="9">H26</f>
        <v>0.03</v>
      </c>
      <c r="J26" s="95">
        <f t="shared" si="9"/>
        <v>0.03</v>
      </c>
      <c r="K26" s="95">
        <f t="shared" si="9"/>
        <v>0.03</v>
      </c>
      <c r="L26" s="95">
        <f t="shared" si="9"/>
        <v>0.03</v>
      </c>
    </row>
    <row r="27" spans="1:14" x14ac:dyDescent="0.2">
      <c r="B27" t="s">
        <v>87</v>
      </c>
    </row>
    <row r="29" spans="1:14" x14ac:dyDescent="0.2">
      <c r="A29" s="1" t="s">
        <v>179</v>
      </c>
      <c r="F29" s="14"/>
      <c r="G29" s="14"/>
      <c r="H29" s="14"/>
      <c r="I29" s="116" t="s">
        <v>250</v>
      </c>
      <c r="J29" s="116"/>
      <c r="K29" s="14"/>
    </row>
    <row r="31" spans="1:14" x14ac:dyDescent="0.2">
      <c r="E31" s="2" t="s">
        <v>168</v>
      </c>
      <c r="F31" s="33"/>
      <c r="G31" s="59">
        <v>1</v>
      </c>
      <c r="H31" s="59">
        <v>2</v>
      </c>
      <c r="I31" s="59">
        <v>3</v>
      </c>
      <c r="J31" s="59">
        <v>4</v>
      </c>
      <c r="K31" s="59">
        <v>5</v>
      </c>
      <c r="L31" s="60">
        <v>6</v>
      </c>
    </row>
    <row r="32" spans="1:14" x14ac:dyDescent="0.2">
      <c r="D32" s="1" t="s">
        <v>74</v>
      </c>
      <c r="F32" s="33"/>
      <c r="G32" s="33"/>
      <c r="H32" s="33"/>
      <c r="I32" s="33"/>
      <c r="J32" s="33"/>
      <c r="K32" s="33"/>
    </row>
    <row r="33" spans="4:14" x14ac:dyDescent="0.2">
      <c r="E33" t="s">
        <v>251</v>
      </c>
      <c r="F33" s="61"/>
      <c r="G33" s="97">
        <f>C10</f>
        <v>80436</v>
      </c>
      <c r="H33" s="97">
        <f>G33*(1+G10)</f>
        <v>82849.08</v>
      </c>
      <c r="I33" s="97">
        <f t="shared" ref="I33:L33" si="10">H33*(1+H10)</f>
        <v>85334.5524</v>
      </c>
      <c r="J33" s="97">
        <f t="shared" si="10"/>
        <v>87894.588971999998</v>
      </c>
      <c r="K33" s="97">
        <f t="shared" si="10"/>
        <v>90531.426641159997</v>
      </c>
      <c r="L33" s="97">
        <f t="shared" si="10"/>
        <v>93247.369440394803</v>
      </c>
    </row>
    <row r="34" spans="4:14" x14ac:dyDescent="0.2">
      <c r="E34" s="9" t="s">
        <v>79</v>
      </c>
      <c r="F34" s="88"/>
      <c r="G34" s="97">
        <f>C11</f>
        <v>44380</v>
      </c>
      <c r="H34" s="97">
        <f>G34*(1+G11)</f>
        <v>45711.4</v>
      </c>
      <c r="I34" s="97">
        <f t="shared" ref="I34:L34" si="11">H34*(1+H11)</f>
        <v>47082.742000000006</v>
      </c>
      <c r="J34" s="97">
        <f t="shared" si="11"/>
        <v>48495.22426000001</v>
      </c>
      <c r="K34" s="97">
        <f t="shared" si="11"/>
        <v>49950.080987800015</v>
      </c>
      <c r="L34" s="97">
        <f t="shared" si="11"/>
        <v>51448.58341743402</v>
      </c>
    </row>
    <row r="35" spans="4:14" x14ac:dyDescent="0.2">
      <c r="E35" s="101" t="s">
        <v>201</v>
      </c>
      <c r="F35" s="103"/>
      <c r="G35" s="104">
        <f>SUM(G33:G34)</f>
        <v>124816</v>
      </c>
      <c r="H35" s="104">
        <f t="shared" ref="H35:L35" si="12">SUM(H33:H34)</f>
        <v>128560.48000000001</v>
      </c>
      <c r="I35" s="104">
        <f t="shared" si="12"/>
        <v>132417.29440000001</v>
      </c>
      <c r="J35" s="104">
        <f t="shared" si="12"/>
        <v>136389.81323200001</v>
      </c>
      <c r="K35" s="104">
        <f t="shared" si="12"/>
        <v>140481.50762896001</v>
      </c>
      <c r="L35" s="104">
        <f t="shared" si="12"/>
        <v>144695.95285782882</v>
      </c>
    </row>
    <row r="36" spans="4:14" x14ac:dyDescent="0.2">
      <c r="F36" s="61"/>
      <c r="G36" s="62"/>
      <c r="H36" s="62"/>
      <c r="I36" s="62"/>
      <c r="J36" s="62"/>
      <c r="K36" s="62"/>
      <c r="L36" s="61"/>
    </row>
    <row r="37" spans="4:14" x14ac:dyDescent="0.2">
      <c r="D37" s="1" t="s">
        <v>252</v>
      </c>
      <c r="F37" s="61"/>
      <c r="G37" s="62"/>
      <c r="H37" s="62"/>
      <c r="I37" s="62"/>
      <c r="J37" s="62"/>
      <c r="K37" s="62"/>
      <c r="L37" s="61"/>
    </row>
    <row r="38" spans="4:14" x14ac:dyDescent="0.2">
      <c r="E38" t="s">
        <v>175</v>
      </c>
      <c r="F38" s="61"/>
      <c r="G38" s="99">
        <f>C15</f>
        <v>190022.10526315789</v>
      </c>
      <c r="H38" s="99">
        <f>G38*(1+G15)</f>
        <v>197622.98947368423</v>
      </c>
      <c r="I38" s="99">
        <f t="shared" ref="I38:L38" si="13">H38*(1+H15)</f>
        <v>205527.90905263161</v>
      </c>
      <c r="J38" s="99">
        <f t="shared" si="13"/>
        <v>213749.02541473688</v>
      </c>
      <c r="K38" s="99">
        <f t="shared" si="13"/>
        <v>222298.98643132637</v>
      </c>
      <c r="L38" s="99">
        <f t="shared" si="13"/>
        <v>231190.94588857944</v>
      </c>
      <c r="N38" s="21"/>
    </row>
    <row r="39" spans="4:14" x14ac:dyDescent="0.2">
      <c r="E39" t="s">
        <v>176</v>
      </c>
      <c r="F39" s="61"/>
      <c r="G39" s="99">
        <f t="shared" ref="G39:G42" si="14">C16</f>
        <v>30150.753768844221</v>
      </c>
      <c r="H39" s="99">
        <f>G39*(1+G16)</f>
        <v>30753.768844221107</v>
      </c>
      <c r="I39" s="99">
        <f t="shared" ref="H39:L42" si="15">H39*(1+H16)</f>
        <v>31368.84422110553</v>
      </c>
      <c r="J39" s="99">
        <f t="shared" si="15"/>
        <v>31996.221105527642</v>
      </c>
      <c r="K39" s="99">
        <f t="shared" si="15"/>
        <v>32636.145527638197</v>
      </c>
      <c r="L39" s="99">
        <f t="shared" si="15"/>
        <v>33288.868438190962</v>
      </c>
      <c r="N39" s="21"/>
    </row>
    <row r="40" spans="4:14" x14ac:dyDescent="0.2">
      <c r="E40" t="s">
        <v>253</v>
      </c>
      <c r="F40" s="61"/>
      <c r="G40" s="99">
        <f t="shared" si="14"/>
        <v>40530</v>
      </c>
      <c r="H40" s="99">
        <f t="shared" si="15"/>
        <v>41340.6</v>
      </c>
      <c r="I40" s="99">
        <f t="shared" si="15"/>
        <v>42167.411999999997</v>
      </c>
      <c r="J40" s="99">
        <f t="shared" si="15"/>
        <v>43010.760239999996</v>
      </c>
      <c r="K40" s="99">
        <f t="shared" si="15"/>
        <v>43870.975444799995</v>
      </c>
      <c r="L40" s="99">
        <f t="shared" si="15"/>
        <v>44748.394953695999</v>
      </c>
      <c r="N40" s="21"/>
    </row>
    <row r="41" spans="4:14" x14ac:dyDescent="0.2">
      <c r="E41" t="s">
        <v>254</v>
      </c>
      <c r="F41" s="61"/>
      <c r="G41" s="99">
        <f t="shared" si="14"/>
        <v>197877</v>
      </c>
      <c r="H41" s="99">
        <f t="shared" si="15"/>
        <v>207770.85</v>
      </c>
      <c r="I41" s="99">
        <f t="shared" si="15"/>
        <v>218159.39250000002</v>
      </c>
      <c r="J41" s="99">
        <f t="shared" si="15"/>
        <v>229067.36212500001</v>
      </c>
      <c r="K41" s="99">
        <f t="shared" si="15"/>
        <v>240520.73023125003</v>
      </c>
      <c r="L41" s="99">
        <f t="shared" si="15"/>
        <v>252546.76674281253</v>
      </c>
      <c r="N41" s="21"/>
    </row>
    <row r="42" spans="4:14" x14ac:dyDescent="0.2">
      <c r="E42" t="s">
        <v>255</v>
      </c>
      <c r="F42" s="61"/>
      <c r="G42" s="99">
        <f t="shared" si="14"/>
        <v>68068</v>
      </c>
      <c r="H42" s="99">
        <f t="shared" si="15"/>
        <v>70110.040000000008</v>
      </c>
      <c r="I42" s="99">
        <f t="shared" si="15"/>
        <v>72213.34120000001</v>
      </c>
      <c r="J42" s="99">
        <f t="shared" si="15"/>
        <v>74379.741436000011</v>
      </c>
      <c r="K42" s="99">
        <f t="shared" si="15"/>
        <v>76611.133679080012</v>
      </c>
      <c r="L42" s="99">
        <f t="shared" si="15"/>
        <v>78909.467689452416</v>
      </c>
      <c r="N42" s="21"/>
    </row>
    <row r="43" spans="4:14" x14ac:dyDescent="0.2">
      <c r="E43" s="101" t="s">
        <v>256</v>
      </c>
      <c r="F43" s="101"/>
      <c r="G43" s="102">
        <f>SUM(G38:G42)</f>
        <v>526647.85903200204</v>
      </c>
      <c r="H43" s="102">
        <f t="shared" ref="H43:L43" si="16">SUM(H38:H42)</f>
        <v>547598.24831790535</v>
      </c>
      <c r="I43" s="102">
        <f t="shared" si="16"/>
        <v>569436.89897373714</v>
      </c>
      <c r="J43" s="102">
        <f t="shared" si="16"/>
        <v>592203.11032126448</v>
      </c>
      <c r="K43" s="102">
        <f t="shared" si="16"/>
        <v>615937.97131409461</v>
      </c>
      <c r="L43" s="102">
        <f t="shared" si="16"/>
        <v>640684.44371273136</v>
      </c>
      <c r="N43" s="21"/>
    </row>
    <row r="45" spans="4:14" x14ac:dyDescent="0.2">
      <c r="D45" s="1" t="s">
        <v>257</v>
      </c>
    </row>
    <row r="46" spans="4:14" x14ac:dyDescent="0.2">
      <c r="E46" t="s">
        <v>258</v>
      </c>
      <c r="G46" s="97">
        <f>G43*(1-Income!E55)</f>
        <v>500315.46608040191</v>
      </c>
      <c r="H46" s="97">
        <f>H43*(1-Income!F55)</f>
        <v>520218.33590201003</v>
      </c>
      <c r="I46" s="97">
        <f>I43*(1-Income!G55)</f>
        <v>540965.05402505025</v>
      </c>
      <c r="J46" s="97">
        <f>J43*(1-Income!H55)</f>
        <v>562592.95480520127</v>
      </c>
      <c r="K46" s="97">
        <f>K43*(1-Income!I55)</f>
        <v>585141.07274838991</v>
      </c>
      <c r="L46" s="97">
        <f>L43*(1-Income!J55)</f>
        <v>608650.22152709472</v>
      </c>
    </row>
    <row r="47" spans="4:14" x14ac:dyDescent="0.2">
      <c r="E47" s="9" t="s">
        <v>259</v>
      </c>
      <c r="F47" s="88"/>
      <c r="G47" s="98">
        <f>'Cash Flows'!C9*Expenses!$C$22</f>
        <v>112117.30424999999</v>
      </c>
      <c r="H47" s="98">
        <f>'Cash Flows'!D9*Expenses!$C$22</f>
        <v>117459.4464225</v>
      </c>
      <c r="I47" s="98">
        <f>'Cash Flows'!E9*Expenses!$C$22</f>
        <v>123063.09805282499</v>
      </c>
      <c r="J47" s="98">
        <f>'Cash Flows'!F9*Expenses!$C$22</f>
        <v>128941.21296515025</v>
      </c>
      <c r="K47" s="98">
        <f>'Cash Flows'!G9*Expenses!$C$22</f>
        <v>135107.38995101445</v>
      </c>
      <c r="L47" s="98">
        <f>'Cash Flows'!H9*Expenses!$C$22</f>
        <v>141575.90495448487</v>
      </c>
    </row>
    <row r="48" spans="4:14" x14ac:dyDescent="0.2">
      <c r="E48" t="s">
        <v>201</v>
      </c>
      <c r="F48" s="61"/>
      <c r="G48" s="97">
        <f>SUM(G46:G47)</f>
        <v>612432.77033040184</v>
      </c>
      <c r="H48" s="97">
        <f t="shared" ref="H48:L48" si="17">SUM(H46:H47)</f>
        <v>637677.78232451004</v>
      </c>
      <c r="I48" s="97">
        <f t="shared" si="17"/>
        <v>664028.15207787522</v>
      </c>
      <c r="J48" s="97">
        <f t="shared" si="17"/>
        <v>691534.16777035152</v>
      </c>
      <c r="K48" s="97">
        <f t="shared" si="17"/>
        <v>720248.46269940434</v>
      </c>
      <c r="L48" s="97">
        <f t="shared" si="17"/>
        <v>750226.12648157962</v>
      </c>
    </row>
    <row r="50" spans="4:12" x14ac:dyDescent="0.2">
      <c r="D50" s="1" t="s">
        <v>260</v>
      </c>
      <c r="F50" s="61"/>
      <c r="G50" s="61"/>
      <c r="H50" s="61"/>
      <c r="I50" s="61"/>
      <c r="J50" s="61"/>
      <c r="K50" s="61"/>
      <c r="L50" s="61"/>
    </row>
    <row r="51" spans="4:12" x14ac:dyDescent="0.2">
      <c r="E51" t="s">
        <v>261</v>
      </c>
      <c r="F51" s="61"/>
      <c r="G51" s="99">
        <f>D25*C3</f>
        <v>8950</v>
      </c>
      <c r="H51" s="99">
        <f>G51*(1+G25)</f>
        <v>9218.5</v>
      </c>
      <c r="I51" s="99">
        <f t="shared" ref="I51:L51" si="18">H51*(1+H25)</f>
        <v>9495.0550000000003</v>
      </c>
      <c r="J51" s="99">
        <f t="shared" si="18"/>
        <v>9779.9066500000008</v>
      </c>
      <c r="K51" s="99">
        <f t="shared" si="18"/>
        <v>10073.303849500002</v>
      </c>
      <c r="L51" s="99">
        <f t="shared" si="18"/>
        <v>10375.502964985002</v>
      </c>
    </row>
    <row r="52" spans="4:12" x14ac:dyDescent="0.2">
      <c r="E52" t="s">
        <v>86</v>
      </c>
      <c r="F52" s="61"/>
      <c r="G52" s="99">
        <f>D26*C3</f>
        <v>17900</v>
      </c>
      <c r="H52" s="99">
        <f>G52*(1+G26)</f>
        <v>18437</v>
      </c>
      <c r="I52" s="99">
        <f t="shared" ref="I52:L52" si="19">H52*(1+H26)</f>
        <v>18990.11</v>
      </c>
      <c r="J52" s="99">
        <f t="shared" si="19"/>
        <v>19559.813300000002</v>
      </c>
      <c r="K52" s="99">
        <f t="shared" si="19"/>
        <v>20146.607699000004</v>
      </c>
      <c r="L52" s="99">
        <f t="shared" si="19"/>
        <v>20751.005929970004</v>
      </c>
    </row>
    <row r="53" spans="4:12" x14ac:dyDescent="0.2">
      <c r="E53" s="101" t="s">
        <v>201</v>
      </c>
      <c r="F53" s="103"/>
      <c r="G53" s="102">
        <f>SUM(G51:G52)</f>
        <v>26850</v>
      </c>
      <c r="H53" s="102">
        <f t="shared" ref="H53:L53" si="20">SUM(H51:H52)</f>
        <v>27655.5</v>
      </c>
      <c r="I53" s="102">
        <f t="shared" si="20"/>
        <v>28485.165000000001</v>
      </c>
      <c r="J53" s="102">
        <f t="shared" si="20"/>
        <v>29339.719950000002</v>
      </c>
      <c r="K53" s="102">
        <f t="shared" si="20"/>
        <v>30219.911548500007</v>
      </c>
      <c r="L53" s="102">
        <f t="shared" si="20"/>
        <v>31126.508894955005</v>
      </c>
    </row>
  </sheetData>
  <mergeCells count="2">
    <mergeCell ref="G22:J22"/>
    <mergeCell ref="I29:J29"/>
  </mergeCells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AH35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4.33203125" customWidth="1"/>
    <col min="2" max="2" width="23" customWidth="1"/>
    <col min="3" max="3" width="18.5" customWidth="1"/>
    <col min="4" max="34" width="12.6640625" customWidth="1"/>
  </cols>
  <sheetData>
    <row r="1" spans="1:7" ht="16" thickBot="1" x14ac:dyDescent="0.25">
      <c r="A1" s="17" t="s">
        <v>183</v>
      </c>
      <c r="B1" s="12"/>
    </row>
    <row r="2" spans="1:7" x14ac:dyDescent="0.2">
      <c r="A2" t="s">
        <v>195</v>
      </c>
      <c r="C2" s="76">
        <f>Assumptions!D9*Assumptions!D3</f>
        <v>21700000</v>
      </c>
    </row>
    <row r="3" spans="1:7" x14ac:dyDescent="0.2">
      <c r="A3" t="s">
        <v>9</v>
      </c>
      <c r="C3" s="82">
        <f>Assumptions!D11</f>
        <v>30</v>
      </c>
      <c r="E3" t="s">
        <v>249</v>
      </c>
      <c r="F3" s="82">
        <v>12</v>
      </c>
    </row>
    <row r="4" spans="1:7" x14ac:dyDescent="0.2">
      <c r="A4" t="s">
        <v>194</v>
      </c>
      <c r="C4" s="83">
        <f>Assumptions!D10</f>
        <v>4.4999999999999998E-2</v>
      </c>
    </row>
    <row r="5" spans="1:7" x14ac:dyDescent="0.2">
      <c r="A5" t="s">
        <v>206</v>
      </c>
      <c r="C5" s="83">
        <f>Assumptions!D12</f>
        <v>0.01</v>
      </c>
    </row>
    <row r="6" spans="1:7" x14ac:dyDescent="0.2">
      <c r="A6" t="s">
        <v>193</v>
      </c>
      <c r="C6" s="84">
        <f>Assumptions!D13</f>
        <v>0</v>
      </c>
    </row>
    <row r="7" spans="1:7" x14ac:dyDescent="0.2">
      <c r="A7" t="s">
        <v>192</v>
      </c>
      <c r="C7" s="84">
        <f>Assumptions!D14</f>
        <v>0</v>
      </c>
    </row>
    <row r="9" spans="1:7" ht="16" thickBot="1" x14ac:dyDescent="0.25">
      <c r="A9" s="17" t="s">
        <v>184</v>
      </c>
      <c r="B9" s="12"/>
    </row>
    <row r="10" spans="1:7" x14ac:dyDescent="0.2">
      <c r="A10" t="s">
        <v>207</v>
      </c>
      <c r="C10" s="76">
        <f>C5*C2</f>
        <v>217000</v>
      </c>
    </row>
    <row r="11" spans="1:7" x14ac:dyDescent="0.2">
      <c r="A11" t="s">
        <v>208</v>
      </c>
      <c r="C11" s="76">
        <f>C6*C2</f>
        <v>0</v>
      </c>
    </row>
    <row r="12" spans="1:7" x14ac:dyDescent="0.2">
      <c r="A12" t="s">
        <v>185</v>
      </c>
      <c r="C12" s="76">
        <f>C2-C10-C11</f>
        <v>21483000</v>
      </c>
    </row>
    <row r="13" spans="1:7" x14ac:dyDescent="0.2">
      <c r="A13" t="s">
        <v>29</v>
      </c>
      <c r="C13" s="85">
        <f>-PMT(C4/12,C3*12,C2,0)</f>
        <v>109950.71223221612</v>
      </c>
    </row>
    <row r="14" spans="1:7" x14ac:dyDescent="0.2">
      <c r="A14" t="s">
        <v>108</v>
      </c>
      <c r="C14" s="85">
        <f>C13*12</f>
        <v>1319408.5467865933</v>
      </c>
    </row>
    <row r="15" spans="1:7" x14ac:dyDescent="0.2">
      <c r="A15" t="s">
        <v>262</v>
      </c>
      <c r="G15" s="76">
        <f>G22</f>
        <v>19781268.024380427</v>
      </c>
    </row>
    <row r="16" spans="1:7" x14ac:dyDescent="0.2">
      <c r="A16" t="s">
        <v>11</v>
      </c>
      <c r="G16" s="76">
        <f>Assumptions!D14</f>
        <v>0</v>
      </c>
    </row>
    <row r="17" spans="1:34" x14ac:dyDescent="0.2">
      <c r="A17" t="s">
        <v>196</v>
      </c>
      <c r="G17" s="76">
        <f>G15-G16</f>
        <v>19781268.024380427</v>
      </c>
    </row>
    <row r="19" spans="1:34" ht="16" thickBot="1" x14ac:dyDescent="0.25">
      <c r="A19" s="17" t="s">
        <v>186</v>
      </c>
      <c r="B19" s="17"/>
    </row>
    <row r="20" spans="1:34" x14ac:dyDescent="0.2">
      <c r="B20" s="64" t="s">
        <v>168</v>
      </c>
      <c r="C20" s="47">
        <v>1</v>
      </c>
      <c r="D20" s="47">
        <f>C20+1</f>
        <v>2</v>
      </c>
      <c r="E20" s="47">
        <f t="shared" ref="E20:G20" si="0">D20+1</f>
        <v>3</v>
      </c>
      <c r="F20" s="47">
        <f t="shared" si="0"/>
        <v>4</v>
      </c>
      <c r="G20" s="47">
        <f t="shared" si="0"/>
        <v>5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x14ac:dyDescent="0.2">
      <c r="B21" t="s">
        <v>187</v>
      </c>
      <c r="C21" s="85">
        <f>C2</f>
        <v>21700000</v>
      </c>
      <c r="D21" s="85">
        <f>C22</f>
        <v>21349929.807904467</v>
      </c>
      <c r="E21" s="85">
        <f t="shared" ref="E21:G21" si="1">D22</f>
        <v>20983777.452432141</v>
      </c>
      <c r="F21" s="85">
        <f t="shared" si="1"/>
        <v>20600804.121811215</v>
      </c>
      <c r="G21" s="85">
        <f t="shared" si="1"/>
        <v>20200237.063386351</v>
      </c>
    </row>
    <row r="22" spans="1:34" x14ac:dyDescent="0.2">
      <c r="B22" t="s">
        <v>188</v>
      </c>
      <c r="C22" s="85">
        <f>FV($C4/$F$3,$F$3,$C13,-C21)</f>
        <v>21349929.807904467</v>
      </c>
      <c r="D22" s="85">
        <f t="shared" ref="D22:G22" si="2">FV($C4/$F$3,$F$3,$C13,-D21)</f>
        <v>20983777.452432141</v>
      </c>
      <c r="E22" s="85">
        <f t="shared" si="2"/>
        <v>20600804.121811215</v>
      </c>
      <c r="F22" s="85">
        <f t="shared" si="2"/>
        <v>20200237.063386351</v>
      </c>
      <c r="G22" s="85">
        <f t="shared" si="2"/>
        <v>19781268.024380427</v>
      </c>
    </row>
    <row r="23" spans="1:34" x14ac:dyDescent="0.2">
      <c r="B23" t="s">
        <v>189</v>
      </c>
      <c r="C23" s="85">
        <f>C21-C22</f>
        <v>350070.19209553301</v>
      </c>
      <c r="D23" s="85">
        <f t="shared" ref="D23:G23" si="3">D21-D22</f>
        <v>366152.35547232628</v>
      </c>
      <c r="E23" s="85">
        <f t="shared" si="3"/>
        <v>382973.33062092587</v>
      </c>
      <c r="F23" s="85">
        <f t="shared" si="3"/>
        <v>400567.05842486396</v>
      </c>
      <c r="G23" s="85">
        <f t="shared" si="3"/>
        <v>418969.03900592402</v>
      </c>
    </row>
    <row r="24" spans="1:34" x14ac:dyDescent="0.2">
      <c r="B24" t="s">
        <v>190</v>
      </c>
      <c r="C24" s="85">
        <f>$C$14-C23</f>
        <v>969338.35469106026</v>
      </c>
      <c r="D24" s="85">
        <f t="shared" ref="D24:G24" si="4">$C$14-D23</f>
        <v>953256.19131426699</v>
      </c>
      <c r="E24" s="85">
        <f t="shared" si="4"/>
        <v>936435.2161656674</v>
      </c>
      <c r="F24" s="85">
        <f t="shared" si="4"/>
        <v>918841.48836172931</v>
      </c>
      <c r="G24" s="85">
        <f t="shared" si="4"/>
        <v>900439.50778066926</v>
      </c>
    </row>
    <row r="26" spans="1:34" ht="16" thickBot="1" x14ac:dyDescent="0.25">
      <c r="A26" s="17" t="s">
        <v>105</v>
      </c>
      <c r="B26" s="17"/>
    </row>
    <row r="27" spans="1:34" x14ac:dyDescent="0.2">
      <c r="B27" t="s">
        <v>185</v>
      </c>
      <c r="C27" s="76">
        <f>C12</f>
        <v>21483000</v>
      </c>
      <c r="E27" s="6"/>
      <c r="F27" s="6"/>
      <c r="G27" s="6"/>
      <c r="H27" s="6"/>
      <c r="I27" s="6"/>
    </row>
    <row r="28" spans="1:34" x14ac:dyDescent="0.2">
      <c r="B28" t="s">
        <v>29</v>
      </c>
      <c r="C28" s="87">
        <f>-C13</f>
        <v>-109950.71223221612</v>
      </c>
    </row>
    <row r="29" spans="1:34" x14ac:dyDescent="0.2">
      <c r="B29" t="s">
        <v>197</v>
      </c>
      <c r="C29" s="82">
        <f>G20*F3</f>
        <v>60</v>
      </c>
    </row>
    <row r="30" spans="1:34" x14ac:dyDescent="0.2">
      <c r="B30" t="s">
        <v>198</v>
      </c>
      <c r="C30" s="87">
        <f>G22</f>
        <v>19781268.024380427</v>
      </c>
      <c r="E30" s="6"/>
    </row>
    <row r="31" spans="1:34" x14ac:dyDescent="0.2">
      <c r="B31" t="s">
        <v>199</v>
      </c>
      <c r="C31" s="83">
        <f>RATE(C29,C28,C27,-C30)*12</f>
        <v>4.7343938966846889E-2</v>
      </c>
      <c r="E31" s="6"/>
    </row>
    <row r="32" spans="1:34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N16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4" style="1" customWidth="1"/>
    <col min="2" max="2" width="29.5" customWidth="1"/>
    <col min="3" max="12" width="15.6640625" customWidth="1"/>
    <col min="13" max="16" width="12.6640625" customWidth="1"/>
  </cols>
  <sheetData>
    <row r="1" spans="1:14" x14ac:dyDescent="0.2">
      <c r="A1" s="1" t="s">
        <v>88</v>
      </c>
    </row>
    <row r="2" spans="1:14" x14ac:dyDescent="0.2">
      <c r="B2" t="s">
        <v>209</v>
      </c>
      <c r="C2" s="76">
        <f>Assumptions!D3</f>
        <v>31000000</v>
      </c>
    </row>
    <row r="3" spans="1:14" x14ac:dyDescent="0.2">
      <c r="B3" t="s">
        <v>213</v>
      </c>
      <c r="C3" s="83">
        <f>Assumptions!D4</f>
        <v>0.2</v>
      </c>
    </row>
    <row r="4" spans="1:14" x14ac:dyDescent="0.2">
      <c r="B4" t="s">
        <v>210</v>
      </c>
      <c r="C4" s="76">
        <f>C2*(1-C3)</f>
        <v>24800000</v>
      </c>
    </row>
    <row r="5" spans="1:14" x14ac:dyDescent="0.2">
      <c r="B5" t="s">
        <v>212</v>
      </c>
      <c r="C5" s="82">
        <f>Assumptions!D17</f>
        <v>27.5</v>
      </c>
    </row>
    <row r="6" spans="1:14" x14ac:dyDescent="0.2">
      <c r="B6" t="s">
        <v>211</v>
      </c>
      <c r="C6" s="86">
        <f>C4/C5</f>
        <v>901818.18181818177</v>
      </c>
    </row>
    <row r="7" spans="1:14" x14ac:dyDescent="0.2">
      <c r="B7" s="2" t="s">
        <v>168</v>
      </c>
      <c r="C7" s="14">
        <v>1</v>
      </c>
      <c r="D7" s="14">
        <f>C7+1</f>
        <v>2</v>
      </c>
      <c r="E7" s="14">
        <f t="shared" ref="E7:G7" si="0">D7+1</f>
        <v>3</v>
      </c>
      <c r="F7" s="14">
        <f t="shared" si="0"/>
        <v>4</v>
      </c>
      <c r="G7" s="14">
        <f t="shared" si="0"/>
        <v>5</v>
      </c>
      <c r="H7" s="14"/>
      <c r="I7" s="14"/>
      <c r="J7" s="14"/>
      <c r="K7" s="14"/>
      <c r="L7" s="14"/>
      <c r="M7" s="14"/>
      <c r="N7" s="14"/>
    </row>
    <row r="8" spans="1:14" x14ac:dyDescent="0.2">
      <c r="B8" t="s">
        <v>62</v>
      </c>
      <c r="C8" s="76">
        <f>C6</f>
        <v>901818.18181818177</v>
      </c>
      <c r="D8" s="76">
        <f>C8+$C$6</f>
        <v>1803636.3636363635</v>
      </c>
      <c r="E8" s="76">
        <f t="shared" ref="E8:G8" si="1">D8+$C$6</f>
        <v>2705454.5454545454</v>
      </c>
      <c r="F8" s="76">
        <f t="shared" si="1"/>
        <v>3607272.7272727271</v>
      </c>
      <c r="G8" s="76">
        <f t="shared" si="1"/>
        <v>4509090.9090909092</v>
      </c>
      <c r="H8" s="6"/>
      <c r="I8" s="6"/>
      <c r="J8" s="6"/>
      <c r="K8" s="6"/>
      <c r="L8" s="6"/>
    </row>
    <row r="10" spans="1:14" x14ac:dyDescent="0.2">
      <c r="A10" s="1" t="s">
        <v>182</v>
      </c>
    </row>
    <row r="11" spans="1:14" x14ac:dyDescent="0.2">
      <c r="B11" t="s">
        <v>125</v>
      </c>
      <c r="C11" s="76">
        <f>Financing!C2</f>
        <v>21700000</v>
      </c>
    </row>
    <row r="12" spans="1:14" x14ac:dyDescent="0.2">
      <c r="B12" t="s">
        <v>9</v>
      </c>
      <c r="C12" s="82">
        <f>Financing!C3</f>
        <v>30</v>
      </c>
    </row>
    <row r="13" spans="1:14" x14ac:dyDescent="0.2">
      <c r="B13" t="s">
        <v>10</v>
      </c>
      <c r="C13" s="76">
        <f>Financing!C10</f>
        <v>217000</v>
      </c>
    </row>
    <row r="14" spans="1:14" x14ac:dyDescent="0.2">
      <c r="B14" t="s">
        <v>214</v>
      </c>
      <c r="C14" s="86">
        <f>C13/C12</f>
        <v>7233.333333333333</v>
      </c>
    </row>
    <row r="15" spans="1:14" x14ac:dyDescent="0.2">
      <c r="B15" s="2" t="s">
        <v>168</v>
      </c>
      <c r="C15" s="14">
        <f>C7</f>
        <v>1</v>
      </c>
      <c r="D15" s="14">
        <f t="shared" ref="D15:G15" si="2">D7</f>
        <v>2</v>
      </c>
      <c r="E15" s="14">
        <f t="shared" si="2"/>
        <v>3</v>
      </c>
      <c r="F15" s="14">
        <f t="shared" si="2"/>
        <v>4</v>
      </c>
      <c r="G15" s="14">
        <f t="shared" si="2"/>
        <v>5</v>
      </c>
      <c r="H15" s="14"/>
      <c r="I15" s="14"/>
      <c r="J15" s="14"/>
      <c r="K15" s="14"/>
      <c r="L15" s="14"/>
      <c r="M15" s="14"/>
      <c r="N15" s="14"/>
    </row>
    <row r="16" spans="1:14" x14ac:dyDescent="0.2">
      <c r="B16" t="s">
        <v>215</v>
      </c>
      <c r="C16" s="76">
        <f>$C$13-$C$14*C15</f>
        <v>209766.66666666666</v>
      </c>
      <c r="D16" s="76">
        <f t="shared" ref="D16:G16" si="3">$C$13-$C$14*D15</f>
        <v>202533.33333333334</v>
      </c>
      <c r="E16" s="76">
        <f t="shared" si="3"/>
        <v>195300</v>
      </c>
      <c r="F16" s="76">
        <f t="shared" si="3"/>
        <v>188066.66666666666</v>
      </c>
      <c r="G16" s="76">
        <f t="shared" si="3"/>
        <v>180833.33333333334</v>
      </c>
      <c r="H16" s="6"/>
      <c r="I16" s="6"/>
      <c r="J16" s="6"/>
      <c r="K16" s="6"/>
      <c r="L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I84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33" customWidth="1"/>
    <col min="2" max="8" width="15.1640625" customWidth="1"/>
  </cols>
  <sheetData>
    <row r="1" spans="1:9" x14ac:dyDescent="0.2">
      <c r="E1" s="13" t="s">
        <v>36</v>
      </c>
    </row>
    <row r="3" spans="1:9" x14ac:dyDescent="0.2">
      <c r="A3" s="2" t="s">
        <v>37</v>
      </c>
      <c r="B3" s="14">
        <v>0</v>
      </c>
      <c r="C3" s="14">
        <v>1</v>
      </c>
      <c r="D3" s="14">
        <f>C3+1</f>
        <v>2</v>
      </c>
      <c r="E3" s="14">
        <f t="shared" ref="E3:H3" si="0">D3+1</f>
        <v>3</v>
      </c>
      <c r="F3" s="14">
        <f t="shared" si="0"/>
        <v>4</v>
      </c>
      <c r="G3" s="14">
        <f t="shared" si="0"/>
        <v>5</v>
      </c>
      <c r="H3" s="14">
        <f t="shared" si="0"/>
        <v>6</v>
      </c>
    </row>
    <row r="4" spans="1:9" x14ac:dyDescent="0.2">
      <c r="A4" t="s">
        <v>38</v>
      </c>
      <c r="C4" s="72">
        <f>Income!$T$26</f>
        <v>2289900</v>
      </c>
      <c r="D4" s="72">
        <f>C4*(1+Income!E46)</f>
        <v>2404395</v>
      </c>
      <c r="E4" s="72">
        <f>D4*(1+Income!F46)</f>
        <v>2524614.75</v>
      </c>
      <c r="F4" s="72">
        <f>E4*(1+Income!G46)</f>
        <v>2650845.4875000003</v>
      </c>
      <c r="G4" s="72">
        <f>F4*(1+Income!H46)</f>
        <v>2783387.7618750003</v>
      </c>
      <c r="H4" s="72">
        <f>G4*(1+Income!I46)</f>
        <v>2922557.1499687503</v>
      </c>
      <c r="I4" s="1" t="s">
        <v>248</v>
      </c>
    </row>
    <row r="5" spans="1:9" x14ac:dyDescent="0.2">
      <c r="A5" t="s">
        <v>39</v>
      </c>
      <c r="C5" s="72">
        <f>Income!M41</f>
        <v>207840</v>
      </c>
      <c r="D5" s="72">
        <f>Income!N41</f>
        <v>212356.80000000002</v>
      </c>
      <c r="E5" s="72">
        <f>Income!O41</f>
        <v>216974.73600000003</v>
      </c>
      <c r="F5" s="72">
        <f>Income!P41</f>
        <v>221696.15471999999</v>
      </c>
      <c r="G5" s="72">
        <f>Income!Q41</f>
        <v>226523.45953440003</v>
      </c>
      <c r="H5" s="72">
        <f>Income!R41</f>
        <v>231459.11189668803</v>
      </c>
    </row>
    <row r="6" spans="1:9" x14ac:dyDescent="0.2">
      <c r="A6" t="s">
        <v>40</v>
      </c>
      <c r="C6" s="72">
        <f>C4+C5</f>
        <v>2497740</v>
      </c>
      <c r="D6" s="72">
        <f t="shared" ref="D6:H6" si="1">D4+D5</f>
        <v>2616751.7999999998</v>
      </c>
      <c r="E6" s="72">
        <f t="shared" si="1"/>
        <v>2741589.486</v>
      </c>
      <c r="F6" s="72">
        <f t="shared" si="1"/>
        <v>2872541.6422200003</v>
      </c>
      <c r="G6" s="72">
        <f t="shared" si="1"/>
        <v>3009911.2214094005</v>
      </c>
      <c r="H6" s="72">
        <f t="shared" si="1"/>
        <v>3154016.2618654384</v>
      </c>
    </row>
    <row r="7" spans="1:9" x14ac:dyDescent="0.2">
      <c r="A7" t="s">
        <v>203</v>
      </c>
      <c r="C7" s="72">
        <f>-C6*Income!E55</f>
        <v>-124887</v>
      </c>
      <c r="D7" s="72">
        <f>-D6*Income!F55</f>
        <v>-130837.59</v>
      </c>
      <c r="E7" s="72">
        <f>-E6*Income!G55</f>
        <v>-137079.4743</v>
      </c>
      <c r="F7" s="72">
        <f>-F6*Income!H55</f>
        <v>-143627.08211100003</v>
      </c>
      <c r="G7" s="72">
        <f>-G6*Income!I55</f>
        <v>-150495.56107047002</v>
      </c>
      <c r="H7" s="72">
        <f>-H6*Income!J55</f>
        <v>-157700.81309327192</v>
      </c>
    </row>
    <row r="8" spans="1:9" x14ac:dyDescent="0.2">
      <c r="A8" t="s">
        <v>204</v>
      </c>
      <c r="C8" s="72">
        <f>-C6*Income!E56</f>
        <v>-12488.7</v>
      </c>
      <c r="D8" s="72">
        <f>-D6*Income!F56</f>
        <v>-13083.759</v>
      </c>
      <c r="E8" s="72">
        <f>-E6*Income!G56</f>
        <v>-13707.94743</v>
      </c>
      <c r="F8" s="72">
        <f>-F6*Income!H56</f>
        <v>-14362.708211100002</v>
      </c>
      <c r="G8" s="72">
        <f>-G6*Income!I56</f>
        <v>-15049.556107047003</v>
      </c>
      <c r="H8" s="72">
        <f>-H6*Income!J56</f>
        <v>-15770.081309327192</v>
      </c>
    </row>
    <row r="9" spans="1:9" x14ac:dyDescent="0.2">
      <c r="A9" t="s">
        <v>41</v>
      </c>
      <c r="C9" s="72">
        <f>C6+C7+C8</f>
        <v>2360364.2999999998</v>
      </c>
      <c r="D9" s="72">
        <f t="shared" ref="D9:H9" si="2">D6+D7+D8</f>
        <v>2472830.4509999999</v>
      </c>
      <c r="E9" s="72">
        <f t="shared" si="2"/>
        <v>2590802.06427</v>
      </c>
      <c r="F9" s="72">
        <f t="shared" si="2"/>
        <v>2714551.8518979</v>
      </c>
      <c r="G9" s="72">
        <f t="shared" si="2"/>
        <v>2844366.1042318833</v>
      </c>
      <c r="H9" s="72">
        <f t="shared" si="2"/>
        <v>2980545.367462839</v>
      </c>
    </row>
    <row r="10" spans="1:9" x14ac:dyDescent="0.2">
      <c r="A10" t="s">
        <v>42</v>
      </c>
      <c r="C10" s="72">
        <f>-Expenses!G35</f>
        <v>-124816</v>
      </c>
      <c r="D10" s="72">
        <f>-Expenses!H35</f>
        <v>-128560.48000000001</v>
      </c>
      <c r="E10" s="72">
        <f>-Expenses!I35</f>
        <v>-132417.29440000001</v>
      </c>
      <c r="F10" s="72">
        <f>-Expenses!J35</f>
        <v>-136389.81323200001</v>
      </c>
      <c r="G10" s="72">
        <f>-Expenses!K35</f>
        <v>-140481.50762896001</v>
      </c>
      <c r="H10" s="72">
        <f>-Expenses!L35</f>
        <v>-144695.95285782882</v>
      </c>
    </row>
    <row r="11" spans="1:9" x14ac:dyDescent="0.2">
      <c r="A11" t="s">
        <v>43</v>
      </c>
      <c r="C11" s="72">
        <f>-Expenses!G48</f>
        <v>-612432.77033040184</v>
      </c>
      <c r="D11" s="72">
        <f>-Expenses!H48</f>
        <v>-637677.78232451004</v>
      </c>
      <c r="E11" s="72">
        <f>-Expenses!I48</f>
        <v>-664028.15207787522</v>
      </c>
      <c r="F11" s="72">
        <f>-Expenses!J48</f>
        <v>-691534.16777035152</v>
      </c>
      <c r="G11" s="72">
        <f>-Expenses!K48</f>
        <v>-720248.46269940434</v>
      </c>
      <c r="H11" s="72">
        <f>-Expenses!L48</f>
        <v>-750226.12648157962</v>
      </c>
    </row>
    <row r="12" spans="1:9" x14ac:dyDescent="0.2">
      <c r="A12" t="s">
        <v>73</v>
      </c>
      <c r="C12" s="72">
        <f>-Expenses!G53</f>
        <v>-26850</v>
      </c>
      <c r="D12" s="72">
        <f>-Expenses!H53</f>
        <v>-27655.5</v>
      </c>
      <c r="E12" s="72">
        <f>-Expenses!I53</f>
        <v>-28485.165000000001</v>
      </c>
      <c r="F12" s="72">
        <f>-Expenses!J53</f>
        <v>-29339.719950000002</v>
      </c>
      <c r="G12" s="72">
        <f>-Expenses!K53</f>
        <v>-30219.911548500007</v>
      </c>
      <c r="H12" s="72">
        <f>-Expenses!L53</f>
        <v>-31126.508894955005</v>
      </c>
    </row>
    <row r="13" spans="1:9" x14ac:dyDescent="0.2">
      <c r="A13" t="s">
        <v>44</v>
      </c>
      <c r="C13" s="72">
        <f>C9+C10+C11+C12</f>
        <v>1596265.529669598</v>
      </c>
      <c r="D13" s="72">
        <f t="shared" ref="D13:H13" si="3">D9+D10+D11+D12</f>
        <v>1678936.6886754897</v>
      </c>
      <c r="E13" s="72">
        <f t="shared" si="3"/>
        <v>1765871.4527921248</v>
      </c>
      <c r="F13" s="72">
        <f t="shared" si="3"/>
        <v>1857288.1509455484</v>
      </c>
      <c r="G13" s="72">
        <f t="shared" si="3"/>
        <v>1953416.2223550188</v>
      </c>
      <c r="H13" s="72">
        <f t="shared" si="3"/>
        <v>2054496.7792284756</v>
      </c>
    </row>
    <row r="14" spans="1:9" x14ac:dyDescent="0.2">
      <c r="A14" t="s">
        <v>45</v>
      </c>
      <c r="C14" s="72">
        <f>Financing!$C$14</f>
        <v>1319408.5467865933</v>
      </c>
      <c r="D14" s="72">
        <f>Financing!$C$14</f>
        <v>1319408.5467865933</v>
      </c>
      <c r="E14" s="72">
        <f>Financing!$C$14</f>
        <v>1319408.5467865933</v>
      </c>
      <c r="F14" s="72">
        <f>Financing!$C$14</f>
        <v>1319408.5467865933</v>
      </c>
      <c r="G14" s="72">
        <f>Financing!$C$14</f>
        <v>1319408.5467865933</v>
      </c>
      <c r="H14" s="105"/>
    </row>
    <row r="15" spans="1:9" x14ac:dyDescent="0.2">
      <c r="A15" t="s">
        <v>46</v>
      </c>
      <c r="C15" s="72">
        <f>C13-C14</f>
        <v>276856.9828830047</v>
      </c>
      <c r="D15" s="72">
        <f t="shared" ref="D15:G15" si="4">D13-D14</f>
        <v>359528.14188889647</v>
      </c>
      <c r="E15" s="72">
        <f t="shared" si="4"/>
        <v>446462.90600553155</v>
      </c>
      <c r="F15" s="72">
        <f t="shared" si="4"/>
        <v>537879.60415895516</v>
      </c>
      <c r="G15" s="72">
        <f t="shared" si="4"/>
        <v>634007.67556842556</v>
      </c>
      <c r="H15" s="105"/>
    </row>
    <row r="16" spans="1:9" x14ac:dyDescent="0.2">
      <c r="C16" s="20"/>
      <c r="D16" s="20"/>
      <c r="E16" s="20"/>
      <c r="F16" s="20"/>
      <c r="G16" s="20"/>
      <c r="H16" s="20"/>
    </row>
    <row r="17" spans="1:8" x14ac:dyDescent="0.2">
      <c r="A17" t="s">
        <v>44</v>
      </c>
      <c r="C17" s="73">
        <f>C13</f>
        <v>1596265.529669598</v>
      </c>
      <c r="D17" s="73">
        <f t="shared" ref="D17:G17" si="5">D13</f>
        <v>1678936.6886754897</v>
      </c>
      <c r="E17" s="73">
        <f t="shared" si="5"/>
        <v>1765871.4527921248</v>
      </c>
      <c r="F17" s="73">
        <f t="shared" si="5"/>
        <v>1857288.1509455484</v>
      </c>
      <c r="G17" s="73">
        <f t="shared" si="5"/>
        <v>1953416.2223550188</v>
      </c>
      <c r="H17" s="20"/>
    </row>
    <row r="18" spans="1:8" x14ac:dyDescent="0.2">
      <c r="A18" t="s">
        <v>47</v>
      </c>
      <c r="C18" s="73">
        <f>-Financing!C24</f>
        <v>-969338.35469106026</v>
      </c>
      <c r="D18" s="73">
        <f>-Financing!D24</f>
        <v>-953256.19131426699</v>
      </c>
      <c r="E18" s="73">
        <f>-Financing!E24</f>
        <v>-936435.2161656674</v>
      </c>
      <c r="F18" s="73">
        <f>-Financing!F24</f>
        <v>-918841.48836172931</v>
      </c>
      <c r="G18" s="73">
        <f>-Financing!G24</f>
        <v>-900439.50778066926</v>
      </c>
      <c r="H18" s="20"/>
    </row>
    <row r="19" spans="1:8" x14ac:dyDescent="0.2">
      <c r="A19" t="s">
        <v>48</v>
      </c>
      <c r="C19" s="73">
        <f>-'Depreciation and Amortization'!$C$6</f>
        <v>-901818.18181818177</v>
      </c>
      <c r="D19" s="73">
        <f>-'Depreciation and Amortization'!$C$6</f>
        <v>-901818.18181818177</v>
      </c>
      <c r="E19" s="73">
        <f>-'Depreciation and Amortization'!$C$6</f>
        <v>-901818.18181818177</v>
      </c>
      <c r="F19" s="73">
        <f>-'Depreciation and Amortization'!$C$6</f>
        <v>-901818.18181818177</v>
      </c>
      <c r="G19" s="73">
        <f>-'Depreciation and Amortization'!$C$6</f>
        <v>-901818.18181818177</v>
      </c>
      <c r="H19" s="20"/>
    </row>
    <row r="20" spans="1:8" x14ac:dyDescent="0.2">
      <c r="A20" t="s">
        <v>49</v>
      </c>
      <c r="C20" s="73">
        <f>-'Depreciation and Amortization'!$C14</f>
        <v>-7233.333333333333</v>
      </c>
      <c r="D20" s="73">
        <f>-'Depreciation and Amortization'!$C14</f>
        <v>-7233.333333333333</v>
      </c>
      <c r="E20" s="73">
        <f>-'Depreciation and Amortization'!$C14</f>
        <v>-7233.333333333333</v>
      </c>
      <c r="F20" s="73">
        <f>-'Depreciation and Amortization'!$C14</f>
        <v>-7233.333333333333</v>
      </c>
      <c r="G20" s="73">
        <f>-'Depreciation and Amortization'!$C14</f>
        <v>-7233.333333333333</v>
      </c>
      <c r="H20" s="20"/>
    </row>
    <row r="21" spans="1:8" x14ac:dyDescent="0.2">
      <c r="A21" t="s">
        <v>50</v>
      </c>
      <c r="C21" s="73">
        <f>C17+C18+C19+C20</f>
        <v>-282124.34017297736</v>
      </c>
      <c r="D21" s="73">
        <f t="shared" ref="D21:G21" si="6">D17+D18+D19+D20</f>
        <v>-183371.01779029236</v>
      </c>
      <c r="E21" s="73">
        <f t="shared" si="6"/>
        <v>-79615.278525057671</v>
      </c>
      <c r="F21" s="73">
        <f t="shared" si="6"/>
        <v>29395.147432304027</v>
      </c>
      <c r="G21" s="73">
        <f t="shared" si="6"/>
        <v>143925.19942283447</v>
      </c>
      <c r="H21" s="20"/>
    </row>
    <row r="22" spans="1:8" x14ac:dyDescent="0.2">
      <c r="A22" t="s">
        <v>216</v>
      </c>
      <c r="C22" s="74">
        <f>Assumptions!$D$19</f>
        <v>0.36</v>
      </c>
      <c r="D22" s="74">
        <f>Assumptions!$D$19</f>
        <v>0.36</v>
      </c>
      <c r="E22" s="74">
        <f>Assumptions!$D$19</f>
        <v>0.36</v>
      </c>
      <c r="F22" s="74">
        <f>Assumptions!$D$19</f>
        <v>0.36</v>
      </c>
      <c r="G22" s="74">
        <f>Assumptions!$D$19</f>
        <v>0.36</v>
      </c>
      <c r="H22" s="42"/>
    </row>
    <row r="23" spans="1:8" x14ac:dyDescent="0.2">
      <c r="A23" t="s">
        <v>114</v>
      </c>
      <c r="C23" s="75">
        <f>C21*C22</f>
        <v>-101564.76246227184</v>
      </c>
      <c r="D23" s="75">
        <f t="shared" ref="D23:G23" si="7">D21*D22</f>
        <v>-66013.566404505254</v>
      </c>
      <c r="E23" s="75">
        <f t="shared" si="7"/>
        <v>-28661.500269020762</v>
      </c>
      <c r="F23" s="75">
        <f t="shared" si="7"/>
        <v>10582.253075629449</v>
      </c>
      <c r="G23" s="75">
        <f t="shared" si="7"/>
        <v>51813.071792220406</v>
      </c>
      <c r="H23" s="21"/>
    </row>
    <row r="24" spans="1:8" x14ac:dyDescent="0.2">
      <c r="C24" s="21"/>
      <c r="D24" s="21"/>
      <c r="E24" s="21"/>
      <c r="F24" s="21"/>
      <c r="G24" s="21"/>
      <c r="H24" s="21"/>
    </row>
    <row r="25" spans="1:8" x14ac:dyDescent="0.2">
      <c r="A25" t="s">
        <v>46</v>
      </c>
      <c r="C25" s="75">
        <f>C15</f>
        <v>276856.9828830047</v>
      </c>
      <c r="D25" s="75">
        <f t="shared" ref="D25:G25" si="8">D15</f>
        <v>359528.14188889647</v>
      </c>
      <c r="E25" s="75">
        <f t="shared" si="8"/>
        <v>446462.90600553155</v>
      </c>
      <c r="F25" s="75">
        <f t="shared" si="8"/>
        <v>537879.60415895516</v>
      </c>
      <c r="G25" s="75">
        <f t="shared" si="8"/>
        <v>634007.67556842556</v>
      </c>
      <c r="H25" s="21"/>
    </row>
    <row r="26" spans="1:8" x14ac:dyDescent="0.2">
      <c r="A26" t="s">
        <v>51</v>
      </c>
      <c r="C26" s="75">
        <f>-C23</f>
        <v>101564.76246227184</v>
      </c>
      <c r="D26" s="75">
        <f t="shared" ref="D26:G26" si="9">-D23</f>
        <v>66013.566404505254</v>
      </c>
      <c r="E26" s="75">
        <f t="shared" si="9"/>
        <v>28661.500269020762</v>
      </c>
      <c r="F26" s="75">
        <f>-F23</f>
        <v>-10582.253075629449</v>
      </c>
      <c r="G26" s="75">
        <f t="shared" si="9"/>
        <v>-51813.071792220406</v>
      </c>
      <c r="H26" s="21"/>
    </row>
    <row r="27" spans="1:8" x14ac:dyDescent="0.2">
      <c r="A27" t="s">
        <v>52</v>
      </c>
      <c r="C27" s="75">
        <f>SUM(C25:C26)</f>
        <v>378421.74534527655</v>
      </c>
      <c r="D27" s="75">
        <f t="shared" ref="D27:G27" si="10">SUM(D25:D26)</f>
        <v>425541.70829340175</v>
      </c>
      <c r="E27" s="75">
        <f t="shared" si="10"/>
        <v>475124.40627455234</v>
      </c>
      <c r="F27" s="75">
        <f t="shared" si="10"/>
        <v>527297.35108332569</v>
      </c>
      <c r="G27" s="75">
        <f t="shared" si="10"/>
        <v>582194.6037762051</v>
      </c>
      <c r="H27" s="21"/>
    </row>
    <row r="29" spans="1:8" x14ac:dyDescent="0.2">
      <c r="A29" s="2" t="s">
        <v>37</v>
      </c>
      <c r="B29" s="14">
        <v>0</v>
      </c>
      <c r="C29" s="14">
        <v>1</v>
      </c>
      <c r="D29" s="14">
        <f>C29+1</f>
        <v>2</v>
      </c>
      <c r="E29" s="14">
        <f t="shared" ref="E29:G29" si="11">D29+1</f>
        <v>3</v>
      </c>
      <c r="F29" s="14">
        <f t="shared" si="11"/>
        <v>4</v>
      </c>
      <c r="G29" s="14">
        <f t="shared" si="11"/>
        <v>5</v>
      </c>
      <c r="H29" s="14"/>
    </row>
    <row r="30" spans="1:8" x14ac:dyDescent="0.2">
      <c r="A30" t="s">
        <v>53</v>
      </c>
      <c r="C30" s="21"/>
      <c r="D30" s="21"/>
      <c r="E30" s="21"/>
      <c r="F30" s="21"/>
      <c r="G30" s="75">
        <f>H13/Assumptions!D5</f>
        <v>39133271.985304296</v>
      </c>
    </row>
    <row r="31" spans="1:8" x14ac:dyDescent="0.2">
      <c r="A31" t="s">
        <v>54</v>
      </c>
      <c r="C31" s="21"/>
      <c r="D31" s="21"/>
      <c r="E31" s="21"/>
      <c r="F31" s="21"/>
      <c r="G31" s="75">
        <f>G30*Assumptions!D6</f>
        <v>391332.71985304297</v>
      </c>
    </row>
    <row r="32" spans="1:8" x14ac:dyDescent="0.2">
      <c r="A32" t="s">
        <v>55</v>
      </c>
      <c r="C32" s="21"/>
      <c r="D32" s="21"/>
      <c r="E32" s="21"/>
      <c r="F32" s="21"/>
      <c r="G32" s="75">
        <f>G30-G31</f>
        <v>38741939.265451252</v>
      </c>
    </row>
    <row r="33" spans="1:8" x14ac:dyDescent="0.2">
      <c r="A33" t="s">
        <v>56</v>
      </c>
      <c r="C33" s="21"/>
      <c r="D33" s="21"/>
      <c r="E33" s="21"/>
      <c r="F33" s="21"/>
      <c r="G33" s="75">
        <f>Financing!C30</f>
        <v>19781268.024380427</v>
      </c>
    </row>
    <row r="34" spans="1:8" x14ac:dyDescent="0.2">
      <c r="A34" t="s">
        <v>57</v>
      </c>
      <c r="C34" s="11"/>
      <c r="D34" s="11"/>
      <c r="E34" s="11"/>
      <c r="F34" s="11"/>
      <c r="G34" s="75">
        <f>Financing!G16</f>
        <v>0</v>
      </c>
    </row>
    <row r="35" spans="1:8" x14ac:dyDescent="0.2">
      <c r="A35" t="s">
        <v>58</v>
      </c>
      <c r="C35" s="21"/>
      <c r="D35" s="21"/>
      <c r="E35" s="21"/>
      <c r="F35" s="21"/>
      <c r="G35" s="75">
        <f>G32-G33-G34</f>
        <v>18960671.241070826</v>
      </c>
    </row>
    <row r="36" spans="1:8" x14ac:dyDescent="0.2">
      <c r="G36" s="19"/>
    </row>
    <row r="37" spans="1:8" x14ac:dyDescent="0.2">
      <c r="A37" t="s">
        <v>55</v>
      </c>
      <c r="C37" s="21"/>
      <c r="D37" s="21"/>
      <c r="E37" s="21"/>
      <c r="F37" s="21"/>
      <c r="G37" s="75">
        <f>G32</f>
        <v>38741939.265451252</v>
      </c>
    </row>
    <row r="38" spans="1:8" x14ac:dyDescent="0.2">
      <c r="A38" t="s">
        <v>59</v>
      </c>
      <c r="C38" s="21"/>
      <c r="D38" s="21"/>
      <c r="E38" s="21"/>
      <c r="F38" s="21"/>
      <c r="G38" s="75">
        <f>Assumptions!D3</f>
        <v>31000000</v>
      </c>
    </row>
    <row r="39" spans="1:8" x14ac:dyDescent="0.2">
      <c r="A39" t="s">
        <v>217</v>
      </c>
      <c r="C39" s="21"/>
      <c r="D39" s="21"/>
      <c r="E39" s="21"/>
      <c r="F39" s="21"/>
      <c r="G39" s="75">
        <f>G37-G38</f>
        <v>7741939.2654512525</v>
      </c>
    </row>
    <row r="40" spans="1:8" x14ac:dyDescent="0.2">
      <c r="A40" t="s">
        <v>60</v>
      </c>
      <c r="C40" s="7"/>
      <c r="D40" s="7"/>
      <c r="E40" s="7"/>
      <c r="F40" s="7"/>
      <c r="G40" s="74">
        <f>Assumptions!D21</f>
        <v>0.15</v>
      </c>
    </row>
    <row r="41" spans="1:8" x14ac:dyDescent="0.2">
      <c r="A41" t="s">
        <v>61</v>
      </c>
      <c r="C41" s="21"/>
      <c r="D41" s="21"/>
      <c r="E41" s="21"/>
      <c r="F41" s="21"/>
      <c r="G41" s="75">
        <f>G39*G40</f>
        <v>1161290.8898176879</v>
      </c>
      <c r="H41" t="s">
        <v>263</v>
      </c>
    </row>
    <row r="42" spans="1:8" x14ac:dyDescent="0.2">
      <c r="G42" s="19"/>
    </row>
    <row r="43" spans="1:8" x14ac:dyDescent="0.2">
      <c r="A43" t="s">
        <v>62</v>
      </c>
      <c r="C43" s="21"/>
      <c r="D43" s="21"/>
      <c r="E43" s="21"/>
      <c r="F43" s="21"/>
      <c r="G43" s="75">
        <f>'Depreciation and Amortization'!G8</f>
        <v>4509090.9090909092</v>
      </c>
    </row>
    <row r="44" spans="1:8" x14ac:dyDescent="0.2">
      <c r="A44" t="s">
        <v>63</v>
      </c>
      <c r="C44" s="7"/>
      <c r="D44" s="7"/>
      <c r="E44" s="7"/>
      <c r="F44" s="7"/>
      <c r="G44" s="74">
        <f>Assumptions!D20</f>
        <v>0.25</v>
      </c>
    </row>
    <row r="45" spans="1:8" x14ac:dyDescent="0.2">
      <c r="A45" t="s">
        <v>64</v>
      </c>
      <c r="C45" s="21"/>
      <c r="D45" s="21"/>
      <c r="E45" s="21"/>
      <c r="F45" s="21"/>
      <c r="G45" s="75">
        <f>G43*G44</f>
        <v>1127272.7272727273</v>
      </c>
      <c r="H45" t="s">
        <v>264</v>
      </c>
    </row>
    <row r="46" spans="1:8" x14ac:dyDescent="0.2">
      <c r="G46" s="19"/>
    </row>
    <row r="47" spans="1:8" x14ac:dyDescent="0.2">
      <c r="A47" t="s">
        <v>11</v>
      </c>
      <c r="C47" s="11"/>
      <c r="D47" s="11"/>
      <c r="E47" s="11"/>
      <c r="F47" s="11"/>
      <c r="G47" s="75">
        <f>Assumptions!D13</f>
        <v>0</v>
      </c>
    </row>
    <row r="48" spans="1:8" x14ac:dyDescent="0.2">
      <c r="A48" t="s">
        <v>65</v>
      </c>
      <c r="C48" s="21"/>
      <c r="D48" s="21"/>
      <c r="E48" s="21"/>
      <c r="F48" s="21"/>
      <c r="G48" s="75">
        <f>'Depreciation and Amortization'!G16</f>
        <v>180833.33333333334</v>
      </c>
    </row>
    <row r="49" spans="1:9" x14ac:dyDescent="0.2">
      <c r="A49" t="s">
        <v>66</v>
      </c>
      <c r="C49" s="21"/>
      <c r="D49" s="21"/>
      <c r="E49" s="21"/>
      <c r="F49" s="21"/>
      <c r="G49" s="75">
        <f>G47+G48</f>
        <v>180833.33333333334</v>
      </c>
    </row>
    <row r="50" spans="1:9" x14ac:dyDescent="0.2">
      <c r="A50" t="s">
        <v>67</v>
      </c>
      <c r="C50" s="7"/>
      <c r="D50" s="7"/>
      <c r="E50" s="7"/>
      <c r="F50" s="7"/>
      <c r="G50" s="74">
        <f>Assumptions!D19</f>
        <v>0.36</v>
      </c>
    </row>
    <row r="51" spans="1:9" x14ac:dyDescent="0.2">
      <c r="A51" t="s">
        <v>68</v>
      </c>
      <c r="C51" s="6"/>
      <c r="D51" s="6"/>
      <c r="E51" s="6"/>
      <c r="F51" s="6"/>
      <c r="G51" s="76">
        <f>G49*G50</f>
        <v>65100</v>
      </c>
      <c r="H51" t="s">
        <v>265</v>
      </c>
    </row>
    <row r="52" spans="1:9" x14ac:dyDescent="0.2">
      <c r="G52" s="19"/>
    </row>
    <row r="53" spans="1:9" x14ac:dyDescent="0.2">
      <c r="A53" t="s">
        <v>58</v>
      </c>
      <c r="C53" s="21"/>
      <c r="D53" s="21"/>
      <c r="E53" s="21"/>
      <c r="F53" s="21"/>
      <c r="G53" s="75">
        <f>G35</f>
        <v>18960671.241070826</v>
      </c>
    </row>
    <row r="54" spans="1:9" x14ac:dyDescent="0.2">
      <c r="A54" t="s">
        <v>69</v>
      </c>
      <c r="C54" s="21"/>
      <c r="D54" s="21"/>
      <c r="E54" s="21"/>
      <c r="F54" s="21"/>
      <c r="G54" s="75">
        <f>-G41</f>
        <v>-1161290.8898176879</v>
      </c>
      <c r="H54" t="s">
        <v>263</v>
      </c>
      <c r="I54" t="s">
        <v>266</v>
      </c>
    </row>
    <row r="55" spans="1:9" x14ac:dyDescent="0.2">
      <c r="A55" t="s">
        <v>70</v>
      </c>
      <c r="C55" s="21"/>
      <c r="D55" s="21"/>
      <c r="E55" s="21"/>
      <c r="F55" s="21"/>
      <c r="G55" s="75">
        <f>-G45</f>
        <v>-1127272.7272727273</v>
      </c>
      <c r="H55" t="s">
        <v>264</v>
      </c>
      <c r="I55" t="s">
        <v>266</v>
      </c>
    </row>
    <row r="56" spans="1:9" x14ac:dyDescent="0.2">
      <c r="A56" t="s">
        <v>71</v>
      </c>
      <c r="C56" s="21"/>
      <c r="D56" s="21"/>
      <c r="E56" s="21"/>
      <c r="F56" s="21"/>
      <c r="G56" s="75">
        <f>G51</f>
        <v>65100</v>
      </c>
      <c r="H56" t="s">
        <v>265</v>
      </c>
      <c r="I56" t="s">
        <v>267</v>
      </c>
    </row>
    <row r="57" spans="1:9" x14ac:dyDescent="0.2">
      <c r="A57" t="s">
        <v>52</v>
      </c>
      <c r="C57" s="21"/>
      <c r="D57" s="21"/>
      <c r="E57" s="21"/>
      <c r="F57" s="21"/>
      <c r="G57" s="75">
        <f>SUM(G53:G56)</f>
        <v>16737207.62398041</v>
      </c>
    </row>
    <row r="59" spans="1:9" x14ac:dyDescent="0.2">
      <c r="A59" s="36" t="s">
        <v>218</v>
      </c>
      <c r="C59" s="14"/>
      <c r="D59" s="14"/>
      <c r="E59" s="14"/>
      <c r="F59" s="14"/>
      <c r="G59" s="14"/>
    </row>
    <row r="60" spans="1:9" x14ac:dyDescent="0.2">
      <c r="A60" t="s">
        <v>219</v>
      </c>
      <c r="B60" s="75">
        <f>-Assumptions!D3</f>
        <v>-31000000</v>
      </c>
      <c r="C60" s="75">
        <f>C17</f>
        <v>1596265.529669598</v>
      </c>
      <c r="D60" s="75">
        <f t="shared" ref="D60:F60" si="12">D17</f>
        <v>1678936.6886754897</v>
      </c>
      <c r="E60" s="75">
        <f t="shared" si="12"/>
        <v>1765871.4527921248</v>
      </c>
      <c r="F60" s="75">
        <f t="shared" si="12"/>
        <v>1857288.1509455484</v>
      </c>
      <c r="G60" s="75">
        <f>G17+G32</f>
        <v>40695355.487806268</v>
      </c>
    </row>
    <row r="61" spans="1:9" x14ac:dyDescent="0.2">
      <c r="A61" t="s">
        <v>220</v>
      </c>
      <c r="B61" s="75">
        <f>$B$60*(1-Assumptions!$D$9)-Financing!$C$10</f>
        <v>-9517000.0000000019</v>
      </c>
      <c r="C61" s="77">
        <f>C15</f>
        <v>276856.9828830047</v>
      </c>
      <c r="D61" s="77">
        <f t="shared" ref="D61:F61" si="13">D15</f>
        <v>359528.14188889647</v>
      </c>
      <c r="E61" s="77">
        <f t="shared" si="13"/>
        <v>446462.90600553155</v>
      </c>
      <c r="F61" s="77">
        <f t="shared" si="13"/>
        <v>537879.60415895516</v>
      </c>
      <c r="G61" s="77">
        <f>G15+G35</f>
        <v>19594678.91663925</v>
      </c>
    </row>
    <row r="62" spans="1:9" x14ac:dyDescent="0.2">
      <c r="A62" t="s">
        <v>221</v>
      </c>
      <c r="B62" s="75">
        <f>$B$60*(1-Assumptions!$D$9)-Financing!$C$10</f>
        <v>-9517000.0000000019</v>
      </c>
      <c r="C62" s="77">
        <f>C27</f>
        <v>378421.74534527655</v>
      </c>
      <c r="D62" s="77">
        <f t="shared" ref="D62:F62" si="14">D27</f>
        <v>425541.70829340175</v>
      </c>
      <c r="E62" s="77">
        <f t="shared" si="14"/>
        <v>475124.40627455234</v>
      </c>
      <c r="F62" s="77">
        <f t="shared" si="14"/>
        <v>527297.35108332569</v>
      </c>
      <c r="G62" s="77">
        <f>G27+G57</f>
        <v>17319402.227756616</v>
      </c>
    </row>
    <row r="63" spans="1:9" x14ac:dyDescent="0.2">
      <c r="C63" s="19"/>
      <c r="D63" s="19"/>
      <c r="E63" s="19"/>
      <c r="F63" s="19"/>
      <c r="G63" s="19"/>
    </row>
    <row r="64" spans="1:9" x14ac:dyDescent="0.2">
      <c r="A64" s="1" t="s">
        <v>222</v>
      </c>
      <c r="C64" s="21"/>
      <c r="D64" s="21"/>
      <c r="E64" s="21"/>
      <c r="F64" s="21"/>
      <c r="G64" s="21"/>
    </row>
    <row r="65" spans="1:7" x14ac:dyDescent="0.2">
      <c r="A65" t="s">
        <v>219</v>
      </c>
      <c r="B65" s="83">
        <f>IRR(B60:G60)</f>
        <v>9.7671317317667095E-2</v>
      </c>
      <c r="C65" s="21"/>
      <c r="D65" s="21"/>
      <c r="E65" s="21"/>
      <c r="F65" s="21"/>
      <c r="G65" s="21"/>
    </row>
    <row r="66" spans="1:7" x14ac:dyDescent="0.2">
      <c r="A66" t="s">
        <v>220</v>
      </c>
      <c r="B66" s="83">
        <f t="shared" ref="B66:B67" si="15">IRR(B61:G61)</f>
        <v>0.18234796301625189</v>
      </c>
      <c r="C66" s="21"/>
      <c r="D66" s="21"/>
      <c r="E66" s="21"/>
      <c r="F66" s="21"/>
      <c r="G66" s="21"/>
    </row>
    <row r="67" spans="1:7" x14ac:dyDescent="0.2">
      <c r="A67" t="s">
        <v>221</v>
      </c>
      <c r="B67" s="83">
        <f t="shared" si="15"/>
        <v>0.15913918765600377</v>
      </c>
      <c r="C67" s="21"/>
      <c r="D67" s="21"/>
      <c r="E67" s="21"/>
      <c r="F67" s="21"/>
      <c r="G67" s="21"/>
    </row>
    <row r="68" spans="1:7" x14ac:dyDescent="0.2">
      <c r="C68" s="21"/>
      <c r="D68" s="21"/>
      <c r="E68" s="21"/>
      <c r="F68" s="21"/>
      <c r="G68" s="21"/>
    </row>
    <row r="69" spans="1:7" x14ac:dyDescent="0.2">
      <c r="A69" s="1" t="s">
        <v>20</v>
      </c>
    </row>
    <row r="70" spans="1:7" x14ac:dyDescent="0.2">
      <c r="A70" t="s">
        <v>219</v>
      </c>
      <c r="B70" s="78">
        <f>NPV(Assumptions!D23,'Cash Flows'!C60:G60)+'Cash Flows'!B60</f>
        <v>2380984.3098432757</v>
      </c>
      <c r="C70" s="14"/>
      <c r="D70" s="14"/>
      <c r="E70" s="14"/>
      <c r="F70" s="14"/>
      <c r="G70" s="14"/>
    </row>
    <row r="71" spans="1:7" x14ac:dyDescent="0.2">
      <c r="A71" t="s">
        <v>220</v>
      </c>
      <c r="B71" s="78">
        <f>NPV(Assumptions!D24,'Cash Flows'!C61:G61)+'Cash Flows'!B61</f>
        <v>3333477.8211623598</v>
      </c>
      <c r="C71" s="19"/>
      <c r="D71" s="19"/>
      <c r="E71" s="19"/>
      <c r="F71" s="19"/>
      <c r="G71" s="19"/>
    </row>
    <row r="72" spans="1:7" x14ac:dyDescent="0.2">
      <c r="A72" t="s">
        <v>221</v>
      </c>
      <c r="B72" s="78">
        <f>NPV(Assumptions!D25,'Cash Flows'!C62:G62)+'Cash Flows'!B62</f>
        <v>2913915.3443222605</v>
      </c>
      <c r="C72" s="19"/>
      <c r="D72" s="19"/>
      <c r="E72" s="19"/>
      <c r="F72" s="19"/>
      <c r="G72" s="19"/>
    </row>
    <row r="73" spans="1:7" x14ac:dyDescent="0.2">
      <c r="B73" s="19"/>
      <c r="C73" s="19"/>
      <c r="D73" s="19"/>
      <c r="E73" s="19"/>
      <c r="F73" s="19"/>
      <c r="G73" s="19"/>
    </row>
    <row r="74" spans="1:7" x14ac:dyDescent="0.2">
      <c r="A74" s="1" t="s">
        <v>124</v>
      </c>
    </row>
    <row r="75" spans="1:7" x14ac:dyDescent="0.2">
      <c r="A75" t="s">
        <v>223</v>
      </c>
      <c r="B75" s="74">
        <f>-C15/B61</f>
        <v>2.9090783112641027E-2</v>
      </c>
    </row>
    <row r="76" spans="1:7" x14ac:dyDescent="0.2">
      <c r="A76" t="s">
        <v>224</v>
      </c>
      <c r="B76" s="79">
        <f>-B60/C13</f>
        <v>19.420327898965855</v>
      </c>
    </row>
    <row r="77" spans="1:7" x14ac:dyDescent="0.2">
      <c r="A77" t="s">
        <v>225</v>
      </c>
      <c r="B77" s="80">
        <f>C13/Financing!C14</f>
        <v>1.2098341590686881</v>
      </c>
    </row>
    <row r="78" spans="1:7" x14ac:dyDescent="0.2">
      <c r="A78" t="s">
        <v>226</v>
      </c>
      <c r="B78" s="81">
        <f>-SUM(C10:C11)/C9</f>
        <v>0.31234533174832457</v>
      </c>
    </row>
    <row r="79" spans="1:7" x14ac:dyDescent="0.2">
      <c r="A79" t="s">
        <v>227</v>
      </c>
      <c r="B79" s="81">
        <f>-(C10+C11-C14)/C6</f>
        <v>0.82340728703427701</v>
      </c>
    </row>
    <row r="80" spans="1:7" x14ac:dyDescent="0.2">
      <c r="B80" s="21"/>
    </row>
    <row r="81" spans="2:8" x14ac:dyDescent="0.2">
      <c r="B81" s="21"/>
    </row>
    <row r="82" spans="2:8" x14ac:dyDescent="0.2">
      <c r="B82" s="21"/>
    </row>
    <row r="84" spans="2:8" x14ac:dyDescent="0.2">
      <c r="C84" s="21"/>
      <c r="D84" s="21"/>
      <c r="E84" s="21"/>
      <c r="F84" s="21"/>
      <c r="G84" s="21"/>
      <c r="H84" s="21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QUESTIONS</vt:lpstr>
      <vt:lpstr>Assumptions</vt:lpstr>
      <vt:lpstr>Income</vt:lpstr>
      <vt:lpstr>Expenses</vt:lpstr>
      <vt:lpstr>Financing</vt:lpstr>
      <vt:lpstr>Depreciation and Amortization</vt:lpstr>
      <vt:lpstr>Cash Flows</vt:lpstr>
      <vt:lpstr>Assumptions!Print_Area</vt:lpstr>
      <vt:lpstr>'Cash Flows'!Print_Area</vt:lpstr>
      <vt:lpstr>Expenses!Print_Area</vt:lpstr>
      <vt:lpstr>Income!Print_Area</vt:lpstr>
      <vt:lpstr>QUESTIONS!Print_Area</vt:lpstr>
      <vt:lpstr>'Cash Flows'!Print_Titles</vt:lpstr>
      <vt:lpstr>Expenses!Print_Titles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tomthio</dc:creator>
  <cp:lastModifiedBy>Marc Emile Lanton</cp:lastModifiedBy>
  <cp:lastPrinted>2017-09-17T21:36:15Z</cp:lastPrinted>
  <dcterms:created xsi:type="dcterms:W3CDTF">2011-10-09T21:45:43Z</dcterms:created>
  <dcterms:modified xsi:type="dcterms:W3CDTF">2023-11-17T02:58:29Z</dcterms:modified>
</cp:coreProperties>
</file>