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mlanton28/Desktop/CU Boulder Saved Excel/"/>
    </mc:Choice>
  </mc:AlternateContent>
  <xr:revisionPtr revIDLastSave="0" documentId="8_{342D4044-2DD3-D045-8FC0-6A45A9FDBB0A}" xr6:coauthVersionLast="47" xr6:coauthVersionMax="47" xr10:uidLastSave="{00000000-0000-0000-0000-000000000000}"/>
  <bookViews>
    <workbookView xWindow="0" yWindow="500" windowWidth="28800" windowHeight="16260" activeTab="3" xr2:uid="{00000000-000D-0000-FFFF-FFFF00000000}"/>
  </bookViews>
  <sheets>
    <sheet name="ANSWER SHEET" sheetId="8" r:id="rId1"/>
    <sheet name="Assumptions" sheetId="1" r:id="rId2"/>
    <sheet name="Financing" sheetId="4" r:id="rId3"/>
    <sheet name="No renovations" sheetId="5" r:id="rId4"/>
    <sheet name="Renovate" sheetId="6" r:id="rId5"/>
    <sheet name="IRR on Renovation" sheetId="7" r:id="rId6"/>
  </sheets>
  <definedNames>
    <definedName name="_xlnm.Print_Area" localSheetId="1">Assumptions!$A$1:$P$31</definedName>
    <definedName name="_xlnm.Print_Area" localSheetId="3">'No renovations'!$A$3:$G$42</definedName>
    <definedName name="_xlnm.Print_Area" localSheetId="4">Renovate!$A$3:$G$41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B17" i="8"/>
  <c r="B16" i="8"/>
  <c r="B15" i="8"/>
  <c r="B14" i="8"/>
  <c r="C37" i="6"/>
  <c r="B13" i="8"/>
  <c r="B10" i="8"/>
  <c r="B9" i="8"/>
  <c r="B8" i="8"/>
  <c r="B7" i="8"/>
  <c r="B6" i="8"/>
  <c r="B5" i="8"/>
  <c r="B1" i="4"/>
  <c r="C9" i="5"/>
  <c r="C4" i="7"/>
  <c r="C36" i="6"/>
  <c r="F31" i="6"/>
  <c r="F30" i="6"/>
  <c r="F29" i="6"/>
  <c r="D25" i="6"/>
  <c r="E25" i="6"/>
  <c r="F25" i="6"/>
  <c r="G25" i="6"/>
  <c r="E24" i="6"/>
  <c r="F24" i="6"/>
  <c r="G24" i="6"/>
  <c r="D24" i="6"/>
  <c r="D24" i="5"/>
  <c r="E23" i="6"/>
  <c r="F23" i="6"/>
  <c r="G23" i="6"/>
  <c r="D23" i="6"/>
  <c r="E22" i="6"/>
  <c r="F22" i="6"/>
  <c r="G22" i="6"/>
  <c r="D22" i="6"/>
  <c r="D22" i="5"/>
  <c r="E21" i="6"/>
  <c r="F21" i="6"/>
  <c r="G21" i="6"/>
  <c r="D21" i="6"/>
  <c r="F20" i="6"/>
  <c r="G20" i="6" s="1"/>
  <c r="E20" i="6"/>
  <c r="D20" i="5"/>
  <c r="E20" i="5" s="1"/>
  <c r="E21" i="5" s="1"/>
  <c r="D20" i="6"/>
  <c r="C36" i="5"/>
  <c r="D19" i="5"/>
  <c r="B5" i="4"/>
  <c r="C9" i="4" s="1"/>
  <c r="C10" i="4" s="1"/>
  <c r="C11" i="4" s="1"/>
  <c r="E21" i="8"/>
  <c r="E23" i="8" s="1"/>
  <c r="F32" i="5" l="1"/>
  <c r="F32" i="6"/>
  <c r="F33" i="5"/>
  <c r="B6" i="4"/>
  <c r="D21" i="5"/>
  <c r="F20" i="5"/>
  <c r="F21" i="5" s="1"/>
  <c r="E14" i="6"/>
  <c r="F14" i="6" s="1"/>
  <c r="G14" i="6" s="1"/>
  <c r="E13" i="6"/>
  <c r="F13" i="6" s="1"/>
  <c r="G13" i="6" s="1"/>
  <c r="E12" i="6"/>
  <c r="F12" i="6" s="1"/>
  <c r="G12" i="6" s="1"/>
  <c r="E11" i="6"/>
  <c r="F11" i="6" s="1"/>
  <c r="G11" i="6" s="1"/>
  <c r="E12" i="5"/>
  <c r="F12" i="5" s="1"/>
  <c r="G12" i="5" s="1"/>
  <c r="E13" i="5"/>
  <c r="F13" i="5" s="1"/>
  <c r="G13" i="5" s="1"/>
  <c r="E14" i="5"/>
  <c r="F14" i="5" s="1"/>
  <c r="G14" i="5" s="1"/>
  <c r="E11" i="5"/>
  <c r="F11" i="5" s="1"/>
  <c r="G11" i="5" s="1"/>
  <c r="B2" i="4"/>
  <c r="B3" i="4"/>
  <c r="F33" i="6" l="1"/>
  <c r="F34" i="6" s="1"/>
  <c r="D26" i="5"/>
  <c r="F26" i="5"/>
  <c r="E26" i="6"/>
  <c r="E27" i="6" s="1"/>
  <c r="E36" i="6" s="1"/>
  <c r="E4" i="7" s="1"/>
  <c r="F26" i="6"/>
  <c r="F27" i="6" s="1"/>
  <c r="D26" i="6"/>
  <c r="D27" i="6" s="1"/>
  <c r="D36" i="6" s="1"/>
  <c r="E26" i="5"/>
  <c r="D23" i="5"/>
  <c r="G20" i="5"/>
  <c r="G21" i="5" s="1"/>
  <c r="C7" i="5"/>
  <c r="C7" i="6"/>
  <c r="C9" i="6" s="1"/>
  <c r="D9" i="1"/>
  <c r="D7" i="1" s="1"/>
  <c r="F36" i="6" l="1"/>
  <c r="F4" i="7" s="1"/>
  <c r="D4" i="7"/>
  <c r="C38" i="6"/>
  <c r="C39" i="6" s="1"/>
  <c r="C40" i="6" s="1"/>
  <c r="D25" i="5"/>
  <c r="D3" i="7"/>
  <c r="E3" i="7" s="1"/>
  <c r="F3" i="7" s="1"/>
  <c r="D27" i="5" l="1"/>
  <c r="D36" i="5" s="1"/>
  <c r="C37" i="5"/>
  <c r="D3" i="6"/>
  <c r="E3" i="6" s="1"/>
  <c r="F3" i="6" s="1"/>
  <c r="D3" i="5" l="1"/>
  <c r="E3" i="5" s="1"/>
  <c r="F3" i="5" s="1"/>
  <c r="N14" i="1" l="1"/>
  <c r="E19" i="5" s="1"/>
  <c r="I14" i="1"/>
  <c r="F19" i="5" l="1"/>
  <c r="E22" i="5"/>
  <c r="E23" i="5" s="1"/>
  <c r="E24" i="5" s="1"/>
  <c r="E25" i="5" s="1"/>
  <c r="E27" i="5" s="1"/>
  <c r="E36" i="5" s="1"/>
  <c r="P14" i="1"/>
  <c r="D19" i="6" s="1"/>
  <c r="E19" i="6" s="1"/>
  <c r="F19" i="6" s="1"/>
  <c r="G19" i="6" s="1"/>
  <c r="J14" i="1"/>
  <c r="L14" i="1"/>
  <c r="G19" i="5" l="1"/>
  <c r="G22" i="5" s="1"/>
  <c r="G23" i="5" s="1"/>
  <c r="G24" i="5" s="1"/>
  <c r="G25" i="5" s="1"/>
  <c r="F29" i="5" s="1"/>
  <c r="F30" i="5" s="1"/>
  <c r="F31" i="5" s="1"/>
  <c r="F34" i="5" s="1"/>
  <c r="F22" i="5"/>
  <c r="F23" i="5" s="1"/>
  <c r="F24" i="5" s="1"/>
  <c r="F25" i="5" s="1"/>
  <c r="F27" i="5" s="1"/>
  <c r="F36" i="5" s="1"/>
  <c r="C39" i="5" s="1"/>
  <c r="C40" i="5" s="1"/>
  <c r="C41" i="5" s="1"/>
  <c r="C5" i="7" l="1" a="1"/>
  <c r="C38" i="5"/>
  <c r="C5" i="7" l="1"/>
  <c r="C6" i="7" s="1"/>
  <c r="E6" i="7"/>
  <c r="D6" i="7"/>
  <c r="F6" i="7"/>
  <c r="C8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<sst xmlns="http://schemas.openxmlformats.org/spreadsheetml/2006/main" count="189" uniqueCount="128">
  <si>
    <t>Purchase Price</t>
  </si>
  <si>
    <t>Number of apartments</t>
  </si>
  <si>
    <t>Year built</t>
  </si>
  <si>
    <t>Replacement cost</t>
  </si>
  <si>
    <t>Renovation cost</t>
  </si>
  <si>
    <t>Total Equity</t>
  </si>
  <si>
    <t>Existing equity</t>
  </si>
  <si>
    <t>Existing loan balance</t>
  </si>
  <si>
    <t>Remaining term (years)</t>
  </si>
  <si>
    <t>Annual interest rate</t>
  </si>
  <si>
    <t>Date of purchase</t>
  </si>
  <si>
    <t>Sale date</t>
  </si>
  <si>
    <t>Sales price</t>
  </si>
  <si>
    <t>Computed values</t>
  </si>
  <si>
    <t>12-month income</t>
  </si>
  <si>
    <t>Total</t>
  </si>
  <si>
    <t>NOI</t>
  </si>
  <si>
    <t>Property Assumptions</t>
  </si>
  <si>
    <t>Terminal cap rate</t>
  </si>
  <si>
    <t>Rents</t>
  </si>
  <si>
    <t>Studio</t>
  </si>
  <si>
    <t>2-bedroom</t>
  </si>
  <si>
    <t>3-bedroom</t>
  </si>
  <si>
    <t>Unit Type</t>
  </si>
  <si>
    <t># Units</t>
  </si>
  <si>
    <t>Total Area</t>
  </si>
  <si>
    <t>Square Feet</t>
  </si>
  <si>
    <t>Gross</t>
  </si>
  <si>
    <t>Operating Expense Ratio</t>
  </si>
  <si>
    <t>Vacancy and Collection Loss</t>
  </si>
  <si>
    <t>Pre-renovation</t>
  </si>
  <si>
    <t>2018</t>
  </si>
  <si>
    <t>Monthly Rent</t>
  </si>
  <si>
    <t>Annual Rent</t>
  </si>
  <si>
    <t>As is acquisition</t>
  </si>
  <si>
    <t>Cost per unit</t>
  </si>
  <si>
    <t>Going in, or direct, cap rate</t>
  </si>
  <si>
    <t>Including renovation expenses</t>
  </si>
  <si>
    <t>Total cost</t>
  </si>
  <si>
    <t>Prepayment penalty</t>
  </si>
  <si>
    <t>Post-renovation</t>
  </si>
  <si>
    <t>Rent growth</t>
  </si>
  <si>
    <t>No renovation</t>
  </si>
  <si>
    <t>Growth rate in non-rental income</t>
  </si>
  <si>
    <t>Annual growth rate in rental income</t>
  </si>
  <si>
    <t>Pro-forma assumptions:</t>
  </si>
  <si>
    <t>Year 1 non-rental Income</t>
  </si>
  <si>
    <t>Loan Amount</t>
  </si>
  <si>
    <t>Monthly Payment</t>
  </si>
  <si>
    <t>Annual Debt Service</t>
  </si>
  <si>
    <t>Ending Mortgage Balances</t>
  </si>
  <si>
    <t>Year</t>
  </si>
  <si>
    <t>Balance</t>
  </si>
  <si>
    <t>Loan Term (Years)</t>
  </si>
  <si>
    <t>Annual Interest Rate</t>
  </si>
  <si>
    <t>plus Renovation Expenses</t>
  </si>
  <si>
    <t>Total Acquisition Cost</t>
  </si>
  <si>
    <t>less CMBS Loan Amount</t>
  </si>
  <si>
    <t>Equity</t>
  </si>
  <si>
    <t>Year:</t>
  </si>
  <si>
    <t>Rental income growth rate</t>
  </si>
  <si>
    <t>Non-rental income growth rate</t>
  </si>
  <si>
    <t>Vacancy and collection loss rate</t>
  </si>
  <si>
    <t>Operating expense rate</t>
  </si>
  <si>
    <t>End of Year 1</t>
  </si>
  <si>
    <t>plus Non-rental income</t>
  </si>
  <si>
    <t>Rental Income</t>
  </si>
  <si>
    <t>Gross Potential Income</t>
  </si>
  <si>
    <t>less Vacancy and Collection Loss</t>
  </si>
  <si>
    <t>Gross Effective Income</t>
  </si>
  <si>
    <t>less Operating Expenses</t>
  </si>
  <si>
    <t>Net Operating Income</t>
  </si>
  <si>
    <t>less Debt Service</t>
  </si>
  <si>
    <t>Expected Selling Price</t>
  </si>
  <si>
    <t>Selling Cost</t>
  </si>
  <si>
    <t>less Selling Costs</t>
  </si>
  <si>
    <t>Sales Proceeds</t>
  </si>
  <si>
    <t>less Mortgage Balance</t>
  </si>
  <si>
    <t>less Prepayment Penalty</t>
  </si>
  <si>
    <t>Prepayment Penalty</t>
  </si>
  <si>
    <t>Before Tax Cash Flow from Operations</t>
  </si>
  <si>
    <t>Before Tax Cash Flow from the Sale</t>
  </si>
  <si>
    <t>Total Before Tax Cash Flows</t>
  </si>
  <si>
    <t>Equity Multiplier</t>
  </si>
  <si>
    <t>Before Tax IRR</t>
  </si>
  <si>
    <t>Going-in cap rate</t>
  </si>
  <si>
    <t>Renovate</t>
  </si>
  <si>
    <t>Operating expense ratio</t>
  </si>
  <si>
    <t>Renovate BTCFs</t>
  </si>
  <si>
    <t>No Renovation BTCFs</t>
  </si>
  <si>
    <t>Difference</t>
  </si>
  <si>
    <t>IRR</t>
  </si>
  <si>
    <t>PV of BTCF from Sale @ IRR Rate</t>
  </si>
  <si>
    <t>Percent of Equity</t>
  </si>
  <si>
    <t>%</t>
  </si>
  <si>
    <t>What is the expected before tax IRR on the renovation?</t>
  </si>
  <si>
    <t>How much of the before tax IRR comes from the sale of the property?</t>
  </si>
  <si>
    <t>What is the expected before tax IRR on equity?</t>
  </si>
  <si>
    <t>$</t>
  </si>
  <si>
    <t>What is the expected future selling price?</t>
  </si>
  <si>
    <t>What is the equity multiplier?</t>
  </si>
  <si>
    <t>How much equity is required to purchase and renovate the property?</t>
  </si>
  <si>
    <t>Assuming the property is acquired and renovated:</t>
  </si>
  <si>
    <t>What is the going-in, or direct, cap rate?</t>
  </si>
  <si>
    <t>How much equity is required to purchase the property?</t>
  </si>
  <si>
    <t>FORMAT</t>
  </si>
  <si>
    <t>Assuming the property is acquired, but not renovated:</t>
  </si>
  <si>
    <t>ANSWER HERE</t>
  </si>
  <si>
    <t>August 2016</t>
  </si>
  <si>
    <t>Use PMT function</t>
  </si>
  <si>
    <t>X 12</t>
  </si>
  <si>
    <t>Use FV function</t>
  </si>
  <si>
    <t>Need balance eoy 3 for sale</t>
  </si>
  <si>
    <t>&lt;--- Calculate</t>
  </si>
  <si>
    <t>&lt;--- BTCF used to calculate Renovate IRR</t>
  </si>
  <si>
    <t>&lt;--- BTCF used to calculate No Renovation IRR</t>
  </si>
  <si>
    <t>&lt;--- Use IRR function on difference</t>
  </si>
  <si>
    <t>DO NOT CHANGE THE FORMAT OF THIS SHEET</t>
  </si>
  <si>
    <t>#.##</t>
  </si>
  <si>
    <t>IRR on Renovation</t>
  </si>
  <si>
    <t>Choose to renovation scenario</t>
  </si>
  <si>
    <t>Choose not to renovation scenario</t>
  </si>
  <si>
    <t>Points</t>
  </si>
  <si>
    <t>Total Points</t>
  </si>
  <si>
    <t>Links and Style</t>
  </si>
  <si>
    <t>Question Points</t>
  </si>
  <si>
    <t>PV in cell C40 / -Equity in cell C36</t>
  </si>
  <si>
    <t>PV in cell C39 / -Equity in cell 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</si>
</sst>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rgb="FFC00000"/>
      <name val="Arial"/>
      <family val="2"/>
    </font>
    <font>
      <b/>
      <sz val="16"/>
      <color theme="1"/>
      <name val="Calibri"/>
      <family val="2"/>
      <scheme val="minor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0" fontId="0" fillId="0" borderId="0" xfId="1" applyNumberFormat="1" applyFont="1"/>
    <xf numFmtId="0" fontId="2" fillId="0" borderId="0" xfId="0" applyFont="1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/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0" fontId="2" fillId="0" borderId="0" xfId="1" applyNumberFormat="1" applyFont="1"/>
    <xf numFmtId="165" fontId="0" fillId="0" borderId="1" xfId="0" applyNumberFormat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6" fontId="0" fillId="0" borderId="0" xfId="0" applyNumberFormat="1"/>
    <xf numFmtId="166" fontId="0" fillId="0" borderId="0" xfId="0" applyNumberFormat="1"/>
    <xf numFmtId="0" fontId="0" fillId="0" borderId="3" xfId="0" applyBorder="1"/>
    <xf numFmtId="165" fontId="0" fillId="0" borderId="3" xfId="0" applyNumberFormat="1" applyBorder="1"/>
    <xf numFmtId="167" fontId="0" fillId="0" borderId="0" xfId="2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indent="2" readingOrder="1"/>
    </xf>
    <xf numFmtId="0" fontId="4" fillId="0" borderId="0" xfId="0" applyFont="1" applyAlignment="1">
      <alignment horizontal="left" vertical="center" indent="7" readingOrder="1"/>
    </xf>
    <xf numFmtId="0" fontId="3" fillId="0" borderId="3" xfId="0" applyFont="1" applyBorder="1" applyAlignment="1">
      <alignment horizontal="center"/>
    </xf>
    <xf numFmtId="17" fontId="0" fillId="2" borderId="0" xfId="0" quotePrefix="1" applyNumberFormat="1" applyFill="1" applyAlignment="1">
      <alignment horizontal="right"/>
    </xf>
    <xf numFmtId="165" fontId="0" fillId="2" borderId="0" xfId="0" applyNumberFormat="1" applyFill="1"/>
    <xf numFmtId="0" fontId="0" fillId="2" borderId="0" xfId="0" applyFill="1"/>
    <xf numFmtId="10" fontId="0" fillId="2" borderId="0" xfId="0" applyNumberFormat="1" applyFill="1"/>
    <xf numFmtId="10" fontId="0" fillId="2" borderId="0" xfId="1" applyNumberFormat="1" applyFont="1" applyFill="1"/>
    <xf numFmtId="165" fontId="0" fillId="2" borderId="0" xfId="1" applyNumberFormat="1" applyFont="1" applyFill="1"/>
    <xf numFmtId="0" fontId="0" fillId="2" borderId="0" xfId="0" quotePrefix="1" applyFill="1" applyAlignment="1">
      <alignment horizontal="right"/>
    </xf>
    <xf numFmtId="164" fontId="0" fillId="2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2" borderId="3" xfId="0" applyNumberFormat="1" applyFill="1" applyBorder="1"/>
    <xf numFmtId="2" fontId="0" fillId="2" borderId="0" xfId="0" applyNumberFormat="1" applyFill="1"/>
    <xf numFmtId="166" fontId="0" fillId="2" borderId="0" xfId="1" applyNumberFormat="1" applyFont="1" applyFill="1"/>
    <xf numFmtId="166" fontId="0" fillId="2" borderId="0" xfId="0" applyNumberFormat="1" applyFill="1"/>
    <xf numFmtId="0" fontId="2" fillId="0" borderId="3" xfId="0" applyFont="1" applyBorder="1"/>
    <xf numFmtId="0" fontId="6" fillId="0" borderId="0" xfId="0" applyFont="1"/>
    <xf numFmtId="8" fontId="0" fillId="2" borderId="0" xfId="0" applyNumberFormat="1" applyFill="1"/>
    <xf numFmtId="6" fontId="0" fillId="2" borderId="0" xfId="0" applyNumberFormat="1" applyFill="1"/>
    <xf numFmtId="0" fontId="3" fillId="2" borderId="4" xfId="0" applyFont="1" applyFill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0" fillId="2" borderId="0" xfId="1" applyNumberFormat="1" applyFont="1" applyFill="1"/>
    <xf numFmtId="9" fontId="0" fillId="2" borderId="0" xfId="1" applyFont="1" applyFill="1"/>
    <xf numFmtId="8" fontId="0" fillId="2" borderId="0" xfId="2" applyNumberFormat="1" applyFont="1" applyFill="1"/>
    <xf numFmtId="10" fontId="3" fillId="2" borderId="4" xfId="0" applyNumberFormat="1" applyFont="1" applyFill="1" applyBorder="1"/>
    <xf numFmtId="2" fontId="3" fillId="2" borderId="4" xfId="0" applyNumberFormat="1" applyFont="1" applyFill="1" applyBorder="1"/>
    <xf numFmtId="166" fontId="3" fillId="2" borderId="4" xfId="1" applyNumberFormat="1" applyFont="1" applyFill="1" applyBorder="1"/>
    <xf numFmtId="10" fontId="3" fillId="2" borderId="4" xfId="1" applyNumberFormat="1" applyFont="1" applyFill="1" applyBorder="1"/>
    <xf numFmtId="9" fontId="3" fillId="2" borderId="4" xfId="0" applyNumberFormat="1" applyFont="1" applyFill="1" applyBorder="1"/>
    <xf numFmtId="0" fontId="3" fillId="2" borderId="4" xfId="1" applyNumberFormat="1" applyFont="1" applyFill="1" applyBorder="1"/>
    <xf numFmtId="49" fontId="0" fillId="0" borderId="0" xfId="0" applyNumberFormat="1" applyAlignment="1">
      <alignment horizontal="center"/>
    </xf>
    <xf numFmtId="49" fontId="0" fillId="0" borderId="2" xfId="0" quotePrefix="1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0</xdr:row>
      <xdr:rowOff>182880</xdr:rowOff>
    </xdr:from>
    <xdr:to>
      <xdr:col>1</xdr:col>
      <xdr:colOff>773430</xdr:colOff>
      <xdr:row>3</xdr:row>
      <xdr:rowOff>129540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10640" y="182880"/>
          <a:ext cx="270510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24"/>
  <sheetViews>
    <sheetView zoomScale="98" workbookViewId="0">
      <selection activeCell="B19" sqref="B19"/>
    </sheetView>
  </sheetViews>
  <sheetFormatPr baseColWidth="10" defaultColWidth="11.1640625" defaultRowHeight="16" x14ac:dyDescent="0.2"/>
  <cols>
    <col min="1" max="1" width="76.5" style="25" customWidth="1"/>
    <col min="2" max="2" width="18.1640625" style="25" customWidth="1"/>
    <col min="3" max="3" width="14" style="25" customWidth="1"/>
    <col min="4" max="4" width="15.6640625" style="25" customWidth="1"/>
    <col min="5" max="16384" width="11.1640625" style="25"/>
  </cols>
  <sheetData>
    <row r="1" spans="1:5" x14ac:dyDescent="0.2">
      <c r="A1" s="45" t="s">
        <v>117</v>
      </c>
      <c r="B1" s="25" t="s">
        <v>107</v>
      </c>
    </row>
    <row r="4" spans="1:5" x14ac:dyDescent="0.2">
      <c r="A4" s="27" t="s">
        <v>106</v>
      </c>
      <c r="C4" s="29" t="s">
        <v>105</v>
      </c>
      <c r="E4" s="29" t="s">
        <v>122</v>
      </c>
    </row>
    <row r="5" spans="1:5" x14ac:dyDescent="0.2">
      <c r="A5" s="28" t="s">
        <v>104</v>
      </c>
      <c r="B5" s="48">
        <f>'No renovations'!$C$9</f>
        <v>4345000</v>
      </c>
      <c r="C5" s="26" t="s">
        <v>98</v>
      </c>
      <c r="E5" s="26">
        <v>5</v>
      </c>
    </row>
    <row r="6" spans="1:5" x14ac:dyDescent="0.2">
      <c r="A6" s="28" t="s">
        <v>103</v>
      </c>
      <c r="B6" s="54">
        <f>'No renovations'!$C$37</f>
        <v>7.1738419834710757E-2</v>
      </c>
      <c r="C6" s="26" t="s">
        <v>94</v>
      </c>
      <c r="E6" s="26">
        <v>5</v>
      </c>
    </row>
    <row r="7" spans="1:5" x14ac:dyDescent="0.2">
      <c r="A7" s="28" t="s">
        <v>100</v>
      </c>
      <c r="B7" s="55">
        <f>'No renovations'!$C$38</f>
        <v>1.3682344532390178</v>
      </c>
      <c r="C7" s="26" t="s">
        <v>118</v>
      </c>
      <c r="E7" s="26">
        <v>5</v>
      </c>
    </row>
    <row r="8" spans="1:5" x14ac:dyDescent="0.2">
      <c r="A8" s="28" t="s">
        <v>99</v>
      </c>
      <c r="B8" s="48">
        <f>'No renovations'!$F$29</f>
        <v>15808752.505296001</v>
      </c>
      <c r="C8" s="26" t="s">
        <v>98</v>
      </c>
      <c r="E8" s="26">
        <v>5</v>
      </c>
    </row>
    <row r="9" spans="1:5" x14ac:dyDescent="0.2">
      <c r="A9" s="28" t="s">
        <v>97</v>
      </c>
      <c r="B9" s="56">
        <f>'No renovations'!$C$39</f>
        <v>0.11302553383698255</v>
      </c>
      <c r="C9" s="26" t="s">
        <v>94</v>
      </c>
      <c r="E9" s="26">
        <v>5</v>
      </c>
    </row>
    <row r="10" spans="1:5" x14ac:dyDescent="0.2">
      <c r="A10" s="28" t="s">
        <v>96</v>
      </c>
      <c r="B10" s="56">
        <f>'No renovations'!$C$41</f>
        <v>0.91546717730719407</v>
      </c>
      <c r="C10" s="26" t="s">
        <v>94</v>
      </c>
      <c r="E10" s="26">
        <v>5</v>
      </c>
    </row>
    <row r="11" spans="1:5" x14ac:dyDescent="0.2">
      <c r="C11" s="26"/>
      <c r="E11" s="26"/>
    </row>
    <row r="12" spans="1:5" x14ac:dyDescent="0.2">
      <c r="A12" s="27" t="s">
        <v>102</v>
      </c>
      <c r="C12" s="26"/>
      <c r="E12" s="26"/>
    </row>
    <row r="13" spans="1:5" x14ac:dyDescent="0.2">
      <c r="A13" s="28" t="s">
        <v>101</v>
      </c>
      <c r="B13" s="48">
        <f>Renovate!$C$9</f>
        <v>8400000</v>
      </c>
      <c r="C13" s="26" t="s">
        <v>98</v>
      </c>
      <c r="E13" s="26">
        <v>5</v>
      </c>
    </row>
    <row r="14" spans="1:5" x14ac:dyDescent="0.2">
      <c r="A14" s="28" t="s">
        <v>100</v>
      </c>
      <c r="B14" s="59">
        <f>Renovate!$C$37</f>
        <v>3.5577923474451216</v>
      </c>
      <c r="C14" s="26" t="s">
        <v>118</v>
      </c>
      <c r="E14" s="26">
        <v>5</v>
      </c>
    </row>
    <row r="15" spans="1:5" x14ac:dyDescent="0.2">
      <c r="A15" s="28" t="s">
        <v>99</v>
      </c>
      <c r="B15" s="48">
        <f>Renovate!$F$29</f>
        <v>37420406.557377048</v>
      </c>
      <c r="C15" s="26" t="s">
        <v>98</v>
      </c>
      <c r="E15" s="26">
        <v>5</v>
      </c>
    </row>
    <row r="16" spans="1:5" x14ac:dyDescent="0.2">
      <c r="A16" s="28" t="s">
        <v>97</v>
      </c>
      <c r="B16" s="58">
        <f>Renovate!$C$38</f>
        <v>0.55947204193649025</v>
      </c>
      <c r="C16" s="26" t="s">
        <v>94</v>
      </c>
      <c r="E16" s="26">
        <v>5</v>
      </c>
    </row>
    <row r="17" spans="1:6" x14ac:dyDescent="0.2">
      <c r="A17" s="28" t="s">
        <v>96</v>
      </c>
      <c r="B17" s="57">
        <f>Renovate!$C$40</f>
        <v>0.8369782839607216</v>
      </c>
      <c r="C17" s="26" t="s">
        <v>94</v>
      </c>
      <c r="E17" s="26">
        <v>5</v>
      </c>
    </row>
    <row r="18" spans="1:6" x14ac:dyDescent="0.2">
      <c r="C18" s="26"/>
      <c r="E18" s="26"/>
    </row>
    <row r="19" spans="1:6" x14ac:dyDescent="0.2">
      <c r="A19" s="27" t="s">
        <v>95</v>
      </c>
      <c r="B19" s="57">
        <f>'IRR on Renovation'!$C$8</f>
        <v>0.8781554448841995</v>
      </c>
      <c r="C19" s="26" t="s">
        <v>94</v>
      </c>
      <c r="E19" s="50">
        <v>5</v>
      </c>
    </row>
    <row r="20" spans="1:6" x14ac:dyDescent="0.2">
      <c r="C20" s="26"/>
      <c r="E20" s="26"/>
    </row>
    <row r="21" spans="1:6" x14ac:dyDescent="0.2">
      <c r="D21" s="25" t="s">
        <v>125</v>
      </c>
      <c r="E21" s="26">
        <f>SUM(E5:E19)</f>
        <v>60</v>
      </c>
      <c r="F21" s="25">
        <v>60</v>
      </c>
    </row>
    <row r="22" spans="1:6" x14ac:dyDescent="0.2">
      <c r="D22" s="25" t="s">
        <v>124</v>
      </c>
      <c r="E22" s="50">
        <v>10</v>
      </c>
    </row>
    <row r="23" spans="1:6" x14ac:dyDescent="0.2">
      <c r="D23" s="25" t="s">
        <v>123</v>
      </c>
      <c r="E23" s="26">
        <f>E21+E22</f>
        <v>70</v>
      </c>
    </row>
    <row r="24" spans="1:6" x14ac:dyDescent="0.2">
      <c r="E24" s="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1:P32"/>
  <sheetViews>
    <sheetView zoomScale="90" zoomScaleNormal="90" workbookViewId="0">
      <selection activeCell="D31" sqref="D31"/>
    </sheetView>
  </sheetViews>
  <sheetFormatPr baseColWidth="10" defaultColWidth="8.83203125" defaultRowHeight="15" x14ac:dyDescent="0.2"/>
  <cols>
    <col min="1" max="1" width="18.83203125" customWidth="1"/>
    <col min="2" max="2" width="2.5" customWidth="1"/>
    <col min="3" max="3" width="24.6640625" customWidth="1"/>
    <col min="4" max="4" width="13.83203125" customWidth="1"/>
    <col min="5" max="5" width="10.6640625" bestFit="1" customWidth="1"/>
    <col min="6" max="6" width="12.33203125" customWidth="1"/>
    <col min="7" max="7" width="18.1640625" customWidth="1"/>
    <col min="8" max="8" width="12.33203125" customWidth="1"/>
    <col min="9" max="10" width="11.33203125" customWidth="1"/>
    <col min="11" max="11" width="12.5" customWidth="1"/>
    <col min="12" max="12" width="11.33203125" customWidth="1"/>
    <col min="13" max="13" width="13.33203125" customWidth="1"/>
    <col min="14" max="16" width="12.5" customWidth="1"/>
  </cols>
  <sheetData>
    <row r="1" spans="1:16" s="5" customFormat="1" ht="14.5" customHeight="1" x14ac:dyDescent="0.2">
      <c r="A1" s="5" t="s">
        <v>17</v>
      </c>
      <c r="O1" s="5" t="s">
        <v>41</v>
      </c>
      <c r="P1" s="12"/>
    </row>
    <row r="2" spans="1:16" x14ac:dyDescent="0.2">
      <c r="B2" t="s">
        <v>10</v>
      </c>
      <c r="D2" s="30">
        <v>41487</v>
      </c>
    </row>
    <row r="3" spans="1:16" ht="15" customHeight="1" x14ac:dyDescent="0.2">
      <c r="B3" t="s">
        <v>0</v>
      </c>
      <c r="D3" s="31">
        <v>15125000</v>
      </c>
      <c r="F3" s="5" t="s">
        <v>19</v>
      </c>
      <c r="G3" s="5"/>
      <c r="H3" s="5"/>
      <c r="I3" s="5"/>
      <c r="J3" s="5"/>
      <c r="K3" s="5"/>
      <c r="L3" s="5"/>
      <c r="M3" s="60" t="s">
        <v>30</v>
      </c>
      <c r="N3" s="60"/>
      <c r="O3" s="60" t="s">
        <v>40</v>
      </c>
      <c r="P3" s="60"/>
    </row>
    <row r="4" spans="1:16" ht="16" thickBot="1" x14ac:dyDescent="0.25">
      <c r="B4" t="s">
        <v>1</v>
      </c>
      <c r="D4" s="32">
        <v>194</v>
      </c>
      <c r="G4" s="5"/>
      <c r="H4" s="5"/>
      <c r="I4" s="5"/>
      <c r="J4" s="5"/>
      <c r="K4" s="61" t="s">
        <v>31</v>
      </c>
      <c r="L4" s="62"/>
      <c r="M4" s="62" t="s">
        <v>64</v>
      </c>
      <c r="N4" s="62"/>
      <c r="O4" s="62" t="s">
        <v>64</v>
      </c>
      <c r="P4" s="62"/>
    </row>
    <row r="5" spans="1:16" ht="17" thickBot="1" x14ac:dyDescent="0.25">
      <c r="B5" t="s">
        <v>2</v>
      </c>
      <c r="D5" s="32">
        <v>1992</v>
      </c>
      <c r="G5" s="7" t="s">
        <v>23</v>
      </c>
      <c r="H5" s="8" t="s">
        <v>26</v>
      </c>
      <c r="I5" s="7" t="s">
        <v>24</v>
      </c>
      <c r="J5" s="8" t="s">
        <v>25</v>
      </c>
      <c r="K5" s="10" t="s">
        <v>32</v>
      </c>
      <c r="L5" s="11" t="s">
        <v>33</v>
      </c>
      <c r="M5" s="10" t="s">
        <v>32</v>
      </c>
      <c r="N5" s="11" t="s">
        <v>33</v>
      </c>
      <c r="O5" s="10" t="s">
        <v>32</v>
      </c>
      <c r="P5" s="11" t="s">
        <v>33</v>
      </c>
    </row>
    <row r="6" spans="1:16" ht="16" thickTop="1" x14ac:dyDescent="0.2">
      <c r="B6" t="s">
        <v>3</v>
      </c>
      <c r="D6" s="31">
        <v>26580000</v>
      </c>
      <c r="K6" s="1"/>
    </row>
    <row r="7" spans="1:16" x14ac:dyDescent="0.2">
      <c r="B7" t="s">
        <v>5</v>
      </c>
      <c r="D7" s="31">
        <f>D8+D9</f>
        <v>8400000</v>
      </c>
      <c r="G7" t="s">
        <v>20</v>
      </c>
      <c r="H7">
        <v>405</v>
      </c>
      <c r="I7">
        <v>64</v>
      </c>
      <c r="J7" s="9">
        <v>25920</v>
      </c>
      <c r="K7" s="1">
        <v>960</v>
      </c>
      <c r="L7" s="2">
        <v>737280</v>
      </c>
      <c r="M7" s="1">
        <v>415</v>
      </c>
      <c r="N7" s="2">
        <v>318720</v>
      </c>
      <c r="O7" s="1">
        <v>632.14374568785138</v>
      </c>
      <c r="P7" s="2">
        <v>485486.39668826986</v>
      </c>
    </row>
    <row r="8" spans="1:16" x14ac:dyDescent="0.2">
      <c r="C8" t="s">
        <v>4</v>
      </c>
      <c r="D8" s="31">
        <v>4055000</v>
      </c>
      <c r="J8" s="9"/>
      <c r="K8" s="1"/>
      <c r="M8" s="1"/>
      <c r="N8" s="2"/>
      <c r="O8" s="1"/>
      <c r="P8" s="2"/>
    </row>
    <row r="9" spans="1:16" x14ac:dyDescent="0.2">
      <c r="C9" t="s">
        <v>6</v>
      </c>
      <c r="D9" s="31">
        <f>D3-D10</f>
        <v>4345000</v>
      </c>
      <c r="G9" t="s">
        <v>21</v>
      </c>
      <c r="H9">
        <v>810</v>
      </c>
      <c r="I9">
        <v>65</v>
      </c>
      <c r="J9" s="9">
        <v>52650</v>
      </c>
      <c r="K9" s="1">
        <v>1538</v>
      </c>
      <c r="L9" s="2">
        <v>1199640</v>
      </c>
      <c r="M9" s="1">
        <v>665</v>
      </c>
      <c r="N9" s="2">
        <v>518700</v>
      </c>
      <c r="O9" s="1">
        <v>1012.9532310419787</v>
      </c>
      <c r="P9" s="2">
        <v>790103.52021274343</v>
      </c>
    </row>
    <row r="10" spans="1:16" x14ac:dyDescent="0.2">
      <c r="B10" t="s">
        <v>7</v>
      </c>
      <c r="D10" s="31">
        <v>10780000</v>
      </c>
      <c r="J10" s="9"/>
      <c r="K10" s="1"/>
      <c r="M10" s="1"/>
      <c r="N10" s="2"/>
      <c r="O10" s="1"/>
      <c r="P10" s="2"/>
    </row>
    <row r="11" spans="1:16" x14ac:dyDescent="0.2">
      <c r="C11" t="s">
        <v>8</v>
      </c>
      <c r="D11" s="32">
        <v>20</v>
      </c>
      <c r="G11" t="s">
        <v>22</v>
      </c>
      <c r="H11" s="9">
        <v>1200</v>
      </c>
      <c r="I11">
        <v>65</v>
      </c>
      <c r="J11" s="9">
        <v>78000</v>
      </c>
      <c r="K11" s="1">
        <v>2097</v>
      </c>
      <c r="L11" s="2">
        <v>1635660</v>
      </c>
      <c r="M11" s="1">
        <v>910</v>
      </c>
      <c r="N11" s="2">
        <v>709800</v>
      </c>
      <c r="O11" s="1">
        <v>1386.1465266890236</v>
      </c>
      <c r="P11" s="2">
        <v>1081194.2908174386</v>
      </c>
    </row>
    <row r="12" spans="1:16" ht="16" thickBot="1" x14ac:dyDescent="0.25">
      <c r="C12" t="s">
        <v>9</v>
      </c>
      <c r="D12" s="33">
        <v>6.5000000000000002E-2</v>
      </c>
      <c r="G12" s="6"/>
      <c r="H12" s="6"/>
      <c r="I12" s="6"/>
      <c r="J12" s="6"/>
      <c r="K12" s="6"/>
      <c r="L12" s="6"/>
      <c r="M12" s="6"/>
      <c r="N12" s="6"/>
      <c r="O12" s="6"/>
      <c r="P12" s="13"/>
    </row>
    <row r="13" spans="1:16" ht="16" thickTop="1" x14ac:dyDescent="0.2">
      <c r="C13" t="s">
        <v>39</v>
      </c>
      <c r="D13" s="34">
        <v>0.01</v>
      </c>
    </row>
    <row r="14" spans="1:16" x14ac:dyDescent="0.2">
      <c r="B14" t="s">
        <v>14</v>
      </c>
      <c r="D14" s="4"/>
      <c r="G14" t="s">
        <v>15</v>
      </c>
      <c r="I14">
        <f>SUM(I7:I11)</f>
        <v>194</v>
      </c>
      <c r="J14" s="9">
        <f>SUM(J7:J11)</f>
        <v>156570</v>
      </c>
      <c r="L14" s="2">
        <f>SUM(L7:L11)</f>
        <v>3572580</v>
      </c>
      <c r="N14" s="2">
        <f>SUM(N7:N11)</f>
        <v>1547220</v>
      </c>
      <c r="P14" s="2">
        <f>SUM(P7:P11)</f>
        <v>2356784.207718452</v>
      </c>
    </row>
    <row r="15" spans="1:16" x14ac:dyDescent="0.2">
      <c r="C15" t="s">
        <v>27</v>
      </c>
      <c r="D15" s="35">
        <v>1647000</v>
      </c>
      <c r="E15" s="2"/>
    </row>
    <row r="16" spans="1:16" x14ac:dyDescent="0.2">
      <c r="C16" t="s">
        <v>16</v>
      </c>
      <c r="D16" s="35">
        <v>1085043.6000000001</v>
      </c>
    </row>
    <row r="18" spans="1:16" ht="16" thickBot="1" x14ac:dyDescent="0.25">
      <c r="B18" t="s">
        <v>11</v>
      </c>
      <c r="D18" s="36" t="s">
        <v>108</v>
      </c>
      <c r="F18" s="15" t="s">
        <v>45</v>
      </c>
      <c r="G18" s="15"/>
      <c r="H18" s="16" t="s">
        <v>42</v>
      </c>
      <c r="I18" s="16" t="s">
        <v>86</v>
      </c>
      <c r="N18" s="2"/>
      <c r="P18" s="2"/>
    </row>
    <row r="19" spans="1:16" ht="16" thickTop="1" x14ac:dyDescent="0.2">
      <c r="B19" t="s">
        <v>12</v>
      </c>
      <c r="D19" s="31">
        <v>37405000</v>
      </c>
      <c r="N19" s="2"/>
      <c r="P19" s="2"/>
    </row>
    <row r="20" spans="1:16" x14ac:dyDescent="0.2">
      <c r="B20" t="s">
        <v>14</v>
      </c>
      <c r="F20" t="s">
        <v>44</v>
      </c>
      <c r="H20" s="3">
        <v>0.03</v>
      </c>
      <c r="I20" s="3">
        <v>0.06</v>
      </c>
    </row>
    <row r="21" spans="1:16" x14ac:dyDescent="0.2">
      <c r="C21" t="s">
        <v>27</v>
      </c>
      <c r="D21" s="31">
        <v>2916000</v>
      </c>
      <c r="P21" s="2"/>
    </row>
    <row r="22" spans="1:16" x14ac:dyDescent="0.2">
      <c r="C22" t="s">
        <v>16</v>
      </c>
      <c r="D22" s="31">
        <v>2282645</v>
      </c>
      <c r="F22" t="s">
        <v>46</v>
      </c>
      <c r="H22" s="2">
        <v>99780</v>
      </c>
      <c r="I22" s="2">
        <v>99780</v>
      </c>
      <c r="K22" s="21"/>
    </row>
    <row r="23" spans="1:16" x14ac:dyDescent="0.2">
      <c r="P23" s="2"/>
    </row>
    <row r="24" spans="1:16" s="5" customFormat="1" x14ac:dyDescent="0.2">
      <c r="A24"/>
      <c r="F24" t="s">
        <v>43</v>
      </c>
      <c r="H24" s="3">
        <v>0.03</v>
      </c>
      <c r="I24" s="3">
        <v>0.03</v>
      </c>
    </row>
    <row r="25" spans="1:16" x14ac:dyDescent="0.2">
      <c r="A25" s="5" t="s">
        <v>13</v>
      </c>
      <c r="B25" t="s">
        <v>34</v>
      </c>
      <c r="D25" s="2"/>
    </row>
    <row r="26" spans="1:16" x14ac:dyDescent="0.2">
      <c r="C26" t="s">
        <v>38</v>
      </c>
      <c r="D26" s="31">
        <v>15125000</v>
      </c>
      <c r="F26" s="2" t="s">
        <v>29</v>
      </c>
      <c r="H26" s="3">
        <v>0.1</v>
      </c>
      <c r="I26" s="3">
        <v>0.05</v>
      </c>
    </row>
    <row r="27" spans="1:16" x14ac:dyDescent="0.2">
      <c r="C27" t="s">
        <v>35</v>
      </c>
      <c r="D27" s="37">
        <v>77963.917525773199</v>
      </c>
    </row>
    <row r="28" spans="1:16" x14ac:dyDescent="0.2">
      <c r="C28" t="s">
        <v>36</v>
      </c>
      <c r="D28" s="34">
        <v>7.1738419834710757E-2</v>
      </c>
      <c r="F28" t="s">
        <v>28</v>
      </c>
      <c r="H28" s="3">
        <v>0.26800000000000002</v>
      </c>
      <c r="I28" s="3">
        <v>0.17599999999999999</v>
      </c>
      <c r="L28" s="1"/>
    </row>
    <row r="29" spans="1:16" x14ac:dyDescent="0.2">
      <c r="B29" t="s">
        <v>37</v>
      </c>
    </row>
    <row r="30" spans="1:16" x14ac:dyDescent="0.2">
      <c r="C30" t="s">
        <v>38</v>
      </c>
      <c r="D30" s="31">
        <v>19180000</v>
      </c>
      <c r="F30" t="s">
        <v>18</v>
      </c>
      <c r="H30" s="3">
        <v>7.4999999999999997E-2</v>
      </c>
      <c r="I30" s="3">
        <v>6.0999999999999999E-2</v>
      </c>
    </row>
    <row r="31" spans="1:16" x14ac:dyDescent="0.2">
      <c r="C31" t="s">
        <v>35</v>
      </c>
      <c r="D31" s="31">
        <v>98865.979381443292</v>
      </c>
    </row>
    <row r="32" spans="1:16" x14ac:dyDescent="0.2">
      <c r="B32" t="s">
        <v>18</v>
      </c>
      <c r="D32" s="34">
        <v>6.1025130330169763E-2</v>
      </c>
    </row>
  </sheetData>
  <mergeCells count="5">
    <mergeCell ref="M3:N3"/>
    <mergeCell ref="K4:L4"/>
    <mergeCell ref="M4:N4"/>
    <mergeCell ref="O3:P3"/>
    <mergeCell ref="O4:P4"/>
  </mergeCells>
  <pageMargins left="0.7" right="0.7" top="0.75" bottom="0.75" header="0.3" footer="0.3"/>
  <pageSetup scale="6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  <pageSetUpPr fitToPage="1"/>
  </sheetPr>
  <dimension ref="A1:D1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.1640625" customWidth="1"/>
    <col min="2" max="2" width="12.83203125" customWidth="1"/>
    <col min="3" max="3" width="19.5" customWidth="1"/>
    <col min="4" max="4" width="14.33203125" customWidth="1"/>
  </cols>
  <sheetData>
    <row r="1" spans="1:4" x14ac:dyDescent="0.2">
      <c r="A1" t="s">
        <v>47</v>
      </c>
      <c r="B1" s="2">
        <f>Assumptions!D10</f>
        <v>10780000</v>
      </c>
    </row>
    <row r="2" spans="1:4" x14ac:dyDescent="0.2">
      <c r="A2" t="s">
        <v>53</v>
      </c>
      <c r="B2">
        <f>Assumptions!D11</f>
        <v>20</v>
      </c>
    </row>
    <row r="3" spans="1:4" x14ac:dyDescent="0.2">
      <c r="A3" t="s">
        <v>54</v>
      </c>
      <c r="B3" s="4">
        <f>Assumptions!D12</f>
        <v>6.5000000000000002E-2</v>
      </c>
    </row>
    <row r="5" spans="1:4" x14ac:dyDescent="0.2">
      <c r="A5" t="s">
        <v>48</v>
      </c>
      <c r="B5" s="46">
        <f>PMT(B3/12,B2*12,B1,0)</f>
        <v>-80372.784008527466</v>
      </c>
      <c r="C5" s="38" t="s">
        <v>109</v>
      </c>
    </row>
    <row r="6" spans="1:4" x14ac:dyDescent="0.2">
      <c r="A6" t="s">
        <v>49</v>
      </c>
      <c r="B6" s="47">
        <f>B5*12</f>
        <v>-964473.40810232959</v>
      </c>
      <c r="C6" s="39" t="s">
        <v>110</v>
      </c>
    </row>
    <row r="8" spans="1:4" ht="16" thickBot="1" x14ac:dyDescent="0.25">
      <c r="A8" t="s">
        <v>50</v>
      </c>
      <c r="B8" s="8" t="s">
        <v>51</v>
      </c>
      <c r="C8" s="8" t="s">
        <v>52</v>
      </c>
    </row>
    <row r="9" spans="1:4" ht="16" thickTop="1" x14ac:dyDescent="0.2">
      <c r="B9" s="14">
        <v>1</v>
      </c>
      <c r="C9" s="47">
        <f>-FV($B$3/12,12,$B$5,B1)</f>
        <v>10508224.71308253</v>
      </c>
      <c r="D9" s="38" t="s">
        <v>111</v>
      </c>
    </row>
    <row r="10" spans="1:4" x14ac:dyDescent="0.2">
      <c r="B10" s="14">
        <v>2</v>
      </c>
      <c r="C10" s="47">
        <f>-FV($B$3/12,12,$B$5,C9)</f>
        <v>10218248.131871674</v>
      </c>
      <c r="D10" s="38" t="s">
        <v>111</v>
      </c>
    </row>
    <row r="11" spans="1:4" x14ac:dyDescent="0.2">
      <c r="A11" s="5" t="s">
        <v>112</v>
      </c>
      <c r="B11" s="14">
        <v>3</v>
      </c>
      <c r="C11" s="47">
        <f>-FV($B$3/12,12,$B$5,C10)</f>
        <v>9908851.281979762</v>
      </c>
      <c r="D11" s="38" t="s">
        <v>111</v>
      </c>
    </row>
    <row r="12" spans="1:4" x14ac:dyDescent="0.2">
      <c r="B12" s="14"/>
      <c r="C12" s="17"/>
    </row>
    <row r="13" spans="1:4" x14ac:dyDescent="0.2">
      <c r="B13" s="14"/>
      <c r="C13" s="17"/>
    </row>
    <row r="14" spans="1:4" x14ac:dyDescent="0.2">
      <c r="B14" s="1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  <pageSetUpPr fitToPage="1"/>
  </sheetPr>
  <dimension ref="A1:G41"/>
  <sheetViews>
    <sheetView tabSelected="1" topLeftCell="A2" zoomScaleNormal="100" workbookViewId="0">
      <selection activeCell="C41" sqref="C41"/>
    </sheetView>
  </sheetViews>
  <sheetFormatPr baseColWidth="10" defaultColWidth="8.83203125" defaultRowHeight="13.75" customHeight="1" x14ac:dyDescent="0.2"/>
  <cols>
    <col min="1" max="1" width="3.1640625" customWidth="1"/>
    <col min="2" max="2" width="29.6640625" customWidth="1"/>
    <col min="3" max="3" width="13.33203125" style="2" customWidth="1"/>
    <col min="4" max="8" width="13.33203125" customWidth="1"/>
    <col min="9" max="10" width="12.83203125" customWidth="1"/>
  </cols>
  <sheetData>
    <row r="1" spans="1:7" ht="25" customHeight="1" x14ac:dyDescent="0.25">
      <c r="A1" s="49" t="s">
        <v>121</v>
      </c>
    </row>
    <row r="3" spans="1:7" s="5" customFormat="1" ht="13.75" customHeight="1" x14ac:dyDescent="0.2">
      <c r="B3" s="22" t="s">
        <v>59</v>
      </c>
      <c r="C3" s="23">
        <v>0</v>
      </c>
      <c r="D3" s="23">
        <f>C3+1</f>
        <v>1</v>
      </c>
      <c r="E3" s="23">
        <f>D3+1</f>
        <v>2</v>
      </c>
      <c r="F3" s="23">
        <f>E3+1</f>
        <v>3</v>
      </c>
      <c r="G3" s="24">
        <v>4</v>
      </c>
    </row>
    <row r="4" spans="1:7" s="5" customFormat="1" ht="13.75" customHeight="1" x14ac:dyDescent="0.2">
      <c r="B4" s="22"/>
      <c r="C4" s="23"/>
      <c r="D4" s="23"/>
      <c r="E4" s="23"/>
      <c r="F4" s="23"/>
      <c r="G4" s="24"/>
    </row>
    <row r="5" spans="1:7" ht="13.75" customHeight="1" x14ac:dyDescent="0.2">
      <c r="A5" t="s">
        <v>0</v>
      </c>
      <c r="C5" s="2">
        <v>15125000</v>
      </c>
    </row>
    <row r="6" spans="1:7" ht="13.75" customHeight="1" x14ac:dyDescent="0.2">
      <c r="B6" t="s">
        <v>55</v>
      </c>
      <c r="C6" s="2">
        <v>0</v>
      </c>
    </row>
    <row r="7" spans="1:7" ht="13.75" customHeight="1" x14ac:dyDescent="0.2">
      <c r="A7" t="s">
        <v>56</v>
      </c>
      <c r="C7" s="2">
        <f>C5+C6</f>
        <v>15125000</v>
      </c>
    </row>
    <row r="8" spans="1:7" ht="13.75" customHeight="1" thickBot="1" x14ac:dyDescent="0.25">
      <c r="A8" s="6"/>
      <c r="B8" s="6" t="s">
        <v>57</v>
      </c>
      <c r="C8" s="13">
        <v>-10780000</v>
      </c>
    </row>
    <row r="9" spans="1:7" ht="13.75" customHeight="1" thickTop="1" x14ac:dyDescent="0.2">
      <c r="A9" t="s">
        <v>58</v>
      </c>
      <c r="C9" s="2">
        <f>C7+C8</f>
        <v>4345000</v>
      </c>
    </row>
    <row r="11" spans="1:7" ht="13.75" customHeight="1" x14ac:dyDescent="0.2">
      <c r="A11" t="s">
        <v>60</v>
      </c>
      <c r="D11" s="18">
        <v>0.03</v>
      </c>
      <c r="E11" s="18">
        <f>D11</f>
        <v>0.03</v>
      </c>
      <c r="F11" s="18">
        <f>E11</f>
        <v>0.03</v>
      </c>
      <c r="G11" s="18">
        <f>F11</f>
        <v>0.03</v>
      </c>
    </row>
    <row r="12" spans="1:7" ht="13.75" customHeight="1" x14ac:dyDescent="0.2">
      <c r="A12" t="s">
        <v>61</v>
      </c>
      <c r="D12" s="18">
        <v>0.03</v>
      </c>
      <c r="E12" s="18">
        <f t="shared" ref="E12:G14" si="0">D12</f>
        <v>0.03</v>
      </c>
      <c r="F12" s="18">
        <f t="shared" si="0"/>
        <v>0.03</v>
      </c>
      <c r="G12" s="18">
        <f t="shared" si="0"/>
        <v>0.03</v>
      </c>
    </row>
    <row r="13" spans="1:7" ht="13.75" customHeight="1" x14ac:dyDescent="0.2">
      <c r="A13" t="s">
        <v>62</v>
      </c>
      <c r="D13" s="18">
        <v>0.1</v>
      </c>
      <c r="E13" s="18">
        <f t="shared" si="0"/>
        <v>0.1</v>
      </c>
      <c r="F13" s="18">
        <f t="shared" si="0"/>
        <v>0.1</v>
      </c>
      <c r="G13" s="18">
        <f t="shared" si="0"/>
        <v>0.1</v>
      </c>
    </row>
    <row r="14" spans="1:7" ht="13.75" customHeight="1" x14ac:dyDescent="0.2">
      <c r="A14" t="s">
        <v>87</v>
      </c>
      <c r="D14" s="18">
        <v>0.26800000000000002</v>
      </c>
      <c r="E14" s="18">
        <f t="shared" si="0"/>
        <v>0.26800000000000002</v>
      </c>
      <c r="F14" s="18">
        <f t="shared" si="0"/>
        <v>0.26800000000000002</v>
      </c>
      <c r="G14" s="18">
        <f t="shared" si="0"/>
        <v>0.26800000000000002</v>
      </c>
    </row>
    <row r="15" spans="1:7" ht="13.75" customHeight="1" x14ac:dyDescent="0.2">
      <c r="A15" t="s">
        <v>18</v>
      </c>
      <c r="D15" s="18"/>
      <c r="E15" s="18"/>
      <c r="F15" s="3">
        <v>7.4999999999999997E-2</v>
      </c>
      <c r="G15" s="18"/>
    </row>
    <row r="16" spans="1:7" ht="13.75" customHeight="1" x14ac:dyDescent="0.2">
      <c r="A16" t="s">
        <v>74</v>
      </c>
      <c r="D16" s="18"/>
      <c r="E16" s="18"/>
      <c r="F16" s="3">
        <v>0.02</v>
      </c>
      <c r="G16" s="18"/>
    </row>
    <row r="17" spans="1:7" ht="13.75" customHeight="1" x14ac:dyDescent="0.2">
      <c r="A17" t="s">
        <v>79</v>
      </c>
      <c r="D17" s="18"/>
      <c r="E17" s="18"/>
      <c r="F17" s="3">
        <v>0.01</v>
      </c>
      <c r="G17" s="18"/>
    </row>
    <row r="19" spans="1:7" ht="13.75" customHeight="1" x14ac:dyDescent="0.2">
      <c r="A19" t="s">
        <v>66</v>
      </c>
      <c r="D19" s="31">
        <f>Assumptions!N14</f>
        <v>1547220</v>
      </c>
      <c r="E19" s="31">
        <f>D19*(1+E11)</f>
        <v>1593636.6</v>
      </c>
      <c r="F19" s="31">
        <f>E19*(1+F11)</f>
        <v>1641445.6980000001</v>
      </c>
      <c r="G19" s="31">
        <f>F19*(1+G11)</f>
        <v>1690689.0689400001</v>
      </c>
    </row>
    <row r="20" spans="1:7" ht="13.75" customHeight="1" x14ac:dyDescent="0.2">
      <c r="A20" s="19"/>
      <c r="B20" s="19" t="s">
        <v>65</v>
      </c>
      <c r="C20" s="20"/>
      <c r="D20" s="40">
        <f>Assumptions!H22</f>
        <v>99780</v>
      </c>
      <c r="E20" s="40">
        <f>D20*(1+E11)</f>
        <v>102773.40000000001</v>
      </c>
      <c r="F20" s="40">
        <f>E20*(1+F11)</f>
        <v>105856.60200000001</v>
      </c>
      <c r="G20" s="40">
        <f>F20*(1+G11)</f>
        <v>109032.30006000002</v>
      </c>
    </row>
    <row r="21" spans="1:7" ht="13.75" customHeight="1" x14ac:dyDescent="0.2">
      <c r="A21" t="s">
        <v>67</v>
      </c>
      <c r="D21" s="31">
        <f>D19+D20</f>
        <v>1647000</v>
      </c>
      <c r="E21" s="31">
        <f>E19+E20</f>
        <v>1696410</v>
      </c>
      <c r="F21" s="31">
        <f>F19+F20</f>
        <v>1747302.3</v>
      </c>
      <c r="G21" s="31">
        <f>G19+G20</f>
        <v>1799721.3690000002</v>
      </c>
    </row>
    <row r="22" spans="1:7" ht="13.75" customHeight="1" x14ac:dyDescent="0.2">
      <c r="A22" s="19"/>
      <c r="B22" s="19" t="s">
        <v>68</v>
      </c>
      <c r="C22" s="20"/>
      <c r="D22" s="40">
        <f>D21*(D13)</f>
        <v>164700</v>
      </c>
      <c r="E22" s="40">
        <f>E21*(E13)</f>
        <v>169641</v>
      </c>
      <c r="F22" s="40">
        <f>F21*(F13)</f>
        <v>174730.23</v>
      </c>
      <c r="G22" s="40">
        <f>G21*(G13)</f>
        <v>179972.13690000004</v>
      </c>
    </row>
    <row r="23" spans="1:7" ht="13.75" customHeight="1" x14ac:dyDescent="0.2">
      <c r="A23" t="s">
        <v>69</v>
      </c>
      <c r="D23" s="31">
        <f>D21-D22</f>
        <v>1482300</v>
      </c>
      <c r="E23" s="31">
        <f>E21-E22</f>
        <v>1526769</v>
      </c>
      <c r="F23" s="31">
        <f>F21-F22</f>
        <v>1572572.07</v>
      </c>
      <c r="G23" s="31">
        <f>G21-G22</f>
        <v>1619749.2321000001</v>
      </c>
    </row>
    <row r="24" spans="1:7" ht="13.75" customHeight="1" x14ac:dyDescent="0.2">
      <c r="A24" s="19"/>
      <c r="B24" s="19" t="s">
        <v>70</v>
      </c>
      <c r="C24" s="20"/>
      <c r="D24" s="40">
        <f>D23*D14</f>
        <v>397256.4</v>
      </c>
      <c r="E24" s="40">
        <f>E23*E14</f>
        <v>409174.092</v>
      </c>
      <c r="F24" s="40">
        <f>F23*F14</f>
        <v>421449.31476000004</v>
      </c>
      <c r="G24" s="40">
        <f>G23*G14</f>
        <v>434092.79420280008</v>
      </c>
    </row>
    <row r="25" spans="1:7" ht="13.75" customHeight="1" x14ac:dyDescent="0.2">
      <c r="A25" t="s">
        <v>71</v>
      </c>
      <c r="D25" s="31">
        <f>D23-D24</f>
        <v>1085043.6000000001</v>
      </c>
      <c r="E25" s="31">
        <f>E23-E24</f>
        <v>1117594.9080000001</v>
      </c>
      <c r="F25" s="31">
        <f>F23-F24</f>
        <v>1151122.7552400001</v>
      </c>
      <c r="G25" s="31">
        <f>G23-G24</f>
        <v>1185656.4378972</v>
      </c>
    </row>
    <row r="26" spans="1:7" ht="13.75" customHeight="1" x14ac:dyDescent="0.2">
      <c r="A26" s="19"/>
      <c r="B26" s="19" t="s">
        <v>72</v>
      </c>
      <c r="C26" s="20"/>
      <c r="D26" s="40">
        <f>-Financing!$B$6</f>
        <v>964473.40810232959</v>
      </c>
      <c r="E26" s="40">
        <f>-Financing!$B$6</f>
        <v>964473.40810232959</v>
      </c>
      <c r="F26" s="40">
        <f>-Financing!$B$6</f>
        <v>964473.40810232959</v>
      </c>
      <c r="G26" s="2"/>
    </row>
    <row r="27" spans="1:7" ht="13.75" customHeight="1" x14ac:dyDescent="0.2">
      <c r="A27" t="s">
        <v>80</v>
      </c>
      <c r="D27" s="31">
        <f>D25-D26</f>
        <v>120570.19189767051</v>
      </c>
      <c r="E27" s="31">
        <f>E25-E26</f>
        <v>153121.49989767047</v>
      </c>
      <c r="F27" s="31">
        <f>F25-F26</f>
        <v>186649.3471376705</v>
      </c>
      <c r="G27" s="2"/>
    </row>
    <row r="29" spans="1:7" ht="13.75" customHeight="1" x14ac:dyDescent="0.2">
      <c r="A29" t="s">
        <v>73</v>
      </c>
      <c r="F29" s="31">
        <f>G25/Assumptions!H30</f>
        <v>15808752.505296001</v>
      </c>
    </row>
    <row r="30" spans="1:7" ht="13.75" customHeight="1" x14ac:dyDescent="0.2">
      <c r="A30" s="19"/>
      <c r="B30" s="19" t="s">
        <v>75</v>
      </c>
      <c r="C30" s="20"/>
      <c r="D30" s="19"/>
      <c r="E30" s="19"/>
      <c r="F30" s="40">
        <f>F29*F16</f>
        <v>316175.05010592</v>
      </c>
    </row>
    <row r="31" spans="1:7" ht="13.75" customHeight="1" x14ac:dyDescent="0.2">
      <c r="A31" t="s">
        <v>76</v>
      </c>
      <c r="F31" s="31">
        <f>F29-F30</f>
        <v>15492577.455190081</v>
      </c>
    </row>
    <row r="32" spans="1:7" ht="13.75" customHeight="1" x14ac:dyDescent="0.2">
      <c r="B32" t="s">
        <v>77</v>
      </c>
      <c r="F32" s="31">
        <f>Financing!C11</f>
        <v>9908851.281979762</v>
      </c>
    </row>
    <row r="33" spans="1:6" ht="13.75" customHeight="1" x14ac:dyDescent="0.2">
      <c r="A33" s="19"/>
      <c r="B33" s="19" t="s">
        <v>78</v>
      </c>
      <c r="C33" s="20"/>
      <c r="D33" s="19"/>
      <c r="E33" s="19"/>
      <c r="F33" s="40">
        <f>Assumptions!D13*Financing!C11</f>
        <v>99088.512819797616</v>
      </c>
    </row>
    <row r="34" spans="1:6" ht="13.75" customHeight="1" x14ac:dyDescent="0.2">
      <c r="A34" t="s">
        <v>81</v>
      </c>
      <c r="F34" s="31">
        <f>F31-F32-F33</f>
        <v>5484637.6603905214</v>
      </c>
    </row>
    <row r="36" spans="1:6" ht="13.75" customHeight="1" x14ac:dyDescent="0.2">
      <c r="A36" t="s">
        <v>82</v>
      </c>
      <c r="C36" s="31">
        <f>-C9</f>
        <v>-4345000</v>
      </c>
      <c r="D36" s="31">
        <f>D27</f>
        <v>120570.19189767051</v>
      </c>
      <c r="E36" s="31">
        <f t="shared" ref="E36" si="1">E27</f>
        <v>153121.49989767047</v>
      </c>
      <c r="F36" s="31">
        <f>F27+F34</f>
        <v>5671287.0075281914</v>
      </c>
    </row>
    <row r="37" spans="1:6" ht="13.75" customHeight="1" x14ac:dyDescent="0.2">
      <c r="B37" t="s">
        <v>85</v>
      </c>
      <c r="C37" s="34">
        <f>D25/C5</f>
        <v>7.1738419834710757E-2</v>
      </c>
      <c r="D37" s="38" t="s">
        <v>113</v>
      </c>
    </row>
    <row r="38" spans="1:6" ht="13.75" customHeight="1" x14ac:dyDescent="0.2">
      <c r="B38" t="s">
        <v>83</v>
      </c>
      <c r="C38" s="41">
        <f>(SUM(D36:F36))/C9</f>
        <v>1.3682344532390178</v>
      </c>
    </row>
    <row r="39" spans="1:6" ht="13.75" customHeight="1" x14ac:dyDescent="0.2">
      <c r="B39" t="s">
        <v>84</v>
      </c>
      <c r="C39" s="42">
        <f>IRR(C36:F36)</f>
        <v>0.11302553383698255</v>
      </c>
    </row>
    <row r="40" spans="1:6" ht="13.75" customHeight="1" x14ac:dyDescent="0.2">
      <c r="B40" t="s">
        <v>92</v>
      </c>
      <c r="C40" s="31">
        <f>-PV(C39,3,0,F34)</f>
        <v>3977704.8853997584</v>
      </c>
    </row>
    <row r="41" spans="1:6" ht="13.75" customHeight="1" x14ac:dyDescent="0.2">
      <c r="B41" t="s">
        <v>93</v>
      </c>
      <c r="C41" s="42">
        <f>C40/-C36</f>
        <v>0.91546717730719407</v>
      </c>
      <c r="D41" s="38" t="s">
        <v>126</v>
      </c>
    </row>
  </sheetData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  <pageSetUpPr fitToPage="1"/>
  </sheetPr>
  <dimension ref="A1:G40"/>
  <sheetViews>
    <sheetView zoomScale="90" zoomScaleNormal="90" workbookViewId="0">
      <selection activeCell="C40" sqref="C40"/>
    </sheetView>
  </sheetViews>
  <sheetFormatPr baseColWidth="10" defaultColWidth="8.83203125" defaultRowHeight="13.75" customHeight="1" x14ac:dyDescent="0.2"/>
  <cols>
    <col min="1" max="1" width="3.1640625" customWidth="1"/>
    <col min="2" max="2" width="29.6640625" customWidth="1"/>
    <col min="3" max="3" width="13.33203125" style="2" customWidth="1"/>
    <col min="4" max="8" width="13.33203125" customWidth="1"/>
    <col min="9" max="10" width="12.83203125" customWidth="1"/>
  </cols>
  <sheetData>
    <row r="1" spans="1:7" ht="25" customHeight="1" x14ac:dyDescent="0.25">
      <c r="A1" s="49" t="s">
        <v>120</v>
      </c>
    </row>
    <row r="3" spans="1:7" s="5" customFormat="1" ht="13.75" customHeight="1" x14ac:dyDescent="0.2">
      <c r="B3" s="22" t="s">
        <v>59</v>
      </c>
      <c r="C3" s="23">
        <v>0</v>
      </c>
      <c r="D3" s="23">
        <f>C3+1</f>
        <v>1</v>
      </c>
      <c r="E3" s="23">
        <f>D3+1</f>
        <v>2</v>
      </c>
      <c r="F3" s="23">
        <f>E3+1</f>
        <v>3</v>
      </c>
      <c r="G3" s="24">
        <v>4</v>
      </c>
    </row>
    <row r="4" spans="1:7" s="5" customFormat="1" ht="13.75" customHeight="1" x14ac:dyDescent="0.2">
      <c r="B4" s="22"/>
      <c r="C4" s="23"/>
      <c r="D4" s="23"/>
      <c r="E4" s="23"/>
      <c r="F4" s="23"/>
      <c r="G4" s="24"/>
    </row>
    <row r="5" spans="1:7" ht="13.75" customHeight="1" x14ac:dyDescent="0.2">
      <c r="A5" t="s">
        <v>0</v>
      </c>
      <c r="C5" s="2">
        <v>15125000</v>
      </c>
    </row>
    <row r="6" spans="1:7" ht="13.75" customHeight="1" x14ac:dyDescent="0.2">
      <c r="B6" t="s">
        <v>55</v>
      </c>
      <c r="C6" s="2">
        <v>4055000</v>
      </c>
    </row>
    <row r="7" spans="1:7" ht="13.75" customHeight="1" x14ac:dyDescent="0.2">
      <c r="A7" t="s">
        <v>56</v>
      </c>
      <c r="C7" s="2">
        <f>C5+C6</f>
        <v>19180000</v>
      </c>
    </row>
    <row r="8" spans="1:7" ht="13.75" customHeight="1" thickBot="1" x14ac:dyDescent="0.25">
      <c r="A8" s="6"/>
      <c r="B8" s="6" t="s">
        <v>57</v>
      </c>
      <c r="C8" s="13">
        <v>-10780000</v>
      </c>
    </row>
    <row r="9" spans="1:7" ht="13.75" customHeight="1" thickTop="1" x14ac:dyDescent="0.2">
      <c r="A9" t="s">
        <v>58</v>
      </c>
      <c r="C9" s="2">
        <f>C7+C8</f>
        <v>8400000</v>
      </c>
    </row>
    <row r="11" spans="1:7" ht="13.75" customHeight="1" x14ac:dyDescent="0.2">
      <c r="A11" t="s">
        <v>60</v>
      </c>
      <c r="D11" s="18">
        <v>0.06</v>
      </c>
      <c r="E11" s="18">
        <f>D11</f>
        <v>0.06</v>
      </c>
      <c r="F11" s="18">
        <f>E11</f>
        <v>0.06</v>
      </c>
      <c r="G11" s="18">
        <f>F11</f>
        <v>0.06</v>
      </c>
    </row>
    <row r="12" spans="1:7" ht="13.75" customHeight="1" x14ac:dyDescent="0.2">
      <c r="A12" t="s">
        <v>61</v>
      </c>
      <c r="D12" s="18">
        <v>0.03</v>
      </c>
      <c r="E12" s="18">
        <f t="shared" ref="E12:G14" si="0">D12</f>
        <v>0.03</v>
      </c>
      <c r="F12" s="18">
        <f t="shared" si="0"/>
        <v>0.03</v>
      </c>
      <c r="G12" s="18">
        <f t="shared" si="0"/>
        <v>0.03</v>
      </c>
    </row>
    <row r="13" spans="1:7" ht="13.75" customHeight="1" x14ac:dyDescent="0.2">
      <c r="A13" t="s">
        <v>62</v>
      </c>
      <c r="D13" s="18">
        <v>0.05</v>
      </c>
      <c r="E13" s="18">
        <f t="shared" si="0"/>
        <v>0.05</v>
      </c>
      <c r="F13" s="18">
        <f t="shared" si="0"/>
        <v>0.05</v>
      </c>
      <c r="G13" s="18">
        <f t="shared" si="0"/>
        <v>0.05</v>
      </c>
    </row>
    <row r="14" spans="1:7" ht="13.75" customHeight="1" x14ac:dyDescent="0.2">
      <c r="A14" t="s">
        <v>63</v>
      </c>
      <c r="D14" s="18">
        <v>0.17599999999999999</v>
      </c>
      <c r="E14" s="18">
        <f t="shared" si="0"/>
        <v>0.17599999999999999</v>
      </c>
      <c r="F14" s="18">
        <f t="shared" si="0"/>
        <v>0.17599999999999999</v>
      </c>
      <c r="G14" s="18">
        <f t="shared" si="0"/>
        <v>0.17599999999999999</v>
      </c>
    </row>
    <row r="15" spans="1:7" ht="13.75" customHeight="1" x14ac:dyDescent="0.2">
      <c r="A15" t="s">
        <v>18</v>
      </c>
      <c r="D15" s="18"/>
      <c r="F15" s="4">
        <v>6.0999999999999999E-2</v>
      </c>
    </row>
    <row r="16" spans="1:7" ht="13.75" customHeight="1" x14ac:dyDescent="0.2">
      <c r="A16" t="s">
        <v>74</v>
      </c>
      <c r="D16" s="18"/>
      <c r="F16" s="4">
        <v>0.02</v>
      </c>
    </row>
    <row r="17" spans="1:7" ht="13.75" customHeight="1" x14ac:dyDescent="0.2">
      <c r="A17" t="s">
        <v>79</v>
      </c>
      <c r="D17" s="18"/>
      <c r="F17" s="4">
        <v>0.01</v>
      </c>
    </row>
    <row r="19" spans="1:7" ht="13.75" customHeight="1" x14ac:dyDescent="0.2">
      <c r="A19" t="s">
        <v>66</v>
      </c>
      <c r="D19" s="31">
        <f>Assumptions!P14</f>
        <v>2356784.207718452</v>
      </c>
      <c r="E19" s="31">
        <f>D19*(1+E11)</f>
        <v>2498191.2601815592</v>
      </c>
      <c r="F19" s="31">
        <f>E19*(1+F11)</f>
        <v>2648082.7357924529</v>
      </c>
      <c r="G19" s="31">
        <f>F19*(1+G11)</f>
        <v>2806967.6999400002</v>
      </c>
    </row>
    <row r="20" spans="1:7" ht="13.75" customHeight="1" x14ac:dyDescent="0.2">
      <c r="A20" s="19"/>
      <c r="B20" s="19" t="s">
        <v>65</v>
      </c>
      <c r="C20" s="20"/>
      <c r="D20" s="40">
        <f>Assumptions!I22</f>
        <v>99780</v>
      </c>
      <c r="E20" s="40">
        <f>D20*(1+E12)</f>
        <v>102773.40000000001</v>
      </c>
      <c r="F20" s="40">
        <f t="shared" ref="F20:G20" si="1">E20*(1+F12)</f>
        <v>105856.60200000001</v>
      </c>
      <c r="G20" s="40">
        <f t="shared" si="1"/>
        <v>109032.30006000002</v>
      </c>
    </row>
    <row r="21" spans="1:7" ht="13.75" customHeight="1" x14ac:dyDescent="0.2">
      <c r="A21" t="s">
        <v>67</v>
      </c>
      <c r="D21" s="31">
        <f>D19+D20</f>
        <v>2456564.207718452</v>
      </c>
      <c r="E21" s="31">
        <f t="shared" ref="E21:G21" si="2">E19+E20</f>
        <v>2600964.6601815592</v>
      </c>
      <c r="F21" s="31">
        <f t="shared" si="2"/>
        <v>2753939.3377924529</v>
      </c>
      <c r="G21" s="31">
        <f t="shared" si="2"/>
        <v>2916000</v>
      </c>
    </row>
    <row r="22" spans="1:7" ht="13.75" customHeight="1" x14ac:dyDescent="0.2">
      <c r="A22" s="19"/>
      <c r="B22" s="19" t="s">
        <v>68</v>
      </c>
      <c r="C22" s="20"/>
      <c r="D22" s="40">
        <f>D21*D13</f>
        <v>122828.2103859226</v>
      </c>
      <c r="E22" s="40">
        <f t="shared" ref="E22:G22" si="3">E21*E13</f>
        <v>130048.23300907796</v>
      </c>
      <c r="F22" s="40">
        <f t="shared" si="3"/>
        <v>137696.96688962265</v>
      </c>
      <c r="G22" s="40">
        <f t="shared" si="3"/>
        <v>145800</v>
      </c>
    </row>
    <row r="23" spans="1:7" ht="13.75" customHeight="1" x14ac:dyDescent="0.2">
      <c r="A23" t="s">
        <v>69</v>
      </c>
      <c r="D23" s="31">
        <f>D21-D22</f>
        <v>2333735.9973325292</v>
      </c>
      <c r="E23" s="31">
        <f t="shared" ref="E23:G23" si="4">E21-E22</f>
        <v>2470916.4271724811</v>
      </c>
      <c r="F23" s="31">
        <f t="shared" si="4"/>
        <v>2616242.3709028303</v>
      </c>
      <c r="G23" s="31">
        <f t="shared" si="4"/>
        <v>2770200</v>
      </c>
    </row>
    <row r="24" spans="1:7" ht="13.75" customHeight="1" x14ac:dyDescent="0.2">
      <c r="A24" s="19"/>
      <c r="B24" s="19" t="s">
        <v>70</v>
      </c>
      <c r="C24" s="20"/>
      <c r="D24" s="40">
        <f>D23*D14</f>
        <v>410737.53553052509</v>
      </c>
      <c r="E24" s="40">
        <f t="shared" ref="E24:G24" si="5">E23*E14</f>
        <v>434881.29118235665</v>
      </c>
      <c r="F24" s="40">
        <f t="shared" si="5"/>
        <v>460458.65727889811</v>
      </c>
      <c r="G24" s="40">
        <f t="shared" si="5"/>
        <v>487555.19999999995</v>
      </c>
    </row>
    <row r="25" spans="1:7" ht="13.75" customHeight="1" x14ac:dyDescent="0.2">
      <c r="A25" t="s">
        <v>71</v>
      </c>
      <c r="D25" s="31">
        <f>D23-D24</f>
        <v>1922998.4618020041</v>
      </c>
      <c r="E25" s="31">
        <f t="shared" ref="E25:G25" si="6">E23-E24</f>
        <v>2036035.1359901244</v>
      </c>
      <c r="F25" s="31">
        <f t="shared" si="6"/>
        <v>2155783.7136239321</v>
      </c>
      <c r="G25" s="31">
        <f t="shared" si="6"/>
        <v>2282644.7999999998</v>
      </c>
    </row>
    <row r="26" spans="1:7" ht="13.75" customHeight="1" x14ac:dyDescent="0.2">
      <c r="A26" s="19"/>
      <c r="B26" s="19" t="s">
        <v>72</v>
      </c>
      <c r="C26" s="20"/>
      <c r="D26" s="40">
        <f>Financing!$B$6</f>
        <v>-964473.40810232959</v>
      </c>
      <c r="E26" s="40">
        <f>Financing!$B$6</f>
        <v>-964473.40810232959</v>
      </c>
      <c r="F26" s="40">
        <f>Financing!$B$6</f>
        <v>-964473.40810232959</v>
      </c>
      <c r="G26" s="2"/>
    </row>
    <row r="27" spans="1:7" ht="13.75" customHeight="1" x14ac:dyDescent="0.2">
      <c r="A27" t="s">
        <v>80</v>
      </c>
      <c r="D27" s="31">
        <f>SUM(D25:D26)</f>
        <v>958525.05369967455</v>
      </c>
      <c r="E27" s="31">
        <f t="shared" ref="E27:F27" si="7">SUM(E25:E26)</f>
        <v>1071561.7278877948</v>
      </c>
      <c r="F27" s="31">
        <f t="shared" si="7"/>
        <v>1191310.3055216025</v>
      </c>
      <c r="G27" s="2"/>
    </row>
    <row r="29" spans="1:7" ht="13.75" customHeight="1" x14ac:dyDescent="0.2">
      <c r="A29" t="s">
        <v>73</v>
      </c>
      <c r="F29" s="31">
        <f>Renovate!G25/Assumptions!I30</f>
        <v>37420406.557377048</v>
      </c>
    </row>
    <row r="30" spans="1:7" ht="13.75" customHeight="1" x14ac:dyDescent="0.2">
      <c r="A30" s="19"/>
      <c r="B30" s="19" t="s">
        <v>75</v>
      </c>
      <c r="C30" s="20"/>
      <c r="D30" s="19"/>
      <c r="E30" s="19"/>
      <c r="F30" s="40">
        <f>F16*F29</f>
        <v>748408.13114754099</v>
      </c>
    </row>
    <row r="31" spans="1:7" ht="13.75" customHeight="1" x14ac:dyDescent="0.2">
      <c r="A31" t="s">
        <v>76</v>
      </c>
      <c r="F31" s="31">
        <f>F29-F30</f>
        <v>36671998.426229507</v>
      </c>
    </row>
    <row r="32" spans="1:7" ht="13.75" customHeight="1" x14ac:dyDescent="0.2">
      <c r="B32" t="s">
        <v>77</v>
      </c>
      <c r="F32" s="31">
        <f>Financing!C11</f>
        <v>9908851.281979762</v>
      </c>
    </row>
    <row r="33" spans="1:6" ht="13.75" customHeight="1" x14ac:dyDescent="0.2">
      <c r="A33" s="19"/>
      <c r="B33" s="19" t="s">
        <v>78</v>
      </c>
      <c r="C33" s="20"/>
      <c r="D33" s="19"/>
      <c r="E33" s="19"/>
      <c r="F33" s="40">
        <f>F32*F17</f>
        <v>99088.512819797616</v>
      </c>
    </row>
    <row r="34" spans="1:6" ht="13.75" customHeight="1" x14ac:dyDescent="0.2">
      <c r="A34" t="s">
        <v>81</v>
      </c>
      <c r="F34" s="31">
        <f>F31-F32-F33</f>
        <v>26664058.631429948</v>
      </c>
    </row>
    <row r="36" spans="1:6" ht="13.75" customHeight="1" x14ac:dyDescent="0.2">
      <c r="A36" t="s">
        <v>82</v>
      </c>
      <c r="C36" s="31">
        <f>-C9</f>
        <v>-8400000</v>
      </c>
      <c r="D36" s="31">
        <f>D27</f>
        <v>958525.05369967455</v>
      </c>
      <c r="E36" s="31">
        <f t="shared" ref="E36" si="8">E27</f>
        <v>1071561.7278877948</v>
      </c>
      <c r="F36" s="31">
        <f>F27+F34</f>
        <v>27855368.936951552</v>
      </c>
    </row>
    <row r="37" spans="1:6" ht="13.75" customHeight="1" x14ac:dyDescent="0.2">
      <c r="B37" t="s">
        <v>83</v>
      </c>
      <c r="C37" s="51">
        <f>SUM(D36:F36)/C9</f>
        <v>3.5577923474451216</v>
      </c>
      <c r="D37" s="38"/>
    </row>
    <row r="38" spans="1:6" ht="13.75" customHeight="1" x14ac:dyDescent="0.2">
      <c r="B38" t="s">
        <v>84</v>
      </c>
      <c r="C38" s="52">
        <f>IRR(C36:F36)</f>
        <v>0.55947204193649025</v>
      </c>
    </row>
    <row r="39" spans="1:6" ht="13.75" customHeight="1" x14ac:dyDescent="0.2">
      <c r="B39" t="s">
        <v>92</v>
      </c>
      <c r="C39" s="53">
        <f>PV(C38,3,0,-F34)</f>
        <v>7030617.5852700612</v>
      </c>
    </row>
    <row r="40" spans="1:6" ht="13.75" customHeight="1" x14ac:dyDescent="0.2">
      <c r="B40" t="s">
        <v>93</v>
      </c>
      <c r="C40" s="42">
        <f>C39/-C36</f>
        <v>0.8369782839607216</v>
      </c>
      <c r="D40" s="38" t="s">
        <v>127</v>
      </c>
    </row>
  </sheetData>
  <pageMargins left="0.7" right="0.7" top="0.75" bottom="0.75" header="0.3" footer="0.3"/>
  <pageSetup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  <pageSetUpPr fitToPage="1"/>
  </sheetPr>
  <dimension ref="A1:G9"/>
  <sheetViews>
    <sheetView zoomScale="94" workbookViewId="0">
      <selection activeCell="C8" sqref="C8"/>
    </sheetView>
  </sheetViews>
  <sheetFormatPr baseColWidth="10" defaultColWidth="8.83203125" defaultRowHeight="15" x14ac:dyDescent="0.2"/>
  <cols>
    <col min="1" max="1" width="2.83203125" customWidth="1"/>
    <col min="2" max="2" width="34.5" customWidth="1"/>
    <col min="3" max="6" width="12.83203125" customWidth="1"/>
  </cols>
  <sheetData>
    <row r="1" spans="1:7" ht="21" x14ac:dyDescent="0.25">
      <c r="A1" s="49" t="s">
        <v>119</v>
      </c>
    </row>
    <row r="2" spans="1:7" x14ac:dyDescent="0.2">
      <c r="A2" s="5"/>
    </row>
    <row r="3" spans="1:7" s="5" customFormat="1" x14ac:dyDescent="0.2">
      <c r="B3" s="22" t="s">
        <v>59</v>
      </c>
      <c r="C3" s="23">
        <v>0</v>
      </c>
      <c r="D3" s="23">
        <f>C3+1</f>
        <v>1</v>
      </c>
      <c r="E3" s="23">
        <f>D3+1</f>
        <v>2</v>
      </c>
      <c r="F3" s="23">
        <f>E3+1</f>
        <v>3</v>
      </c>
      <c r="G3" s="24"/>
    </row>
    <row r="4" spans="1:7" x14ac:dyDescent="0.2">
      <c r="A4" s="5" t="s">
        <v>88</v>
      </c>
      <c r="C4" s="31">
        <f>Renovate!C36</f>
        <v>-8400000</v>
      </c>
      <c r="D4" s="31">
        <f>Renovate!D36</f>
        <v>958525.05369967455</v>
      </c>
      <c r="E4" s="31">
        <f>Renovate!E36</f>
        <v>1071561.7278877948</v>
      </c>
      <c r="F4" s="31">
        <f>Renovate!F36</f>
        <v>27855368.936951552</v>
      </c>
      <c r="G4" s="38" t="s">
        <v>114</v>
      </c>
    </row>
    <row r="5" spans="1:7" x14ac:dyDescent="0.2">
      <c r="A5" s="44" t="s">
        <v>89</v>
      </c>
      <c r="B5" s="19"/>
      <c r="C5" s="40" cm="1">
        <f t="array" ref="C5:F5">'No renovations'!C36:F36</f>
        <v>-4345000</v>
      </c>
      <c r="D5" s="40">
        <v>120570.19189767051</v>
      </c>
      <c r="E5" s="40">
        <v>153121.49989767047</v>
      </c>
      <c r="F5" s="40">
        <v>5671287.0075281914</v>
      </c>
      <c r="G5" s="38" t="s">
        <v>115</v>
      </c>
    </row>
    <row r="6" spans="1:7" x14ac:dyDescent="0.2">
      <c r="A6" s="5" t="s">
        <v>90</v>
      </c>
      <c r="C6" s="31">
        <f>C4-C5</f>
        <v>-4055000</v>
      </c>
      <c r="D6" s="31">
        <f t="shared" ref="D6:E6" si="0">D4-D5</f>
        <v>837954.86180200404</v>
      </c>
      <c r="E6" s="31">
        <f t="shared" si="0"/>
        <v>918440.22799012437</v>
      </c>
      <c r="F6" s="31">
        <f>F4-F5</f>
        <v>22184081.929423362</v>
      </c>
    </row>
    <row r="7" spans="1:7" x14ac:dyDescent="0.2">
      <c r="A7" s="5"/>
    </row>
    <row r="8" spans="1:7" x14ac:dyDescent="0.2">
      <c r="A8" s="5" t="s">
        <v>91</v>
      </c>
      <c r="C8" s="43">
        <f>IRR(C6:F6)</f>
        <v>0.8781554448841995</v>
      </c>
      <c r="D8" s="38" t="s">
        <v>116</v>
      </c>
    </row>
    <row r="9" spans="1:7" x14ac:dyDescent="0.2">
      <c r="A9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ANSWER SHEET</vt:lpstr>
      <vt:lpstr>Assumptions</vt:lpstr>
      <vt:lpstr>Financing</vt:lpstr>
      <vt:lpstr>No renovations</vt:lpstr>
      <vt:lpstr>Renovate</vt:lpstr>
      <vt:lpstr>IRR on Renovation</vt:lpstr>
      <vt:lpstr>Assumptions!Print_Area</vt:lpstr>
      <vt:lpstr>'No renovations'!Print_Area</vt:lpstr>
      <vt:lpstr>Renovate!Print_Area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Marc Emile Lanton</cp:lastModifiedBy>
  <cp:lastPrinted>2021-03-16T19:59:54Z</cp:lastPrinted>
  <dcterms:created xsi:type="dcterms:W3CDTF">2019-07-25T20:28:29Z</dcterms:created>
  <dcterms:modified xsi:type="dcterms:W3CDTF">2023-11-17T02:56:11Z</dcterms:modified>
</cp:coreProperties>
</file>