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ash\OneDrive\Documents\jay data analyst excel dashboard data\statics assignment\"/>
    </mc:Choice>
  </mc:AlternateContent>
  <bookViews>
    <workbookView xWindow="0" yWindow="0" windowWidth="17256" windowHeight="5688" firstSheet="7" activeTab="7"/>
  </bookViews>
  <sheets>
    <sheet name="measure ofthe centraltendency" sheetId="1" r:id="rId1"/>
    <sheet name="measure of dispersion" sheetId="2" r:id="rId2"/>
    <sheet name="more STATISTICS " sheetId="3" r:id="rId3"/>
    <sheet name="kurtosis and skenwess" sheetId="4" r:id="rId4"/>
    <sheet name="Quartilr and persantage  " sheetId="5" r:id="rId5"/>
    <sheet name="CORELATION AND COVRAINCE" sheetId="6" r:id="rId6"/>
    <sheet name="descreate random variables" sheetId="7" r:id="rId7"/>
    <sheet name="continues  random varible quest" sheetId="8" r:id="rId8"/>
    <sheet name="confidenceintervalandhypothesis" sheetId="9" r:id="rId9"/>
    <sheet name="Sheet2" sheetId="10" r:id="rId10"/>
  </sheets>
  <definedNames>
    <definedName name="_xlchart.v1.0" hidden="1">Sheet2!$F$71:$F$81</definedName>
    <definedName name="_xlchart.v1.1" hidden="1">Sheet2!$G$70</definedName>
    <definedName name="_xlchart.v1.2" hidden="1">Sheet2!$G$71:$G$81</definedName>
    <definedName name="_xlchart.v1.3" hidden="1">Sheet2!$H$70</definedName>
    <definedName name="_xlchart.v1.4" hidden="1">Sheet2!$H$71:$H$81</definedName>
    <definedName name="solver_eng" localSheetId="8" hidden="1">1</definedName>
    <definedName name="solver_neg" localSheetId="8" hidden="1">1</definedName>
    <definedName name="solver_num" localSheetId="8" hidden="1">0</definedName>
    <definedName name="solver_opt" localSheetId="8" hidden="1">confidenceintervalandhypothesis!$D$49</definedName>
    <definedName name="solver_typ" localSheetId="8" hidden="1">1</definedName>
    <definedName name="solver_val" localSheetId="8" hidden="1">0</definedName>
    <definedName name="solver_ver" localSheetId="8"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8" i="8" l="1"/>
  <c r="C58" i="8"/>
  <c r="I60" i="9" l="1"/>
  <c r="I59" i="9"/>
  <c r="F35" i="9"/>
  <c r="F34" i="9"/>
  <c r="E13" i="9"/>
  <c r="E12" i="9"/>
  <c r="D114" i="8"/>
  <c r="D112" i="8"/>
  <c r="D110" i="8"/>
  <c r="C101" i="8"/>
  <c r="C102" i="8"/>
  <c r="B128" i="7"/>
  <c r="B103" i="7" l="1"/>
  <c r="B92" i="7" l="1"/>
  <c r="B85" i="8" l="1"/>
  <c r="E56" i="8"/>
  <c r="I58" i="8"/>
  <c r="F40" i="8"/>
  <c r="B41" i="8"/>
  <c r="I24" i="8"/>
  <c r="F28" i="8"/>
  <c r="A75" i="7" l="1"/>
  <c r="B76" i="7"/>
  <c r="B61" i="7"/>
  <c r="B48" i="7"/>
  <c r="B33" i="7" l="1"/>
  <c r="I220" i="5" l="1"/>
  <c r="B19" i="7" l="1"/>
  <c r="E11" i="7"/>
  <c r="E14" i="7"/>
  <c r="E9" i="7"/>
  <c r="C7" i="7"/>
  <c r="J125" i="6" l="1"/>
  <c r="I124" i="6"/>
  <c r="H81" i="6"/>
  <c r="G80" i="6"/>
  <c r="H37" i="6"/>
  <c r="G36" i="6"/>
  <c r="H227" i="5" l="1"/>
  <c r="I227" i="5"/>
  <c r="G227" i="5"/>
  <c r="F227" i="5" s="1"/>
  <c r="E227" i="5"/>
  <c r="E231" i="5"/>
  <c r="E230" i="5"/>
  <c r="E229" i="5"/>
  <c r="E228" i="5"/>
  <c r="I223" i="5"/>
  <c r="I222" i="5"/>
  <c r="I221" i="5"/>
  <c r="I219" i="5"/>
  <c r="G215" i="5"/>
  <c r="G211" i="5"/>
  <c r="G214" i="5"/>
  <c r="G213" i="5"/>
  <c r="G212" i="5"/>
  <c r="G157" i="5"/>
  <c r="G156" i="5"/>
  <c r="G155" i="5"/>
  <c r="H150" i="5"/>
  <c r="H149" i="5"/>
  <c r="H148" i="5"/>
  <c r="H147" i="5"/>
  <c r="G150" i="5"/>
  <c r="G149" i="5"/>
  <c r="G148" i="5"/>
  <c r="G147" i="5"/>
  <c r="G146" i="5"/>
  <c r="H146" i="5"/>
  <c r="G113" i="5"/>
  <c r="G112" i="5"/>
  <c r="G111" i="5"/>
  <c r="G110" i="5"/>
  <c r="G109" i="5"/>
  <c r="G105" i="5"/>
  <c r="G104" i="5"/>
  <c r="G103" i="5"/>
  <c r="G102" i="5"/>
  <c r="C52" i="5" l="1"/>
  <c r="C51" i="5"/>
  <c r="C50" i="5"/>
  <c r="C49" i="5"/>
  <c r="F38" i="5" l="1"/>
  <c r="F37" i="5"/>
  <c r="F36" i="5"/>
  <c r="F35" i="5"/>
  <c r="G164" i="4" l="1"/>
  <c r="E130" i="3"/>
  <c r="E129" i="3"/>
  <c r="E128" i="3"/>
  <c r="C113" i="3"/>
  <c r="C112" i="3"/>
  <c r="C91" i="3"/>
  <c r="C90" i="3"/>
  <c r="C88" i="3"/>
  <c r="C87" i="3"/>
  <c r="C89" i="3" s="1"/>
  <c r="C71" i="3"/>
  <c r="C70" i="3"/>
  <c r="C69" i="3"/>
  <c r="C72" i="3" s="1"/>
  <c r="F60" i="3"/>
  <c r="F59" i="3"/>
  <c r="F57" i="3"/>
  <c r="E56" i="3"/>
  <c r="E55" i="3"/>
  <c r="C54" i="3"/>
  <c r="C53" i="3"/>
  <c r="C52" i="3"/>
  <c r="C51" i="3"/>
  <c r="C25" i="3"/>
  <c r="C24" i="3"/>
  <c r="C23" i="3"/>
  <c r="C21" i="3"/>
  <c r="H149" i="2"/>
  <c r="I149" i="2" s="1"/>
  <c r="H150" i="2"/>
  <c r="I150" i="2" s="1"/>
  <c r="H151" i="2"/>
  <c r="I151" i="2" s="1"/>
  <c r="H152" i="2"/>
  <c r="I152" i="2" s="1"/>
  <c r="H148" i="2"/>
  <c r="I148" i="2" s="1"/>
  <c r="E149" i="2"/>
  <c r="E150" i="2"/>
  <c r="E151" i="2"/>
  <c r="E152" i="2"/>
  <c r="G152" i="2"/>
  <c r="G149" i="2"/>
  <c r="G150" i="2"/>
  <c r="G151" i="2"/>
  <c r="G148" i="2"/>
  <c r="E148" i="2"/>
  <c r="D149" i="2"/>
  <c r="D150" i="2"/>
  <c r="D151" i="2"/>
  <c r="D152" i="2"/>
  <c r="D148" i="2"/>
  <c r="C135" i="2"/>
  <c r="D132" i="2"/>
  <c r="D131" i="2"/>
  <c r="D130" i="2"/>
  <c r="F114" i="2"/>
  <c r="D111" i="2"/>
  <c r="G90" i="2"/>
  <c r="G89" i="2"/>
  <c r="G85" i="2"/>
  <c r="G87" i="2"/>
  <c r="H86" i="2"/>
  <c r="G86" i="2"/>
  <c r="H70" i="2"/>
  <c r="H69" i="2"/>
  <c r="I68" i="2"/>
  <c r="I67" i="2"/>
  <c r="I66" i="2"/>
  <c r="I65" i="2"/>
  <c r="H64" i="2"/>
  <c r="I44" i="2"/>
  <c r="H40" i="2"/>
  <c r="H38" i="2"/>
  <c r="H37" i="2"/>
  <c r="G16" i="2"/>
  <c r="G15" i="2"/>
  <c r="J14" i="2"/>
  <c r="H14" i="2"/>
  <c r="G13" i="2"/>
  <c r="G12" i="2"/>
  <c r="G11" i="2"/>
  <c r="F77" i="1"/>
  <c r="G75" i="1"/>
  <c r="G74" i="1"/>
  <c r="G73" i="1"/>
  <c r="F71" i="1"/>
  <c r="F70" i="1"/>
  <c r="F69" i="1"/>
  <c r="F48" i="1"/>
  <c r="F47" i="1"/>
  <c r="F46" i="1"/>
  <c r="B12" i="1"/>
  <c r="E22" i="1"/>
  <c r="F10" i="1"/>
  <c r="E21" i="1"/>
  <c r="E20" i="1"/>
  <c r="F9" i="1"/>
  <c r="F8" i="1"/>
</calcChain>
</file>

<file path=xl/sharedStrings.xml><?xml version="1.0" encoding="utf-8"?>
<sst xmlns="http://schemas.openxmlformats.org/spreadsheetml/2006/main" count="876" uniqueCount="555">
  <si>
    <t>Week 1: 50 units Week 2: 60 units Week 3: 55 units Week 4: 70 units</t>
  </si>
  <si>
    <t xml:space="preserve"> question _1 </t>
  </si>
  <si>
    <t xml:space="preserve"> find  the mean   </t>
  </si>
  <si>
    <t>mean</t>
  </si>
  <si>
    <t xml:space="preserve">median </t>
  </si>
  <si>
    <t xml:space="preserve">mode </t>
  </si>
  <si>
    <t xml:space="preserve">MEAN </t>
  </si>
  <si>
    <t xml:space="preserve">QUESTION  = 12 </t>
  </si>
  <si>
    <t>MEAN</t>
  </si>
  <si>
    <t xml:space="preserve">MODE </t>
  </si>
  <si>
    <t xml:space="preserve">QUESTION : - 3 </t>
  </si>
  <si>
    <t>MEDIAN</t>
  </si>
  <si>
    <t xml:space="preserve">QUESTION : - 4 </t>
  </si>
  <si>
    <t xml:space="preserve">DATA </t>
  </si>
  <si>
    <t xml:space="preserve"> MEDIAN</t>
  </si>
  <si>
    <t>MODE</t>
  </si>
  <si>
    <t xml:space="preserve">RANGE </t>
  </si>
  <si>
    <t>VARIANCE</t>
  </si>
  <si>
    <t>RANGE IS THE DATA MANINMUM AND MAXIMUM VALUE \</t>
  </si>
  <si>
    <t xml:space="preserve"> MINIMUM</t>
  </si>
  <si>
    <t>MAXIMUM</t>
  </si>
  <si>
    <t>STANDARDDEVIATION</t>
  </si>
  <si>
    <t>MODE Condition applided</t>
  </si>
  <si>
    <t xml:space="preserve">question :-5 </t>
  </si>
  <si>
    <t xml:space="preserve">MEASURE OF THE DISPERSION </t>
  </si>
  <si>
    <t xml:space="preserve">Queation : -1 </t>
  </si>
  <si>
    <t xml:space="preserve">data </t>
  </si>
  <si>
    <t xml:space="preserve"> mean</t>
  </si>
  <si>
    <t xml:space="preserve"> meddian</t>
  </si>
  <si>
    <t xml:space="preserve">range = </t>
  </si>
  <si>
    <t>maiximum</t>
  </si>
  <si>
    <t>minimum</t>
  </si>
  <si>
    <t>vairance</t>
  </si>
  <si>
    <t>standard DEVIATION</t>
  </si>
  <si>
    <t xml:space="preserve">QUESTION :- 2 </t>
  </si>
  <si>
    <t xml:space="preserve">RANGE :- </t>
  </si>
  <si>
    <t>MINIMUM</t>
  </si>
  <si>
    <t xml:space="preserve">Standard Deviation </t>
  </si>
  <si>
    <t xml:space="preserve">question </t>
  </si>
  <si>
    <t xml:space="preserve">Range </t>
  </si>
  <si>
    <t xml:space="preserve">Variance </t>
  </si>
  <si>
    <t>StanDard Deviation</t>
  </si>
  <si>
    <t>Min</t>
  </si>
  <si>
    <t>max</t>
  </si>
  <si>
    <t xml:space="preserve">average </t>
  </si>
  <si>
    <t>:-</t>
  </si>
  <si>
    <t xml:space="preserve">question =4 </t>
  </si>
  <si>
    <t xml:space="preserve"> data </t>
  </si>
  <si>
    <t xml:space="preserve">standard deviation </t>
  </si>
  <si>
    <t xml:space="preserve">mean </t>
  </si>
  <si>
    <t xml:space="preserve">mean diffrence </t>
  </si>
  <si>
    <t>range  max and min value</t>
  </si>
  <si>
    <t>maximum</t>
  </si>
  <si>
    <t xml:space="preserve">question _5 </t>
  </si>
  <si>
    <t xml:space="preserve"> central tendency method := </t>
  </si>
  <si>
    <t xml:space="preserve">  mean </t>
  </si>
  <si>
    <t xml:space="preserve">diffrence value  formula :- </t>
  </si>
  <si>
    <t xml:space="preserve">Square root </t>
  </si>
  <si>
    <t>variance diffrence detail</t>
  </si>
  <si>
    <t xml:space="preserve">question : 6 </t>
  </si>
  <si>
    <t xml:space="preserve">central tendency :- </t>
  </si>
  <si>
    <t>minmun</t>
  </si>
  <si>
    <t>range :-</t>
  </si>
  <si>
    <t xml:space="preserve">mean value diffrece </t>
  </si>
  <si>
    <t>diffrence</t>
  </si>
  <si>
    <t>standard Deviation</t>
  </si>
  <si>
    <t xml:space="preserve">question - 7 </t>
  </si>
  <si>
    <t>model-1</t>
  </si>
  <si>
    <t>model-2</t>
  </si>
  <si>
    <t xml:space="preserve">model-3 </t>
  </si>
  <si>
    <t xml:space="preserve">model-4 </t>
  </si>
  <si>
    <t>model-5</t>
  </si>
  <si>
    <t xml:space="preserve">mean :- </t>
  </si>
  <si>
    <t xml:space="preserve"> </t>
  </si>
  <si>
    <t>index</t>
  </si>
  <si>
    <t>min</t>
  </si>
  <si>
    <t xml:space="preserve">difrrence  mean value </t>
  </si>
  <si>
    <t>stdev</t>
  </si>
  <si>
    <t>sqrt</t>
  </si>
  <si>
    <t>MORE Statistics</t>
  </si>
  <si>
    <t>which time repeated</t>
  </si>
  <si>
    <t>data =28+ 32+ 35+ 40+ 42+ 28+ 33+ 38+ 30+ 41+ 37+ 31+ 34+ 29+ 36+ 43+ 39+ 27+ 35+ 31+ 39+ 45+ 29+ 33+ 37+ 40+ 36+ 29+ 31+ 38+ 35+ 44+ 32+ 39+ 36+ 30+ 33+ 28+ 41+ 35+ 31+ 37+ 42+ 29+ 34+ 40+ 31+ 33+ 38+ 36+ 39+ 27+ 35+ 30+ 43+ 29+ 32+ 36+ 31+ 40+ 38+ 44+ 37+ 33+ 35+ 41+ 30+ 31+ 39+ 28+ 45+ 29+ 33+ 38+ 34+ 32+ 35+ 31+ 40+ 36+ 39+ 27+ 35+ 30+ 43+ 29+ 32+ 36+ 31+ 40+ 38+ 44+ 37+ 33+ 35+ 41+ 30+ 31+ 39+ 28</t>
  </si>
  <si>
    <t>Discreate Distribution</t>
  </si>
  <si>
    <t>mod</t>
  </si>
  <si>
    <t>median</t>
  </si>
  <si>
    <t xml:space="preserve">range </t>
  </si>
  <si>
    <t xml:space="preserve">max </t>
  </si>
  <si>
    <t xml:space="preserve">frequency </t>
  </si>
  <si>
    <t>range  (max-min)</t>
  </si>
  <si>
    <t>range</t>
  </si>
  <si>
    <t>question =8</t>
  </si>
  <si>
    <t xml:space="preserve">question :- 9 </t>
  </si>
  <si>
    <t>data</t>
  </si>
  <si>
    <t xml:space="preserve"> 56+ 40+ 28+ 73+ 52+ 61+ 35+ 40+ 47+ 65+ 52+ 44+ 38+ 60+ 56+ 40+ 36+ 49+ 68+ 57+ 52+ 63+ 41+ 48+ 55+ 42+ 39+ 58+ 62+ 49+ 59+ 45+ 47+ 51+ 65+ 41+ 48+ 55+ 42+ 39+ 58+ 62+ 49+ 59+ 45+ 47+ 51+ 65+ 43+ 58</t>
  </si>
  <si>
    <t>mean =</t>
  </si>
  <si>
    <t>mode</t>
  </si>
  <si>
    <t>n</t>
  </si>
  <si>
    <t xml:space="preserve"> interquartile range  = </t>
  </si>
  <si>
    <t>q1=(n+1)/2 =q1</t>
  </si>
  <si>
    <t xml:space="preserve">q3=(n+1)/3 = q3 </t>
  </si>
  <si>
    <t>persantile range = (quarilevalues /100 *n+1)</t>
  </si>
  <si>
    <t>p(25)</t>
  </si>
  <si>
    <t>p(50)</t>
  </si>
  <si>
    <t>p(75)</t>
  </si>
  <si>
    <t>question:-10</t>
  </si>
  <si>
    <t>a</t>
  </si>
  <si>
    <t>b</t>
  </si>
  <si>
    <t>c</t>
  </si>
  <si>
    <t>d</t>
  </si>
  <si>
    <t>f</t>
  </si>
  <si>
    <t>e</t>
  </si>
  <si>
    <t xml:space="preserve">maximum </t>
  </si>
  <si>
    <t>highest Priority</t>
  </si>
  <si>
    <t>lowest Proirity</t>
  </si>
  <si>
    <t>mainimum</t>
  </si>
  <si>
    <t>center</t>
  </si>
  <si>
    <t>question -11</t>
  </si>
  <si>
    <t>4+ 5+ 3+ 4+ 4+ 3+ 2+ 5+ 4+ 3+ 5+ 4+ 2+ 3+ 4+ 5+ 3+ 4+ 5+ 3+ 4+ 3+ 2+ 4+ 5+ 3+ 4+ 5+ 4+ 3+ 3+ 4+ 5+ 2+ 3+ 4+ 4+ 3+ 5+ 4+ 3+ 4+ 5+ 4+ 2+ 3+ 4+ 5+ 3+ 4+ 5+ 4+ 3+ 4+ 5+ 3+ 4+ 5+ 4+ 3+ 3+ 4+ 5+ 2+ 3+ 4+ 4+ 3+ 5+ 4+ 3+ 4+ 5+ 4+ 2+ 3+ 4+ 5+ 3+ 4+ 5+ 4+ 3+ 4+ 5+ 3+ 4+ 5+ 4+ 3+ 3+ 4+ 5+ 2+ 3+ 4+ 4+ 3+ 5+ 4</t>
  </si>
  <si>
    <t>rating</t>
  </si>
  <si>
    <t>frequnecy</t>
  </si>
  <si>
    <t>higghest Proirity</t>
  </si>
  <si>
    <t>minimun</t>
  </si>
  <si>
    <t xml:space="preserve">center </t>
  </si>
  <si>
    <t>Bar Chart: Create a bar chart to display the frequency of each satisfaction rating</t>
  </si>
  <si>
    <t>question -12</t>
  </si>
  <si>
    <t>35+ 28+ 32+ 45+ 38+ 29+ 42+ 30+ 36+ 41+ 47+ 31+ 39+ 43+ 37+ 30+ 34+ 39+ 28+ 33+ 36+ 40+ 42+ 29+ 31+ 45+ 38+ 33+ 41+ 35+ 37+ 34+ 46+ 30+ 39+ 43+ 28+ 32+ 36+ 29+ 31+ 37+ 40+ 42+ 33+ 39+ 28+ 35+ 38+ 43</t>
  </si>
  <si>
    <t>sales range</t>
  </si>
  <si>
    <t>frwquency</t>
  </si>
  <si>
    <t>28-30</t>
  </si>
  <si>
    <t>31-33</t>
  </si>
  <si>
    <t>34-36</t>
  </si>
  <si>
    <t>37-39</t>
  </si>
  <si>
    <t>40-42</t>
  </si>
  <si>
    <t>43-45</t>
  </si>
  <si>
    <t>46-47</t>
  </si>
  <si>
    <t xml:space="preserve">measure of the  centeral twndency </t>
  </si>
  <si>
    <t>region wise :-</t>
  </si>
  <si>
    <t xml:space="preserve">region-1 </t>
  </si>
  <si>
    <t>45+35+40+38+42+37+39+43+44+41</t>
  </si>
  <si>
    <t>region-2</t>
  </si>
  <si>
    <t>region-3</t>
  </si>
  <si>
    <t>40 39 42 41 38 43 45 44 41 37</t>
  </si>
  <si>
    <t>32 28 30 34 33 35 31 29 36 37</t>
  </si>
  <si>
    <t xml:space="preserve">region1  mean </t>
  </si>
  <si>
    <t>region2 mean</t>
  </si>
  <si>
    <t xml:space="preserve">region3  mean </t>
  </si>
  <si>
    <t>range =  hghrest-lowest</t>
  </si>
  <si>
    <t xml:space="preserve"> region1</t>
  </si>
  <si>
    <t xml:space="preserve"> 45-53</t>
  </si>
  <si>
    <t>region2</t>
  </si>
  <si>
    <t>37/28</t>
  </si>
  <si>
    <t>region3</t>
  </si>
  <si>
    <t>45-37</t>
  </si>
  <si>
    <t>1.      Histogram: Create a histogram to represent the defect frequencies. By answering these questions using a bar chart and histogram+ the manufacturing company can visually understand the g</t>
  </si>
  <si>
    <t>1.      Bar Chart: Create a bar chart to compare the sales figures across the three regions.</t>
  </si>
  <si>
    <t>Skewness and Kurtosis</t>
  </si>
  <si>
    <t>Skewness  is the measure of  the  distribution negative or positive distribution (left or right side)</t>
  </si>
  <si>
    <t xml:space="preserve"> Skewness formula :-   [n / ((n-1)(n-2))] * Σ[((xi - mean) / standard deviation) ^ 3]</t>
  </si>
  <si>
    <t>Xi= number of the  each data point</t>
  </si>
  <si>
    <t xml:space="preserve">  </t>
  </si>
  <si>
    <t>Mean =  average value of the data ‘</t>
  </si>
  <si>
    <t>Standard deviation  =   standard deviation is the use for the mesure the average data is the actual  center point to whch frequency  far.</t>
  </si>
  <si>
    <t>1st step mean</t>
  </si>
  <si>
    <t>standard deviation</t>
  </si>
  <si>
    <t xml:space="preserve">stsndard deviation </t>
  </si>
  <si>
    <t xml:space="preserve">quabe </t>
  </si>
  <si>
    <t xml:space="preserve">quabe diffrence </t>
  </si>
  <si>
    <t>skenwss</t>
  </si>
  <si>
    <t>kurtosis</t>
  </si>
  <si>
    <t>Kurtosis :- kurtosis is the measures the thickness of the graph tail . basicall y graph tail rate is</t>
  </si>
  <si>
    <t xml:space="preserve"> Three types od  the  kurotosis types</t>
  </si>
  <si>
    <t>the 3   maximum  3 plus tail thatis for the leptokurtic .</t>
  </si>
  <si>
    <t>lowest3 value tail  to platykurotis and</t>
  </si>
  <si>
    <t>the exjectpt graph   3 value is the  l meso  kurtosis</t>
  </si>
  <si>
    <t>formula of  the l kurotsis =[n(n+1) / (n-1)(n-2)(n-3)] * / standard deviation) ^ 4] - [3 * (n-1)^2 / (n-2)(n-3)]</t>
  </si>
  <si>
    <t>[50(50+1)/(50-1)(50-2)(50-3))] *    Σ[((returns – 0.338)/1.493)^4]-[3*(50-2]^2 / (50^2(50-3))]</t>
  </si>
  <si>
    <t xml:space="preserve">question :2 </t>
  </si>
  <si>
    <t>2.5+ 4.8+ 3.2+ 2.1+ 4.5+ 2.9+ 2.3+ 3.1+ 4.2+ 3.9+ 2.8+ 4.1+ 2.6+ 2.4+ 4.7+ 3.3+ 2.7+ 3.0+ 4.3+ 3.7+ 2.2+ 3.6+ 4.0+ 2.7+ 3.8+ 3.5+ 3.2+ 4.4+ 2.0+ 3.4+ 3.1+ 2.9+ 4.6+ 3.3+ 2.5+ 4.9+ 2.8+ 3.0+ 4.2+ 3.9+ 2.8+ 4.1+ 2.6+ 2.4+ 4.7+ 3.3+ 2.7+ 3.0+ 4.3+ 3.7+ 2.2+ 3.6+ 4.0+ 2.7+ 3.8+ 3.5+ 3.2+ 4.4+ 2.0+ 3.4+ 3.1+ 2.9+ 4.6+ 3.3+ 2.5+ 4.9+ 2.8+ 3.0+ 4.2+ 3.9+ 2.8+ 4.1+ 2.6+ 2.4+ 4.7+ 3.3+ 2.7+ 3.0+ 4.3+ 3.7+ 2.2+ 3.6+ 4.0+ 2.7+ 3.8+ 3.5+ 3.2+ 4.4+ 2.0+ 3.4+ 3.1+ 2.9+ 4.6+ 3.3+ 2.5+ 4.9</t>
  </si>
  <si>
    <t xml:space="preserve">Skewness: </t>
  </si>
  <si>
    <t>325.9/100</t>
  </si>
  <si>
    <t>(n+1)+(n/2+1)</t>
  </si>
  <si>
    <t>(100/2 + (100+1/2)</t>
  </si>
  <si>
    <t>50 or 51 values</t>
  </si>
  <si>
    <t xml:space="preserve"> amswer= 2.0</t>
  </si>
  <si>
    <t>0.32534/100</t>
  </si>
  <si>
    <t xml:space="preserve">kurtosis :- </t>
  </si>
  <si>
    <t>Kurtosis formula  :-     (sum of (x- mean)^ 4 ) / (count   of the  point  * standard Deviation  ^  4 )   -  3</t>
  </si>
  <si>
    <t>(x-3.259)^ 4 ) / (100-0819 ^ 4)  -3</t>
  </si>
  <si>
    <t xml:space="preserve">question :- 3 </t>
  </si>
  <si>
    <t xml:space="preserve">4+ 5+ 3+ 4+ 4+ 3+ 2+ 5+ 4+ 3+ 5+ 4+ 2+ 3+ 4+ 5+ 3+ 4+ 5+ 3+ 4+ 3+ 2+ 4+ 5+ 3+ 4+ 5+ 4+ 3+ 3+ 4+ 5+ 2+ 3+ 4+ 4+ 3+ 5+ 4+ 3+ 4+ 5+ 4+ 2+ 3+ 4+ 5+ 3+ 4+ 5+ 4+ 3+ 4+ 5+ 3+ 4+ 5+ 4+ 3+ 3+ 4+ 5+ 2+ 3+ 4+ 4+ 3+ 5+ 4+ 3+ 4+ 5+ 4+ 2+ 3+ 4+ 5+ 3+ 4+ 5+ 4+ 3+ 4+ 5+ 3+ 4+ 5+ 4+ 3+ 3+ 4+ 5+ 2+ 3+ 4+ 4+ 3+ 5+ 4 </t>
  </si>
  <si>
    <t>Skewness formula :-   [n / ((n-1)(n-2))] * Σ[((xi - mean) / standard deviation) ^ 3]</t>
  </si>
  <si>
    <t xml:space="preserve">data:- </t>
  </si>
  <si>
    <t>(355/100) = 3.55</t>
  </si>
  <si>
    <t>(n+1)/2</t>
  </si>
  <si>
    <t>kurtiosis:-</t>
  </si>
  <si>
    <t>formulla</t>
  </si>
  <si>
    <t xml:space="preserve">(sum of (x-3.7777 ^ 4) / (100 * 3.75 ^ 4 ) -3 </t>
  </si>
  <si>
    <t xml:space="preserve"> = 0.00964</t>
  </si>
  <si>
    <t xml:space="preserve">Question - 4 </t>
  </si>
  <si>
    <t xml:space="preserve">data = </t>
  </si>
  <si>
    <t xml:space="preserve">280+ 350+ 310+ 270+ 390+ 320+ 290+ 340+ 310+ 380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t>
  </si>
  <si>
    <t>Skewness: Calculate the skewness of the house price distribution.</t>
  </si>
  <si>
    <t>Questions: 1. Skewness: Calculate the skewness of the income distribution.</t>
  </si>
  <si>
    <t>Skewness  = (3*(mean-median)) / standard deviation   =</t>
  </si>
  <si>
    <t xml:space="preserve">  Find the  Skeness  :- is the data of the  mean+median   and std  find   is the first step</t>
  </si>
  <si>
    <t>Mean = total of sum of the data / total count of the data</t>
  </si>
  <si>
    <t xml:space="preserve"> mean =</t>
  </si>
  <si>
    <t>420/28</t>
  </si>
  <si>
    <t>100/2</t>
  </si>
  <si>
    <t>50th and 51st  recorde</t>
  </si>
  <si>
    <t xml:space="preserve">  290 +290 /2</t>
  </si>
  <si>
    <t>580/2</t>
  </si>
  <si>
    <t>diffrence Quabed Square values</t>
  </si>
  <si>
    <t>variance</t>
  </si>
  <si>
    <t xml:space="preserve">Skewdness = </t>
  </si>
  <si>
    <t xml:space="preserve">Skewness  = (3*(mean-median)) / standard deviation   </t>
  </si>
  <si>
    <t xml:space="preserve"> (3* 79800 -290)/28.25</t>
  </si>
  <si>
    <t xml:space="preserve"> Kurtosis = (Σ(xi - mean)^4 / N) / (standard deviation)^4</t>
  </si>
  <si>
    <t xml:space="preserve">(79800-284.20) ) ^4/100) /28.25 ) ) ^4 </t>
  </si>
  <si>
    <t>3203/28.25</t>
  </si>
  <si>
    <t>113) ^4</t>
  </si>
  <si>
    <t xml:space="preserve">question 5 </t>
  </si>
  <si>
    <t>House Prices: 280, 350, 310, 270, 390, 320, 290, 340, 310, 380,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t>
  </si>
  <si>
    <t xml:space="preserve"> data :-</t>
  </si>
  <si>
    <t>1812/100</t>
  </si>
  <si>
    <t xml:space="preserve">                      Skewness  = (sum of cubbed Diffrences  / (n * Standard Deviation ) ^3</t>
  </si>
  <si>
    <t xml:space="preserve">   </t>
  </si>
  <si>
    <t xml:space="preserve">(-21.164/100 * 0.85115106 3 </t>
  </si>
  <si>
    <t xml:space="preserve"> 2. Kurtosis : Calculate the kurtosis of the waiting time distribution.</t>
  </si>
  <si>
    <t>Kurtosis: Calculate the kurtosis of the satisfaction ratings.</t>
  </si>
  <si>
    <t xml:space="preserve">      Kurtiisis Value generated the graph if the graphs is the</t>
  </si>
  <si>
    <t>( graph tail right to left = positive  kurtosis)</t>
  </si>
  <si>
    <t>( graph tail left  to right = positive  kurtosis )</t>
  </si>
  <si>
    <t xml:space="preserve"> :- kurtosis Formula is the  Generated grapth 3 types :-</t>
  </si>
  <si>
    <t>Mean -=18.12</t>
  </si>
  <si>
    <t>QUAbed Answer   = 37,374.68364</t>
  </si>
  <si>
    <t>N = 100</t>
  </si>
  <si>
    <t xml:space="preserve"> Standard Deviation :- 51.952512</t>
  </si>
  <si>
    <t>Kurtosis = (Σ(xi - mean)^4 / (N * standard deviation)^4) – 3</t>
  </si>
  <si>
    <t>Kurtosis = (Sum of fourth power differences / (N * standard deviation)^4) – 3</t>
  </si>
  <si>
    <t>(37,374.68364 / (100  * 0.51952512 ) ^4)) – 3</t>
  </si>
  <si>
    <t>(37,374.68364 /  51.952512 )  -3</t>
  </si>
  <si>
    <t>720.045386 -3</t>
  </si>
  <si>
    <t xml:space="preserve"> =  717.045386 </t>
  </si>
  <si>
    <t>1.      Skewness: Calculate the skewness of the satisfaction ratings</t>
  </si>
  <si>
    <t xml:space="preserve">    Lets Calculate the  4th Position of  the Kurtosis = kurtosis is  the uses  the   pickedness measures comapared.</t>
  </si>
  <si>
    <t xml:space="preserve">1)     Lepto Kurtosis    (grath tailed is the  less than 3 )   </t>
  </si>
  <si>
    <t>2)     Meso kuritsos    ( normal Distriburtion  is  the data is   &gt;3 )</t>
  </si>
  <si>
    <t>3)     Platkurtosis     ( graph tail  flat )</t>
  </si>
  <si>
    <t xml:space="preserve">Quartiles and persantages </t>
  </si>
  <si>
    <t>question_1</t>
  </si>
  <si>
    <t>Question : A company wants to analyze the salary distribution of its employees to determine the income levels at different percentiles. Data: Let's consider the monthly salaries (in thousands of dollars) of a sample of 200 employees: Salaries: 40, 45, 50, 55, 60, 62, 65, 68, 70, 72, 75, 78, 80, 82, 85, 88, 90, 92,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Questions: 1. Quartiles: Calculate the first quartile (Q1), median (Q2), and third quartile (Q3) of the salary distribution. 2. Percentiles: Calculate the 10th percentile, 25th percentile, 75th percentile, and 90th percentile of the salary distribution. 3. Interpretation: Based on the quartiles and percentiles, what can be inferred about the income distribution of the employees?</t>
  </si>
  <si>
    <t>1. Quartiles: Calculate the first quartile (Q1), median (Q2), and third quartile (Q3) of the salary distribution.</t>
  </si>
  <si>
    <t>Mean</t>
  </si>
  <si>
    <t>Standard Error</t>
  </si>
  <si>
    <t>Median</t>
  </si>
  <si>
    <t>Mode</t>
  </si>
  <si>
    <t>Standard Deviation</t>
  </si>
  <si>
    <t>Sample Variance</t>
  </si>
  <si>
    <t>Kurtosis</t>
  </si>
  <si>
    <t>Skewness</t>
  </si>
  <si>
    <t>Range</t>
  </si>
  <si>
    <t>Minimum</t>
  </si>
  <si>
    <t>Maximum</t>
  </si>
  <si>
    <t>Sum</t>
  </si>
  <si>
    <t>Count</t>
  </si>
  <si>
    <t>Largest(1)</t>
  </si>
  <si>
    <t>Smallest(1)</t>
  </si>
  <si>
    <t>q1</t>
  </si>
  <si>
    <t>q2</t>
  </si>
  <si>
    <t>q3</t>
  </si>
  <si>
    <t>q4(minimum values)</t>
  </si>
  <si>
    <t>maximum values ) q(1)</t>
  </si>
  <si>
    <t xml:space="preserve">find the persantile of the employee sallary data per calcluate the perrdantile out of the all the  employee sample data </t>
  </si>
  <si>
    <t>p(10)</t>
  </si>
  <si>
    <t>p(90)</t>
  </si>
  <si>
    <t>formulla =</t>
  </si>
  <si>
    <t>(NUMBER OF THE VALUE  /TOTAL DATA PERSANTAGE  * 100</t>
  </si>
  <si>
    <t>question_2</t>
  </si>
  <si>
    <t>Question : A research study wants to analyze the weight distribution of a sample of individuals to assess their health and body composition. Data: Let's consider the weights (in kilograms) of a sample of 100 individuals: Weights: 55, 60, 62, 65, 68, 70, 72, 75, 78, 80, 82, 85, 88, 90, 92,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 Questions: 1. Quartiles: Calculate the first quartile (Q1), median (Q2), and third quartile (Q3) of the weight distribution. 2. Percentiles: Calculate the 15th percentile, 50th percentile, and 85th percentile of the weight distribution. 3. Interpretation: Based on the quartiles and percentiles, what can be inferred about the weight distribution of the individuals?</t>
  </si>
  <si>
    <t xml:space="preserve">weights data </t>
  </si>
  <si>
    <t>standard drviation</t>
  </si>
  <si>
    <t>question=1</t>
  </si>
  <si>
    <t>. Quartiles: Calculate the first quartile (Q1), median (Q2), and third quartile (Q3) of the weight distribution.</t>
  </si>
  <si>
    <t xml:space="preserve">maximmum(q4) 100% value </t>
  </si>
  <si>
    <t xml:space="preserve">question =2 </t>
  </si>
  <si>
    <t>Percentiles: Calculate the 15th percentile, 50th percentile, and 85th percentile of the weight distribution</t>
  </si>
  <si>
    <t>p(15)</t>
  </si>
  <si>
    <t>p(76)</t>
  </si>
  <si>
    <t>)</t>
  </si>
  <si>
    <t>p(99)</t>
  </si>
  <si>
    <t>question=4</t>
  </si>
  <si>
    <t>Question : A retail store wants to analyze the distribution of customer purchase amounts to identify their spending patterns. Data: Let's consider the purchase amounts (in dollars) of a sample of 150 customers: Purchase Amounts: 20, 25, 30, 35, 40, 45, 50, 55, 60, 65, 70, 75, 80, 85, 90, 95, 100, 105, 110, 115, 120, 125, 130, 135, 140, 145, 150, 155, 160, 165, 170, 175, 180, 185, 190, 195, 200, 205, 210, 215, 220, 225, 230, 235, 240, 245, 250, 255, 260, 265, 270, 275, 280, 285, 290, 295, 300, 305, 310, 315, 320, 325, 330, 335, 340, 345, 350, 355, 360, 365, 370, 375, 380, 385, 390, 395, 400, 405, 410, 415, 420, 425, 430, 435, 440, 445, 450, 455, 460, 465, 470, 475, 480, 485, 490, 495, 500, 505, 510, 515, 520, 525, 530, 535, 540, 545, 550, 555, 560, 565 Questions: 1. Quartiles: Calculate the first quartile (Q1), median (Q2), and third quartile (Q3) of the purchase amount distribution. 2. Percentiles: Calculate the 20th percentile, 40th percentile, and 80th percentile of the purchase amount distribution. 3. Interpretation: Based on the quartiles and percentiles, what can be inferred about the spending patterns of the customers?</t>
  </si>
  <si>
    <t>purchase ammount</t>
  </si>
  <si>
    <t>1. Quartiles: Calculate the first quartile (Q1), median (Q2), and third quartile (Q3) of the commute time distribution.</t>
  </si>
  <si>
    <t>question</t>
  </si>
  <si>
    <t>q)1)</t>
  </si>
  <si>
    <t>q(2)</t>
  </si>
  <si>
    <t>q(3)</t>
  </si>
  <si>
    <t>maximum(4)</t>
  </si>
  <si>
    <t>minimum(1)</t>
  </si>
  <si>
    <t>count</t>
  </si>
  <si>
    <t>question-3</t>
  </si>
  <si>
    <t>2. Percentiles: Calculate the 30th percentile, 50th percentile, and 70th percentile of the commute time distribution.</t>
  </si>
  <si>
    <t>persantile(0.25)</t>
  </si>
  <si>
    <t>persantile(0.50)</t>
  </si>
  <si>
    <t>persantile(75)</t>
  </si>
  <si>
    <t>COMPANYRATES</t>
  </si>
  <si>
    <t>QUESTION:-</t>
  </si>
  <si>
    <t>Question : A manufacturing company wants to analyze the defect rates in its production process to evaluate product quality. Data: Let's consider the defect rates (in percentage) for a sample of 300 products: Defect Rates: 0.5, 1.0, 0.2, 0.7, 0.3, 0.9, 1.2, 0.6, 0.4, 1.1, 0.8, 0.5, 0.3, 0.6, 1.0, 0.4, 0.5, 0.7, 0.9, 1.3, 0.8, 0.6, 0.4, 0.7, 0.9, 0.5, 0.2, 1.0, 0.8, 0.3, 0.6, 0.4, 0.7, 0.9, 1.2, 0.8, 0.3, 0.6, 0.5, 0.4, 0.7, 0.9, 1.1, 0.3, 1.4, 0,9, 0.6, 0.2, 1.5, 1.0 0.6, 0.4, 0.7, 1.0, 0.8, 0.3, 0.5, 0.8, 0.6, 0.3, 0.9 0.4, 0.7, 0.9, 1.0, 0.8, 0.3, 0.5, 0.6, 0.4, 0.7, 0.9, 1.1, 0.8, 0.3, 0.5, 0.6, 0.4, 0.7, 0.9, 1.0, 0.8, 0.3, 0.5, 0.6, 0.4, 0.7, 0.9, 1.1, 0.8, 0.3, 0.5, 0.6, 0.4, 0.7, 0.9, 1.0, 0.8, 0.3, 0.5, 0.6, 0.4, 0.7, 0.9, 1.1, 0.8, 0.3, 0.5, 0.6, 0.4, 0.7, 0.9, 1.0, 0.8, 0.3, 0.5, 0.6, 0.4, 0.7, 0.9, 1.1 Questions: 1. Quartiles: Calculate the first quartile (Q1), median (Q2), and third quartile (Q3) of the defect rate distribution. 2. Percentiles: Calculate the 25th percentile, 50th percentile, and 75th percentile of the defect rate distribution. 3. Interpretation: Based on the quartiles and percentiles, what can be inferred about the quality of the products? By answering these questions using quartiles and percentiles, the manufacturing company can evaluate the defect rates, understand the spread of defects, identify any quality issues or deviations from standards, and take corrective actions to improve the production process and product quality.</t>
  </si>
  <si>
    <t>Column1</t>
  </si>
  <si>
    <t>STANDARD ERROR</t>
  </si>
  <si>
    <t>STD</t>
  </si>
  <si>
    <t>COUNT</t>
  </si>
  <si>
    <t>QUERTION-1</t>
  </si>
  <si>
    <t>Quartiles: Calculate the first quartile (Q1), median (Q2), and third quartile (Q3) of the defect rate distribution</t>
  </si>
  <si>
    <t>Q(25)LIKEA (Q1)</t>
  </si>
  <si>
    <t>Q(50)LIKE THE (Q2)</t>
  </si>
  <si>
    <t>Q3(75)LIKE THE (Q3)</t>
  </si>
  <si>
    <t>QUESTION-2</t>
  </si>
  <si>
    <t>2. Percentiles: Calculate the 25th percentile, 50th percentile, and 75th percentile of the defect rate distribution.</t>
  </si>
  <si>
    <t>PERSANTILE OUT OF THE 100% INTO THE P(25)</t>
  </si>
  <si>
    <t>PERSANTILE OUT OF THE 100% INTO THE P(50)</t>
  </si>
  <si>
    <t>PPERSANTILE OUT OF THE 100% INTO THE P(79)</t>
  </si>
  <si>
    <t>PPERSANTILE OUT OF THE 100% INTO THE P(95)</t>
  </si>
  <si>
    <t>PPERSANTILE OUT OF THE 100% INTO THE P(915</t>
  </si>
  <si>
    <t>P25</t>
  </si>
  <si>
    <t>P50</t>
  </si>
  <si>
    <t>P79</t>
  </si>
  <si>
    <t>P91</t>
  </si>
  <si>
    <t>P95</t>
  </si>
  <si>
    <t>QUESTION-1</t>
  </si>
  <si>
    <t>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</si>
  <si>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 Advertising Expenditure: 10, 12, 15, 18, 20, 22, 25, 28, 30, 32, 35, 38 Sales Revenue: 50, 55, 60, 65, 70, 75, 80, 85, 90, 95, 100, 105 Question: Calculate the correlation coefficient between advertising expenditure and sales revenue. Interpret the value of the correlation coefficient and explain the nature of the relationship between advertising expenditure and sales revenue</t>
  </si>
  <si>
    <t>ADVERTISING Expenture</t>
  </si>
  <si>
    <t>salesrevenue</t>
  </si>
  <si>
    <t>corelation= is the use for the   two sample data ate the compared to the Stand for the corelation.</t>
  </si>
  <si>
    <t>corelation answer are the 3 answer positive ,negative , and   no relation</t>
  </si>
  <si>
    <t>corelation answer are the 0 and1  out  of the  answer.</t>
  </si>
  <si>
    <t>ij</t>
  </si>
  <si>
    <t xml:space="preserve">advertising Expenture </t>
  </si>
  <si>
    <t>corelation</t>
  </si>
  <si>
    <t>covariance</t>
  </si>
  <si>
    <t>question_4</t>
  </si>
  <si>
    <t>Question : An investment analyst wants to assess the relationship between the stock prices of two companies to identify potential investment opportunities. Data: Let's consider the daily closing prices (in dollars) of Company A and Company B for a sample of 20 trading days: Company A: 45, 47, 48, 50, 52, 53, 55, 56, 58, 60, 62, 64, 65, 67, 69, 70, 72, 74, 76, 77 Company B: 52, 54, 55, 57, 59, 60, 61, 62, 64, 66, 67, 69, 71, 73, 74, 76, 78, 80, 82, 83 Question: Calculate the covariance between the stock prices of Company A and Company B. Interpret the value of the covariance and explain the nature of the relationship between the two stocks. 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</si>
  <si>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Company A: 45, 47, 48, 50, 52, 53, 55, 56, 58, 60, 62, 64, 65, 67, 69, 70, 72, 74, 76, 77 Company B: 52, 54, 55, 57, 59, 60, 61, 62, 64, 66, 67, 69, 71, 73, 74, 76, 78, 80, 82, 83</t>
  </si>
  <si>
    <t>company A</t>
  </si>
  <si>
    <r>
      <t>company</t>
    </r>
    <r>
      <rPr>
        <b/>
        <sz val="11"/>
        <color theme="1"/>
        <rFont val="Calibri"/>
        <family val="2"/>
        <scheme val="minor"/>
      </rPr>
      <t>B</t>
    </r>
  </si>
  <si>
    <t>corelation :-</t>
  </si>
  <si>
    <t>covariance is  the use for the two sample data are the find the actual sample are the close  two mean value and  actual data   covariance are the find this using the co-variance.</t>
  </si>
  <si>
    <t>covariance is the calculation for the  3 result are the aspect    negative ,positive ,  zero</t>
  </si>
  <si>
    <t>companyB</t>
  </si>
  <si>
    <t xml:space="preserve"> covariance :-</t>
  </si>
  <si>
    <t>question_3</t>
  </si>
  <si>
    <t>Question : A researcher wants to examine the relationship between the hours spent studying and the exam scores of a group of students. Data: Let's consider the number of hours spent studying and the corresponding exam scores for a sample of 30 students: Hours Spent Studying: 10, 12, 15, 18, 20, 22, 25, 28, 30, 32, 35, 38, 40, 42, 45, 48, 50, 52, 55, 58, 60, 62, 65, 68, 70, 72, 75, 78, 80, 82 Exam Scores: 60, 65, 70, 75, 80, 82, 85, 88, 90, 92, 93, 95, 96, 97, 98, 99, 100, 102, 105, 106, 107, 108, 110, 112, 114, 115, 116, 118, 120, 122 Question: Calculate the correlation coefficient between the hours spent studying and the exam scores. Interpret the value of the correlation coefficient and explain the nature of the relationship between studying hours and exam scores. 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</si>
  <si>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hours spent on Study</t>
  </si>
  <si>
    <t xml:space="preserve">examScore </t>
  </si>
  <si>
    <t>covariane :-</t>
  </si>
  <si>
    <t>Problem: A fair six-sided die is rolled 100 times. What is the probability of rolling exactly five 3's? Data: Number of rolls (n) = 100</t>
  </si>
  <si>
    <t>p</t>
  </si>
  <si>
    <t>q</t>
  </si>
  <si>
    <t>1-p</t>
  </si>
  <si>
    <t>numbers of Sucesss</t>
  </si>
  <si>
    <t>umber of Success</t>
  </si>
  <si>
    <t xml:space="preserve">six dieed die  </t>
  </si>
  <si>
    <t>number of Sucesss</t>
  </si>
  <si>
    <t xml:space="preserve">total trial </t>
  </si>
  <si>
    <t>probability</t>
  </si>
  <si>
    <t>cumalative</t>
  </si>
  <si>
    <t xml:space="preserve"> false </t>
  </si>
  <si>
    <t>What is the probability of rolling exactly five 3's?</t>
  </si>
  <si>
    <t>Problem: In a deck of 52 playing cards, five cards are randomly drawn without replacement. What is the probability of getting two hearts? Data: Number of hearts in the deck (N) = 13, Number of cards drawn (n) = 5</t>
  </si>
  <si>
    <t>Number of deck</t>
  </si>
  <si>
    <t xml:space="preserve">total number of card </t>
  </si>
  <si>
    <t>number of heart you draw</t>
  </si>
  <si>
    <t xml:space="preserve">question =3 </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</si>
  <si>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</si>
  <si>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binomial distribution</t>
  </si>
  <si>
    <t xml:space="preserve">binomial  distribution in use for the  random variables in two fix occurance  success and failure . </t>
  </si>
  <si>
    <t>binomail distribution is the fix  ocurrrance in   success ratio and  falure ratio..</t>
  </si>
  <si>
    <t>total number of triales</t>
  </si>
  <si>
    <t>k</t>
  </si>
  <si>
    <t xml:space="preserve"> the minimum of the trials </t>
  </si>
  <si>
    <t>10  trial s</t>
  </si>
  <si>
    <t xml:space="preserve"> succesfull outcome on a single trial ( 1 out of  the 4 1/4)</t>
  </si>
  <si>
    <t>(1/4)</t>
  </si>
  <si>
    <t xml:space="preserve"> randomly  askeing  the question   guesses  answer</t>
  </si>
  <si>
    <t>4. Problem: A bag contains 30 red balls, 20 blue balls, and 10 green balls. Three balls are drawn without replacement. What is the probability that all three balls are blue? Data: Number of blue balls in the bag (N) = 20, Number of balls drawn (n) = 3</t>
  </si>
  <si>
    <t>N</t>
  </si>
  <si>
    <t>ALL THE BLUE BALL</t>
  </si>
  <si>
    <t xml:space="preserve">BLUE BALL IN THE BAG </t>
  </si>
  <si>
    <t>NUMBER OF THE ITEM IN  BALL (3)</t>
  </si>
  <si>
    <t xml:space="preserve">TOTA LNUMBER OF THE BAG </t>
  </si>
  <si>
    <t>hypergeometric  distriburion is the  use for thre   n , k variable using the  find the hypergeometric distribution in this using    n= is the denoter by the   success ful outcome ratio and  k = is the denoted by  the  how many time  successful ratio.  Fi nd both the variable using  the find the  hyper geometric distrbution</t>
  </si>
  <si>
    <t>total randomly ball of the  bag</t>
  </si>
  <si>
    <t>_</t>
  </si>
  <si>
    <t>question =5</t>
  </si>
  <si>
    <t>binomial  distribution is the use for  the random variable  in  all the sample in the number of the success outcome  find the using the  binomial distribution.</t>
  </si>
  <si>
    <t xml:space="preserve">binomial distribution are the 3  </t>
  </si>
  <si>
    <t>K</t>
  </si>
  <si>
    <t xml:space="preserve"> number of the successs  outcome</t>
  </si>
  <si>
    <t>total number of the  tirals</t>
  </si>
  <si>
    <t xml:space="preserve">probability  of the singal trails </t>
  </si>
  <si>
    <t>(3/10)</t>
  </si>
  <si>
    <t>number of the  succefyll ratio</t>
  </si>
  <si>
    <t>continuoes  random variables :- continues variable is the stand for the    data is the definne for  the continues range .  Example</t>
  </si>
  <si>
    <t>0-9</t>
  </si>
  <si>
    <t>0-10</t>
  </si>
  <si>
    <t>0-11</t>
  </si>
  <si>
    <t xml:space="preserve">  continues distribution are the  basically 5 types </t>
  </si>
  <si>
    <t>normal distribution</t>
  </si>
  <si>
    <t xml:space="preserve"> exponential continues distribution</t>
  </si>
  <si>
    <t xml:space="preserve"> continules  uniform distribution </t>
  </si>
  <si>
    <t xml:space="preserve">umniform continues distribution are the   4 sub types </t>
  </si>
  <si>
    <t xml:space="preserve">gema </t>
  </si>
  <si>
    <t>biita</t>
  </si>
  <si>
    <t xml:space="preserve"> weibull distribution</t>
  </si>
  <si>
    <t xml:space="preserve"> exponential distribution</t>
  </si>
  <si>
    <t>data  ketlo mean value thi dur chhe te batave</t>
  </si>
  <si>
    <t xml:space="preserve">data  ketlo constant chhe defined ksre chhe </t>
  </si>
  <si>
    <t xml:space="preserve">data fix range ma hoy tyare ketolp mean  value the ketlo  diffrencr  chhe </t>
  </si>
  <si>
    <t xml:space="preserve"> jo model data failure  jaay to  life time system  distribution  chart change thai jai chhe …</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</si>
  <si>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</si>
  <si>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std</t>
  </si>
  <si>
    <t>x</t>
  </si>
  <si>
    <t>mean of height</t>
  </si>
  <si>
    <t xml:space="preserve">z = (x -  mean height ) / std </t>
  </si>
  <si>
    <t>(180 - 165 ) /10</t>
  </si>
  <si>
    <t xml:space="preserve">z score = </t>
  </si>
  <si>
    <t xml:space="preserve">height of the  three sold </t>
  </si>
  <si>
    <t>(180-165)/10</t>
  </si>
  <si>
    <t xml:space="preserve">total student in class  distributed </t>
  </si>
  <si>
    <t xml:space="preserve">question 2 </t>
  </si>
  <si>
    <t>2. Problem: The waiting times at a coffee shop are exponentially distributed with a mean of 5 minutes. What is the probability that a customer waits less than 3 minutes? Data: Mean waiting time (μ) = 5 minutes, Waiting time threshold (x) = 3 minute</t>
  </si>
  <si>
    <t xml:space="preserve">exponential distribution : - fix time range ma  how many probablility   ave teni fix    constant range ma ketlu outcome ave teno    define thai jashe ...  </t>
  </si>
  <si>
    <t>waiting  time  threhold</t>
  </si>
  <si>
    <t xml:space="preserve"> expontential para meters </t>
  </si>
  <si>
    <t xml:space="preserve"> mean  value</t>
  </si>
  <si>
    <t>(1/5)</t>
  </si>
  <si>
    <t>exponential parameter</t>
  </si>
  <si>
    <t>3. Problem: The lifetimes of a certain brand of light bulbs are normally distributed with a mean of 1000 hours and a standard deviation of 100 hours. What is the probability that a randomly selected light bulb lasts between 900 and 1100 hours?</t>
  </si>
  <si>
    <t>x1</t>
  </si>
  <si>
    <t xml:space="preserve"> lower limt lifetime range </t>
  </si>
  <si>
    <t>x2</t>
  </si>
  <si>
    <t xml:space="preserve">upper limit lifetime range </t>
  </si>
  <si>
    <t xml:space="preserve"> std </t>
  </si>
  <si>
    <t>z_lower</t>
  </si>
  <si>
    <t xml:space="preserve"> (900-1000)</t>
  </si>
  <si>
    <t xml:space="preserve">z_upper </t>
  </si>
  <si>
    <t>(1100-1000)</t>
  </si>
  <si>
    <t>z_probability  between</t>
  </si>
  <si>
    <t xml:space="preserve"> = cdf_uppper - cdf _lower </t>
  </si>
  <si>
    <t xml:space="preserve">light bulb is rhe  normally distributed the hours is </t>
  </si>
  <si>
    <t>4. Problem: The weights of apples in a basket follow a uniform distribution between 100 grams and 200 grams. What is the probability that a randomly selected apple weighs between 150 and 170 grams? Data: Weight range (lower limit x1, upper limit x2)</t>
  </si>
  <si>
    <t xml:space="preserve">uniform Distribution ::- </t>
  </si>
  <si>
    <t xml:space="preserve">is the use for the  fix range  constant range find the probablility population are the same   </t>
  </si>
  <si>
    <t xml:space="preserve">probabblie uniform distribution are the same  curved shave graph values </t>
  </si>
  <si>
    <t xml:space="preserve">a </t>
  </si>
  <si>
    <t>lower distribution</t>
  </si>
  <si>
    <t xml:space="preserve">b </t>
  </si>
  <si>
    <t>hifgher distribution</t>
  </si>
  <si>
    <t>random variables reprensting weight</t>
  </si>
  <si>
    <t>170-150</t>
  </si>
  <si>
    <t>distribution width</t>
  </si>
  <si>
    <t>200-100</t>
  </si>
  <si>
    <t>20/100</t>
  </si>
  <si>
    <t>\</t>
  </si>
  <si>
    <t xml:space="preserve">question - 5 </t>
  </si>
  <si>
    <t>5. Problem: In a football match, a player scores a goal with a 0.3 probability per shot. If the player takes 10 shots, what is the probability of scoring exactly three goals? Data: Number of shots (n) = 10, Probability of scoring per shot (p) = 0.3</t>
  </si>
  <si>
    <t xml:space="preserve">number of the  success goal </t>
  </si>
  <si>
    <t>probability success</t>
  </si>
  <si>
    <t xml:space="preserve">question= 6 </t>
  </si>
  <si>
    <t>1. Problem: A company sells smartphones, and the number of defects per batch follows a Poisson distribution with a mean of 2 defects. What is the probability of having exactly 3 defects in a randomly selected batch? Data: Mean number of defects (λ) = 2, Number of defects (x) = 3</t>
  </si>
  <si>
    <t xml:space="preserve">posion  distribution is the use for  the fix time duration  find the   probability of the   fix probability outcome </t>
  </si>
  <si>
    <t>posson distribution outcome are the  graph shapes is the  curve shape.</t>
  </si>
  <si>
    <t xml:space="preserve">possion distribution </t>
  </si>
  <si>
    <t xml:space="preserve">QUESTION = 7 </t>
  </si>
  <si>
    <t>2. Problem: In a game, a player has a 0.3 probability of winning each round. If the player plays 10 rounds, what is the probability of winning exactly 3 rounds? Data: Probability of winning (p) = 0.3, Number of rounds (n) = 10, Number of wins (x) = 3 Explanation: This problem also involves a discrete distribution (Binomial) because we are dealing with a fixed number of independent trials (rounds) with a probability of success (winning) in each trial. The Binomial distribution models the probability of achieving a certain number of successes in a fixed number of trials.</t>
  </si>
  <si>
    <t xml:space="preserve">number of the successs </t>
  </si>
  <si>
    <t>total number of the trails</t>
  </si>
  <si>
    <t>probability sucesses</t>
  </si>
  <si>
    <t>binomial distribution :-</t>
  </si>
  <si>
    <t>is the use for the  descrate distribution data in  fix  total sample of the data into success   outcome ratio  in defined using rhe  binomial destribution .</t>
  </si>
  <si>
    <t>total player wining chances .</t>
  </si>
  <si>
    <t>question _8</t>
  </si>
  <si>
    <t>3. Problem: A six-sided fair die is rolled three times. What is the probability of obtaining at least one 6? Data: Number of rolls (n) = 3 Explanation: Here, we have a discrete distribution (Geometric) since we are interested in the number of trials required to achieve the first success (rolling a 6) in a sequence of independent trials. The Geometric distribution models the probability of achieving the first success on a specific trial.</t>
  </si>
  <si>
    <t xml:space="preserve">probabilty of success </t>
  </si>
  <si>
    <t>number of the rolls</t>
  </si>
  <si>
    <t>(1/6)</t>
  </si>
  <si>
    <t>number of  the trials</t>
  </si>
  <si>
    <t xml:space="preserve">six dieded rolled probabilty </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</si>
  <si>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t>
  </si>
  <si>
    <t>z_lower (140-150)/10</t>
  </si>
  <si>
    <t>z_upper(160-150)/10</t>
  </si>
  <si>
    <t>upper</t>
  </si>
  <si>
    <t>lower</t>
  </si>
  <si>
    <t>z-score  lower</t>
  </si>
  <si>
    <t>question_</t>
  </si>
  <si>
    <t>Problem: The lifetimes of a certain brand of light bulbs are exponentially distributed with a mean of 1000 hours. What is the probability that a randomly selected light bulb lasts more than 900 hours? Data: Mean lifetime (μ) = 1000 hours, Lifetime threshold (x) = 900 hours Explanation: Here, we have a continuous distribution (Exponential) since we are interested in the time until an event (light bulb failure) occurs. The Exponential distribution models the probability of waiting a certain amount of time before the event happens.</t>
  </si>
  <si>
    <t>expoential parameter</t>
  </si>
  <si>
    <t>life time brand  light bult distribution</t>
  </si>
  <si>
    <t xml:space="preserve">question_ </t>
  </si>
  <si>
    <t xml:space="preserve">confidence interval  problems </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</si>
  <si>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 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t>
  </si>
  <si>
    <t>x(mean)</t>
  </si>
  <si>
    <t xml:space="preserve">confidence level </t>
  </si>
  <si>
    <t xml:space="preserve">degrees of freedom </t>
  </si>
  <si>
    <t>100-1</t>
  </si>
  <si>
    <t>confidence level is  it will be the  always  n-1</t>
  </si>
  <si>
    <t>standard error</t>
  </si>
  <si>
    <t>t-score(95% confidence  ratio</t>
  </si>
  <si>
    <t>Confidence Level(95.0%)</t>
  </si>
  <si>
    <t>upper cl(95%)</t>
  </si>
  <si>
    <t>lower cl(95%)</t>
  </si>
  <si>
    <t xml:space="preserve">upper cl = mean - cofindence level of the data </t>
  </si>
  <si>
    <t xml:space="preserve">lower cl = mean = confidence level of  the data </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</si>
  <si>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 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</si>
  <si>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Confidence Level(90.0%)</t>
  </si>
  <si>
    <t>upper  level ul values is  (90% data  confidence level)</t>
  </si>
  <si>
    <t>lower  level ul values is  (90% data  confidence level)</t>
  </si>
  <si>
    <t>mean + confidence level values</t>
  </si>
  <si>
    <t>mean - confidence level values</t>
  </si>
  <si>
    <t xml:space="preserve">hypothesis testing </t>
  </si>
  <si>
    <t xml:space="preserve">question _1 </t>
  </si>
  <si>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 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</si>
  <si>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t>method -1</t>
  </si>
  <si>
    <t xml:space="preserve">method -2 </t>
  </si>
  <si>
    <t>using t-test  two sample assumming equal variances ….</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</si>
  <si>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</si>
  <si>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</si>
  <si>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</si>
  <si>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</si>
  <si>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</si>
  <si>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</si>
  <si>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</si>
  <si>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</si>
  <si>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</si>
  <si>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</si>
  <si>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</si>
  <si>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t-test  paired the two sample for means using hypothesis testing</t>
  </si>
  <si>
    <t>subject _id</t>
  </si>
  <si>
    <t>pretest</t>
  </si>
  <si>
    <t>postest</t>
  </si>
  <si>
    <t>t-Test: Two-Sample Assuming Unequal Variances</t>
  </si>
  <si>
    <t>Variable 1</t>
  </si>
  <si>
    <t>Variable 2</t>
  </si>
  <si>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510 grams, Sample standard deviation (s) = 20 grams, Population mean (μ) = 500 grams 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</si>
  <si>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 xml:space="preserve">sample mean </t>
  </si>
  <si>
    <t>significance level</t>
  </si>
  <si>
    <t>y</t>
  </si>
  <si>
    <t>t-Test: Paired Two Sample for Means</t>
  </si>
  <si>
    <t>Pearson Correlation</t>
  </si>
  <si>
    <t xml:space="preserve">examaple queastion </t>
  </si>
  <si>
    <t xml:space="preserve">1000 bulb  probability </t>
  </si>
  <si>
    <t xml:space="preserve">1100 bulb probability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</si>
</sst>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b/>
      <i/>
      <sz val="11"/>
      <name val="Calibri"/>
      <family val="2"/>
      <scheme val="minor"/>
    </font>
    <font>
      <i/>
      <u/>
      <sz val="11"/>
      <color theme="1"/>
      <name val="Calibri"/>
      <family val="2"/>
      <scheme val="minor"/>
    </font>
    <font>
      <b/>
      <sz val="18"/>
      <color rgb="FF9C0006"/>
      <name val="Calibri"/>
      <family val="2"/>
      <scheme val="minor"/>
    </font>
    <font>
      <sz val="18"/>
      <color rgb="FF9C0006"/>
      <name val="Calibri"/>
      <family val="2"/>
      <scheme val="minor"/>
    </font>
    <font>
      <sz val="11"/>
      <color theme="4" tint="0.79998168889431442"/>
      <name val="Calibri"/>
      <family val="2"/>
      <scheme val="minor"/>
    </font>
    <font>
      <i/>
      <sz val="11"/>
      <color theme="1"/>
      <name val="Calibri"/>
      <family val="2"/>
      <scheme val="minor"/>
    </font>
    <font>
      <b/>
      <sz val="11"/>
      <color theme="1"/>
      <name val="Calibri"/>
      <family val="2"/>
      <scheme val="minor"/>
    </font>
    <font>
      <sz val="10"/>
      <color theme="1"/>
      <name val="Segoe UI"/>
      <family val="2"/>
    </font>
    <font>
      <sz val="24"/>
      <color theme="1"/>
      <name val="Calibri"/>
      <family val="2"/>
      <scheme val="minor"/>
    </font>
  </fonts>
  <fills count="2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8"/>
      </patternFill>
    </fill>
    <fill>
      <patternFill patternType="solid">
        <fgColor rgb="FFFFFF00"/>
        <bgColor indexed="64"/>
      </patternFill>
    </fill>
    <fill>
      <patternFill patternType="solid">
        <fgColor theme="4"/>
        <bgColor indexed="64"/>
      </patternFill>
    </fill>
    <fill>
      <patternFill patternType="solid">
        <fgColor rgb="FFABF1BF"/>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5"/>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right/>
      <top style="medium">
        <color indexed="64"/>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1" fillId="7" borderId="3" applyNumberFormat="0" applyFont="0" applyAlignment="0" applyProtection="0"/>
    <xf numFmtId="0" fontId="8" fillId="8" borderId="0" applyNumberFormat="0" applyBorder="0" applyAlignment="0" applyProtection="0"/>
  </cellStyleXfs>
  <cellXfs count="62">
    <xf numFmtId="0" fontId="0" fillId="0" borderId="0" xfId="0"/>
    <xf numFmtId="0" fontId="3" fillId="3" borderId="0" xfId="2"/>
    <xf numFmtId="0" fontId="2" fillId="2" borderId="0" xfId="1"/>
    <xf numFmtId="0" fontId="4" fillId="4" borderId="0" xfId="3"/>
    <xf numFmtId="0" fontId="0" fillId="9" borderId="0" xfId="0" applyFill="1"/>
    <xf numFmtId="0" fontId="7" fillId="10" borderId="0" xfId="0" applyFont="1" applyFill="1"/>
    <xf numFmtId="0" fontId="9" fillId="10" borderId="0" xfId="0" applyFont="1" applyFill="1"/>
    <xf numFmtId="0" fontId="0" fillId="10" borderId="0" xfId="0" applyFill="1"/>
    <xf numFmtId="0" fontId="0" fillId="0" borderId="0" xfId="0" applyFill="1"/>
    <xf numFmtId="0" fontId="4" fillId="11" borderId="0" xfId="3" applyFill="1"/>
    <xf numFmtId="0" fontId="0" fillId="11" borderId="0" xfId="0" applyFill="1"/>
    <xf numFmtId="0" fontId="0" fillId="7" borderId="3" xfId="6" applyFont="1"/>
    <xf numFmtId="0" fontId="5" fillId="5" borderId="1" xfId="4"/>
    <xf numFmtId="0" fontId="6" fillId="6" borderId="2" xfId="5"/>
    <xf numFmtId="0" fontId="12" fillId="11" borderId="0" xfId="2" applyFont="1" applyFill="1"/>
    <xf numFmtId="0" fontId="11" fillId="7" borderId="3" xfId="6" applyFont="1"/>
    <xf numFmtId="0" fontId="3" fillId="7" borderId="3" xfId="6" applyFont="1"/>
    <xf numFmtId="0" fontId="3" fillId="3" borderId="0" xfId="2" applyAlignment="1">
      <alignment vertical="center"/>
    </xf>
    <xf numFmtId="0" fontId="8" fillId="8" borderId="0" xfId="7"/>
    <xf numFmtId="0" fontId="8" fillId="8" borderId="0" xfId="7" applyAlignment="1">
      <alignment horizontal="left" vertical="center" indent="5"/>
    </xf>
    <xf numFmtId="0" fontId="0" fillId="7" borderId="3" xfId="6" applyFont="1" applyAlignment="1">
      <alignment horizontal="left" vertical="center" indent="2"/>
    </xf>
    <xf numFmtId="0" fontId="2" fillId="2" borderId="0" xfId="1" applyAlignment="1">
      <alignment vertical="center"/>
    </xf>
    <xf numFmtId="0" fontId="2" fillId="2" borderId="0" xfId="1" applyAlignment="1">
      <alignment horizontal="left" vertical="center" indent="5"/>
    </xf>
    <xf numFmtId="0" fontId="13" fillId="11" borderId="0" xfId="2" applyFont="1" applyFill="1"/>
    <xf numFmtId="0" fontId="4" fillId="4" borderId="0" xfId="3" applyAlignment="1">
      <alignment horizontal="left" vertical="center" indent="2"/>
    </xf>
    <xf numFmtId="0" fontId="4" fillId="4" borderId="0" xfId="3" applyAlignment="1">
      <alignment vertical="center"/>
    </xf>
    <xf numFmtId="0" fontId="4" fillId="4" borderId="0" xfId="3" applyAlignment="1">
      <alignment horizontal="left" vertical="center" indent="5"/>
    </xf>
    <xf numFmtId="0" fontId="2" fillId="2" borderId="0" xfId="1" applyAlignment="1">
      <alignment horizontal="left" vertical="center" indent="2"/>
    </xf>
    <xf numFmtId="0" fontId="3" fillId="3" borderId="0" xfId="2" applyAlignment="1">
      <alignment horizontal="left" vertical="center" indent="5"/>
    </xf>
    <xf numFmtId="0" fontId="2" fillId="2" borderId="0" xfId="1" applyAlignment="1">
      <alignment horizontal="left" vertical="center" indent="15"/>
    </xf>
    <xf numFmtId="0" fontId="14" fillId="0" borderId="0" xfId="0" applyFont="1"/>
    <xf numFmtId="0" fontId="7" fillId="9" borderId="0" xfId="0" applyFont="1" applyFill="1"/>
    <xf numFmtId="0" fontId="0" fillId="0" borderId="0" xfId="0" applyFill="1" applyBorder="1" applyAlignment="1"/>
    <xf numFmtId="0" fontId="0" fillId="0" borderId="4" xfId="0" applyFill="1" applyBorder="1" applyAlignment="1"/>
    <xf numFmtId="0" fontId="15" fillId="0" borderId="5" xfId="0" applyFont="1" applyFill="1" applyBorder="1" applyAlignment="1">
      <alignment horizontal="centerContinuous"/>
    </xf>
    <xf numFmtId="0" fontId="15" fillId="0" borderId="5" xfId="0" applyFont="1" applyFill="1" applyBorder="1" applyAlignment="1">
      <alignment horizontal="center"/>
    </xf>
    <xf numFmtId="0" fontId="0" fillId="12" borderId="0" xfId="0" applyFill="1"/>
    <xf numFmtId="0" fontId="0" fillId="12" borderId="0" xfId="0" applyFill="1" applyBorder="1" applyAlignment="1"/>
    <xf numFmtId="0" fontId="0" fillId="13" borderId="0" xfId="0" applyFill="1"/>
    <xf numFmtId="0" fontId="0" fillId="13" borderId="0" xfId="0" applyFill="1" applyBorder="1" applyAlignment="1"/>
    <xf numFmtId="0" fontId="0" fillId="14" borderId="0" xfId="0" applyFill="1"/>
    <xf numFmtId="0" fontId="15" fillId="7" borderId="3" xfId="6" applyFont="1" applyAlignment="1">
      <alignment horizontal="centerContinuous"/>
    </xf>
    <xf numFmtId="0" fontId="0" fillId="7" borderId="3" xfId="6" applyFont="1" applyAlignment="1"/>
    <xf numFmtId="0" fontId="7" fillId="10" borderId="0" xfId="0" applyFont="1" applyFill="1" applyBorder="1" applyAlignment="1"/>
    <xf numFmtId="0" fontId="15" fillId="9" borderId="5" xfId="0" applyFont="1" applyFill="1" applyBorder="1" applyAlignment="1">
      <alignment horizontal="center"/>
    </xf>
    <xf numFmtId="0" fontId="0" fillId="9" borderId="0" xfId="0" applyFill="1" applyBorder="1" applyAlignment="1"/>
    <xf numFmtId="0" fontId="0" fillId="9" borderId="4" xfId="0" applyFill="1" applyBorder="1" applyAlignment="1"/>
    <xf numFmtId="0" fontId="15" fillId="15" borderId="5" xfId="0" applyFont="1" applyFill="1" applyBorder="1" applyAlignment="1">
      <alignment horizontal="center"/>
    </xf>
    <xf numFmtId="0" fontId="0" fillId="15" borderId="0" xfId="0" applyFill="1" applyBorder="1" applyAlignment="1"/>
    <xf numFmtId="0" fontId="0" fillId="15" borderId="4" xfId="0" applyFill="1" applyBorder="1" applyAlignment="1"/>
    <xf numFmtId="0" fontId="0" fillId="15" borderId="0" xfId="0" applyFill="1"/>
    <xf numFmtId="16" fontId="0" fillId="0" borderId="0" xfId="0" applyNumberFormat="1"/>
    <xf numFmtId="0" fontId="0" fillId="16" borderId="0" xfId="0" applyFill="1"/>
    <xf numFmtId="17" fontId="0" fillId="0" borderId="0" xfId="0" applyNumberFormat="1"/>
    <xf numFmtId="0" fontId="18" fillId="0" borderId="0" xfId="0" applyFont="1"/>
    <xf numFmtId="0" fontId="17" fillId="16" borderId="0" xfId="0" applyFont="1" applyFill="1"/>
    <xf numFmtId="0" fontId="0" fillId="17" borderId="0" xfId="0" applyFill="1"/>
    <xf numFmtId="0" fontId="18" fillId="9" borderId="0" xfId="0" applyFont="1" applyFill="1"/>
    <xf numFmtId="9" fontId="0" fillId="0" borderId="0" xfId="0" applyNumberFormat="1"/>
    <xf numFmtId="0" fontId="0" fillId="18" borderId="0" xfId="0" applyFill="1"/>
    <xf numFmtId="0" fontId="0" fillId="19" borderId="0" xfId="0" applyFill="1"/>
    <xf numFmtId="0" fontId="10" fillId="10" borderId="0" xfId="3" applyFont="1" applyFill="1" applyAlignment="1">
      <alignment horizontal="center"/>
    </xf>
  </cellXfs>
  <cellStyles count="8">
    <cellStyle name="Accent5" xfId="7" builtinId="45"/>
    <cellStyle name="Bad" xfId="2" builtinId="27"/>
    <cellStyle name="Check Cell" xfId="5" builtinId="23"/>
    <cellStyle name="Good" xfId="1" builtinId="26"/>
    <cellStyle name="Input" xfId="4" builtinId="20"/>
    <cellStyle name="Neutral" xfId="3" builtinId="28"/>
    <cellStyle name="Normal" xfId="0" builtinId="0"/>
    <cellStyle name="Note" xfId="6" builtinId="10"/>
  </cellStyles>
  <dxfs count="0"/>
  <tableStyles count="0" defaultTableStyle="TableStyleMedium2" defaultPivotStyle="PivotStyleLight16"/>
  <colors>
    <mruColors>
      <color rgb="FFABF1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'CORELATION AND COVRAINCE'!$G$35</c:f>
              <c:strCache>
                <c:ptCount val="1"/>
                <c:pt idx="0">
                  <c:v>ADVERTISING Expenture</c:v>
                </c:pt>
              </c:strCache>
            </c:strRef>
          </c:tx>
          <c:spPr>
            <a:solidFill>
              <a:schemeClr val="accent1"/>
            </a:solidFill>
            <a:ln>
              <a:noFill/>
            </a:ln>
            <a:effectLst/>
          </c:spPr>
          <c:invertIfNegative val="0"/>
          <c:cat>
            <c:strRef>
              <c:f>'CORELATION AND COVRAINCE'!$F$36:$F$37</c:f>
              <c:strCache>
                <c:ptCount val="2"/>
                <c:pt idx="0">
                  <c:v>ADVERTISING Expenture</c:v>
                </c:pt>
                <c:pt idx="1">
                  <c:v>salesrevenue</c:v>
                </c:pt>
              </c:strCache>
            </c:strRef>
          </c:cat>
          <c:val>
            <c:numRef>
              <c:f>'CORELATION AND COVRAINCE'!$G$36:$G$37</c:f>
              <c:numCache>
                <c:formatCode>General</c:formatCode>
                <c:ptCount val="2"/>
                <c:pt idx="0">
                  <c:v>75.854166666666671</c:v>
                </c:pt>
                <c:pt idx="1">
                  <c:v>576.02083333333337</c:v>
                </c:pt>
              </c:numCache>
            </c:numRef>
          </c:val>
          <c:extLst>
            <c:ext xmlns:c16="http://schemas.microsoft.com/office/drawing/2014/chart" uri="{C3380CC4-5D6E-409C-BE32-E72D297353CC}">
              <c16:uniqueId val="{00000000-161B-4259-B76E-1665F3EC26C4}"/>
            </c:ext>
          </c:extLst>
        </c:ser>
        <c:dLbls>
          <c:showLegendKey val="0"/>
          <c:showVal val="0"/>
          <c:showCatName val="0"/>
          <c:showSerName val="0"/>
          <c:showPercent val="0"/>
          <c:showBubbleSize val="0"/>
        </c:dLbls>
        <c:gapWidth val="219"/>
        <c:overlap val="-27"/>
        <c:axId val="1645033872"/>
        <c:axId val="1645034288"/>
      </c:barChart>
      <c:lineChart>
        <c:grouping val="standard"/>
        <c:varyColors val="0"/>
        <c:ser>
          <c:idx val="1"/>
          <c:order val="1"/>
          <c:tx>
            <c:strRef>
              <c:f>'CORELATION AND COVRAINCE'!$H$35</c:f>
              <c:strCache>
                <c:ptCount val="1"/>
                <c:pt idx="0">
                  <c:v>salesrevenue</c:v>
                </c:pt>
              </c:strCache>
            </c:strRef>
          </c:tx>
          <c:spPr>
            <a:ln w="28575" cap="rnd">
              <a:solidFill>
                <a:schemeClr val="accent2"/>
              </a:solidFill>
              <a:round/>
            </a:ln>
            <a:effectLst/>
          </c:spPr>
          <c:marker>
            <c:symbol val="none"/>
          </c:marker>
          <c:cat>
            <c:strRef>
              <c:f>'CORELATION AND COVRAINCE'!$F$36:$F$37</c:f>
              <c:strCache>
                <c:ptCount val="2"/>
                <c:pt idx="0">
                  <c:v>ADVERTISING Expenture</c:v>
                </c:pt>
                <c:pt idx="1">
                  <c:v>salesrevenue</c:v>
                </c:pt>
              </c:strCache>
            </c:strRef>
          </c:cat>
          <c:val>
            <c:numRef>
              <c:f>'CORELATION AND COVRAINCE'!$H$36:$H$37</c:f>
              <c:numCache>
                <c:formatCode>General</c:formatCode>
                <c:ptCount val="2"/>
                <c:pt idx="1">
                  <c:v>11222.076388888889</c:v>
                </c:pt>
              </c:numCache>
            </c:numRef>
          </c:val>
          <c:smooth val="0"/>
          <c:extLst>
            <c:ext xmlns:c16="http://schemas.microsoft.com/office/drawing/2014/chart" uri="{C3380CC4-5D6E-409C-BE32-E72D297353CC}">
              <c16:uniqueId val="{00000001-161B-4259-B76E-1665F3EC26C4}"/>
            </c:ext>
          </c:extLst>
        </c:ser>
        <c:dLbls>
          <c:showLegendKey val="0"/>
          <c:showVal val="0"/>
          <c:showCatName val="0"/>
          <c:showSerName val="0"/>
          <c:showPercent val="0"/>
          <c:showBubbleSize val="0"/>
        </c:dLbls>
        <c:marker val="1"/>
        <c:smooth val="0"/>
        <c:axId val="2038985712"/>
        <c:axId val="1645035120"/>
      </c:lineChart>
      <c:catAx>
        <c:axId val="164503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34288"/>
        <c:crosses val="autoZero"/>
        <c:auto val="1"/>
        <c:lblAlgn val="ctr"/>
        <c:lblOffset val="100"/>
        <c:noMultiLvlLbl val="0"/>
      </c:catAx>
      <c:valAx>
        <c:axId val="16450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33872"/>
        <c:crosses val="autoZero"/>
        <c:crossBetween val="between"/>
      </c:valAx>
      <c:valAx>
        <c:axId val="16450351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85712"/>
        <c:crosses val="max"/>
        <c:crossBetween val="between"/>
      </c:valAx>
      <c:catAx>
        <c:axId val="2038985712"/>
        <c:scaling>
          <c:orientation val="minMax"/>
        </c:scaling>
        <c:delete val="1"/>
        <c:axPos val="b"/>
        <c:numFmt formatCode="General" sourceLinked="1"/>
        <c:majorTickMark val="none"/>
        <c:minorTickMark val="none"/>
        <c:tickLblPos val="nextTo"/>
        <c:crossAx val="1645035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'CORELATION AND COVRAINCE'!$G$78:$G$79</c:f>
              <c:strCache>
                <c:ptCount val="2"/>
                <c:pt idx="0">
                  <c:v> covariance :-</c:v>
                </c:pt>
                <c:pt idx="1">
                  <c:v>company A</c:v>
                </c:pt>
              </c:strCache>
            </c:strRef>
          </c:tx>
          <c:spPr>
            <a:solidFill>
              <a:schemeClr val="accent1"/>
            </a:solidFill>
            <a:ln>
              <a:noFill/>
            </a:ln>
            <a:effectLst/>
          </c:spPr>
          <c:invertIfNegative val="0"/>
          <c:cat>
            <c:strRef>
              <c:f>'CORELATION AND COVRAINCE'!$F$80:$F$81</c:f>
              <c:strCache>
                <c:ptCount val="2"/>
                <c:pt idx="0">
                  <c:v>company A</c:v>
                </c:pt>
                <c:pt idx="1">
                  <c:v>companyB</c:v>
                </c:pt>
              </c:strCache>
            </c:strRef>
          </c:cat>
          <c:val>
            <c:numRef>
              <c:f>'CORELATION AND COVRAINCE'!$G$80:$G$81</c:f>
              <c:numCache>
                <c:formatCode>General</c:formatCode>
                <c:ptCount val="2"/>
                <c:pt idx="0">
                  <c:v>586.7177734375</c:v>
                </c:pt>
                <c:pt idx="1">
                  <c:v>3104.7138671875</c:v>
                </c:pt>
              </c:numCache>
            </c:numRef>
          </c:val>
          <c:extLst>
            <c:ext xmlns:c16="http://schemas.microsoft.com/office/drawing/2014/chart" uri="{C3380CC4-5D6E-409C-BE32-E72D297353CC}">
              <c16:uniqueId val="{00000000-FD39-4B77-8262-A0AC77330A22}"/>
            </c:ext>
          </c:extLst>
        </c:ser>
        <c:ser>
          <c:idx val="1"/>
          <c:order val="1"/>
          <c:tx>
            <c:strRef>
              <c:f>'CORELATION AND COVRAINCE'!$H$78:$H$79</c:f>
              <c:strCache>
                <c:ptCount val="2"/>
                <c:pt idx="0">
                  <c:v> covariance :-</c:v>
                </c:pt>
                <c:pt idx="1">
                  <c:v>companyB</c:v>
                </c:pt>
              </c:strCache>
            </c:strRef>
          </c:tx>
          <c:spPr>
            <a:solidFill>
              <a:schemeClr val="accent2"/>
            </a:solidFill>
            <a:ln>
              <a:noFill/>
            </a:ln>
            <a:effectLst/>
          </c:spPr>
          <c:invertIfNegative val="0"/>
          <c:cat>
            <c:strRef>
              <c:f>'CORELATION AND COVRAINCE'!$F$80:$F$81</c:f>
              <c:strCache>
                <c:ptCount val="2"/>
                <c:pt idx="0">
                  <c:v>company A</c:v>
                </c:pt>
                <c:pt idx="1">
                  <c:v>companyB</c:v>
                </c:pt>
              </c:strCache>
            </c:strRef>
          </c:cat>
          <c:val>
            <c:numRef>
              <c:f>'CORELATION AND COVRAINCE'!$H$80:$H$81</c:f>
              <c:numCache>
                <c:formatCode>General</c:formatCode>
                <c:ptCount val="2"/>
                <c:pt idx="1">
                  <c:v>64501.2568359375</c:v>
                </c:pt>
              </c:numCache>
            </c:numRef>
          </c:val>
          <c:extLst>
            <c:ext xmlns:c16="http://schemas.microsoft.com/office/drawing/2014/chart" uri="{C3380CC4-5D6E-409C-BE32-E72D297353CC}">
              <c16:uniqueId val="{00000001-FD39-4B77-8262-A0AC77330A22}"/>
            </c:ext>
          </c:extLst>
        </c:ser>
        <c:dLbls>
          <c:showLegendKey val="0"/>
          <c:showVal val="0"/>
          <c:showCatName val="0"/>
          <c:showSerName val="0"/>
          <c:showPercent val="0"/>
          <c:showBubbleSize val="0"/>
        </c:dLbls>
        <c:gapWidth val="219"/>
        <c:overlap val="-27"/>
        <c:axId val="2042411344"/>
        <c:axId val="1742441120"/>
      </c:barChart>
      <c:catAx>
        <c:axId val="20424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41120"/>
        <c:crosses val="autoZero"/>
        <c:auto val="1"/>
        <c:lblAlgn val="ctr"/>
        <c:lblOffset val="100"/>
        <c:noMultiLvlLbl val="0"/>
      </c:catAx>
      <c:valAx>
        <c:axId val="174244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1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06041119860017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'CORELATION AND COVRAINCE'!$I$123</c:f>
              <c:strCache>
                <c:ptCount val="1"/>
                <c:pt idx="0">
                  <c:v>hours spent on Study</c:v>
                </c:pt>
              </c:strCache>
            </c:strRef>
          </c:tx>
          <c:spPr>
            <a:solidFill>
              <a:schemeClr val="accent1"/>
            </a:solidFill>
            <a:ln>
              <a:noFill/>
            </a:ln>
            <a:effectLst/>
          </c:spPr>
          <c:invertIfNegative val="0"/>
          <c:cat>
            <c:strRef>
              <c:f>'CORELATION AND COVRAINCE'!$H$124:$H$125</c:f>
              <c:strCache>
                <c:ptCount val="2"/>
                <c:pt idx="0">
                  <c:v>hours spent on Study</c:v>
                </c:pt>
                <c:pt idx="1">
                  <c:v>examScore </c:v>
                </c:pt>
              </c:strCache>
            </c:strRef>
          </c:cat>
          <c:val>
            <c:numRef>
              <c:f>'CORELATION AND COVRAINCE'!$I$124:$I$125</c:f>
              <c:numCache>
                <c:formatCode>General</c:formatCode>
                <c:ptCount val="2"/>
                <c:pt idx="0">
                  <c:v>629.99609375</c:v>
                </c:pt>
                <c:pt idx="1">
                  <c:v>24.185546875</c:v>
                </c:pt>
              </c:numCache>
            </c:numRef>
          </c:val>
          <c:extLst>
            <c:ext xmlns:c16="http://schemas.microsoft.com/office/drawing/2014/chart" uri="{C3380CC4-5D6E-409C-BE32-E72D297353CC}">
              <c16:uniqueId val="{00000000-98D4-4F7F-AF5F-6C7C21A35CB1}"/>
            </c:ext>
          </c:extLst>
        </c:ser>
        <c:dLbls>
          <c:showLegendKey val="0"/>
          <c:showVal val="0"/>
          <c:showCatName val="0"/>
          <c:showSerName val="0"/>
          <c:showPercent val="0"/>
          <c:showBubbleSize val="0"/>
        </c:dLbls>
        <c:gapWidth val="219"/>
        <c:overlap val="-27"/>
        <c:axId val="171955600"/>
        <c:axId val="171950192"/>
      </c:barChart>
      <c:lineChart>
        <c:grouping val="standard"/>
        <c:varyColors val="0"/>
        <c:ser>
          <c:idx val="1"/>
          <c:order val="1"/>
          <c:tx>
            <c:strRef>
              <c:f>'CORELATION AND COVRAINCE'!$J$123</c:f>
              <c:strCache>
                <c:ptCount val="1"/>
                <c:pt idx="0">
                  <c:v>examScore </c:v>
                </c:pt>
              </c:strCache>
            </c:strRef>
          </c:tx>
          <c:spPr>
            <a:ln w="28575" cap="rnd">
              <a:solidFill>
                <a:schemeClr val="accent2"/>
              </a:solidFill>
              <a:round/>
            </a:ln>
            <a:effectLst/>
          </c:spPr>
          <c:marker>
            <c:symbol val="none"/>
          </c:marker>
          <c:cat>
            <c:strRef>
              <c:f>'CORELATION AND COVRAINCE'!$H$124:$H$125</c:f>
              <c:strCache>
                <c:ptCount val="2"/>
                <c:pt idx="0">
                  <c:v>hours spent on Study</c:v>
                </c:pt>
                <c:pt idx="1">
                  <c:v>examScore </c:v>
                </c:pt>
              </c:strCache>
            </c:strRef>
          </c:cat>
          <c:val>
            <c:numRef>
              <c:f>'CORELATION AND COVRAINCE'!$J$124:$J$125</c:f>
              <c:numCache>
                <c:formatCode>General</c:formatCode>
                <c:ptCount val="2"/>
                <c:pt idx="1">
                  <c:v>401.4833984375</c:v>
                </c:pt>
              </c:numCache>
            </c:numRef>
          </c:val>
          <c:smooth val="0"/>
          <c:extLst>
            <c:ext xmlns:c16="http://schemas.microsoft.com/office/drawing/2014/chart" uri="{C3380CC4-5D6E-409C-BE32-E72D297353CC}">
              <c16:uniqueId val="{00000001-98D4-4F7F-AF5F-6C7C21A35CB1}"/>
            </c:ext>
          </c:extLst>
        </c:ser>
        <c:dLbls>
          <c:showLegendKey val="0"/>
          <c:showVal val="0"/>
          <c:showCatName val="0"/>
          <c:showSerName val="0"/>
          <c:showPercent val="0"/>
          <c:showBubbleSize val="0"/>
        </c:dLbls>
        <c:marker val="1"/>
        <c:smooth val="0"/>
        <c:axId val="171955600"/>
        <c:axId val="171950192"/>
      </c:lineChart>
      <c:catAx>
        <c:axId val="1719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0192"/>
        <c:crosses val="autoZero"/>
        <c:auto val="1"/>
        <c:lblAlgn val="ctr"/>
        <c:lblOffset val="100"/>
        <c:noMultiLvlLbl val="0"/>
      </c:catAx>
      <c:valAx>
        <c:axId val="17195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5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'descreate random variables'!$B$100:$B$103</c:f>
              <c:numCache>
                <c:formatCode>General</c:formatCode>
                <c:ptCount val="4"/>
                <c:pt idx="0">
                  <c:v>0</c:v>
                </c:pt>
                <c:pt idx="1">
                  <c:v>0</c:v>
                </c:pt>
                <c:pt idx="2">
                  <c:v>0</c:v>
                </c:pt>
                <c:pt idx="3">
                  <c:v>0.26682793200000005</c:v>
                </c:pt>
              </c:numCache>
            </c:numRef>
          </c:val>
          <c:extLst>
            <c:ext xmlns:c16="http://schemas.microsoft.com/office/drawing/2014/chart" uri="{C3380CC4-5D6E-409C-BE32-E72D297353CC}">
              <c16:uniqueId val="{00000000-F807-4500-9430-585B71F118B6}"/>
            </c:ext>
          </c:extLst>
        </c:ser>
        <c:dLbls>
          <c:showLegendKey val="0"/>
          <c:showVal val="0"/>
          <c:showCatName val="0"/>
          <c:showSerName val="0"/>
          <c:showPercent val="0"/>
          <c:showBubbleSize val="0"/>
        </c:dLbls>
        <c:gapWidth val="219"/>
        <c:overlap val="-27"/>
        <c:axId val="1158906495"/>
        <c:axId val="1158915231"/>
      </c:barChart>
      <c:lineChart>
        <c:grouping val="standard"/>
        <c:varyColors val="0"/>
        <c:ser>
          <c:idx val="1"/>
          <c:order val="1"/>
          <c:spPr>
            <a:ln w="28575" cap="rnd">
              <a:solidFill>
                <a:schemeClr val="accent2"/>
              </a:solidFill>
              <a:round/>
            </a:ln>
            <a:effectLst/>
          </c:spPr>
          <c:marker>
            <c:symbol val="none"/>
          </c:marker>
          <c:val>
            <c:numRef>
              <c:f>'descreate random variables'!$C$100:$C$103</c:f>
              <c:numCache>
                <c:formatCode>General</c:formatCode>
                <c:ptCount val="4"/>
                <c:pt idx="0">
                  <c:v>3</c:v>
                </c:pt>
                <c:pt idx="1">
                  <c:v>10</c:v>
                </c:pt>
                <c:pt idx="2">
                  <c:v>0.3</c:v>
                </c:pt>
              </c:numCache>
            </c:numRef>
          </c:val>
          <c:smooth val="0"/>
          <c:extLst>
            <c:ext xmlns:c16="http://schemas.microsoft.com/office/drawing/2014/chart" uri="{C3380CC4-5D6E-409C-BE32-E72D297353CC}">
              <c16:uniqueId val="{00000001-F807-4500-9430-585B71F118B6}"/>
            </c:ext>
          </c:extLst>
        </c:ser>
        <c:dLbls>
          <c:showLegendKey val="0"/>
          <c:showVal val="0"/>
          <c:showCatName val="0"/>
          <c:showSerName val="0"/>
          <c:showPercent val="0"/>
          <c:showBubbleSize val="0"/>
        </c:dLbls>
        <c:marker val="1"/>
        <c:smooth val="0"/>
        <c:axId val="1158906495"/>
        <c:axId val="1158915231"/>
      </c:lineChart>
      <c:catAx>
        <c:axId val="1158906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15231"/>
        <c:crosses val="autoZero"/>
        <c:auto val="1"/>
        <c:lblAlgn val="ctr"/>
        <c:lblOffset val="100"/>
        <c:noMultiLvlLbl val="0"/>
      </c:catAx>
      <c:valAx>
        <c:axId val="11589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06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plotArea>
      <cx:plotAreaRegion>
        <cx:series layoutId="clusteredColumn" uniqueId="{C2058138-B4E9-4C92-9A24-473437D46178}" formatIdx="0">
          <cx:tx>
            <cx:txData>
              <cx:f>_xlchart.v1.1</cx:f>
              <cx:v>34</cx:v>
            </cx:txData>
          </cx:tx>
          <cx:dataId val="0"/>
          <cx:layoutPr>
            <cx:aggregation/>
          </cx:layoutPr>
          <cx:axisId val="1"/>
        </cx:series>
        <cx:series layoutId="clusteredColumn" hidden="1" uniqueId="{E53ED3F2-B015-446A-B9A2-771276968BA1}" formatIdx="2">
          <cx:tx>
            <cx:txData>
              <cx:f>_xlchart.v1.3</cx:f>
              <cx:v>78</cx:v>
            </cx:txData>
          </cx:tx>
          <cx:dataId val="1"/>
          <cx:layoutPr>
            <cx:aggregation/>
          </cx:layoutPr>
          <cx:axisId val="1"/>
        </cx:series>
        <cx:series layoutId="paretoLine" ownerIdx="0" uniqueId="{ACA84526-86C7-4034-9D59-A0BFA589AF26}" formatIdx="1">
          <cx:axisId val="2"/>
        </cx:series>
        <cx:series layoutId="paretoLine" ownerIdx="1" uniqueId="{B1E7B47C-67D8-48C2-BF2D-A6C9802CB55F}" formatIdx="3">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1676400</xdr:colOff>
      <xdr:row>39</xdr:row>
      <xdr:rowOff>34290</xdr:rowOff>
    </xdr:from>
    <xdr:to>
      <xdr:col>9</xdr:col>
      <xdr:colOff>30480</xdr:colOff>
      <xdr:row>54</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1310640</xdr:colOff>
      <xdr:row>83</xdr:row>
      <xdr:rowOff>87630</xdr:rowOff>
    </xdr:from>
    <xdr:to>
      <xdr:col>8</xdr:col>
      <xdr:colOff>274320</xdr:colOff>
      <xdr:row>98</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358140</xdr:colOff>
      <xdr:row>129</xdr:row>
      <xdr:rowOff>140970</xdr:rowOff>
    </xdr:from>
    <xdr:to>
      <xdr:col>11</xdr:col>
      <xdr:colOff>464820</xdr:colOff>
      <xdr:row>144</xdr:row>
      <xdr:rowOff>140970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849086</xdr:colOff>
      <xdr:row>104</xdr:row>
      <xdr:rowOff>43542</xdr:rowOff>
    </xdr:from>
    <xdr:to>
      <xdr:col>5</xdr:col>
      <xdr:colOff>413657</xdr:colOff>
      <xdr:row>114</xdr:row>
      <xdr:rowOff>146956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82</xdr:row>
      <xdr:rowOff>3810</xdr:rowOff>
    </xdr:from>
    <xdr:to>
      <xdr:col>7</xdr:col>
      <xdr:colOff>1280160</xdr:colOff>
      <xdr:row>97</xdr:row>
      <xdr:rowOff>3810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71" zoomScaleNormal="100" workbookViewId="0">
      <selection activeCell="B92" sqref="B92"/>
    </sheetView>
  </sheetViews>
  <sheetFormatPr defaultRowHeight="14.4" x14ac:dyDescent="0.3"/>
  <cols>
    <col min="4" max="4" width="19.109375" customWidth="1"/>
    <col min="5" max="5" width="25.6640625" customWidth="1"/>
    <col min="7" max="7" width="8.88671875" customWidth="1"/>
  </cols>
  <sheetData>
    <row r="1" spans="1:8" x14ac:dyDescent="0.3">
      <c r="A1" s="2" t="s">
        <v>1</v>
      </c>
      <c r="B1" s="2"/>
      <c r="C1" s="2"/>
    </row>
    <row r="2" spans="1:8" x14ac:dyDescent="0.3">
      <c r="B2" s="1" t="s">
        <v>0</v>
      </c>
      <c r="C2" s="1"/>
      <c r="D2" s="1"/>
      <c r="E2" s="1"/>
      <c r="F2" s="1"/>
      <c r="G2" s="1"/>
      <c r="H2" s="1"/>
    </row>
    <row r="3" spans="1:8" x14ac:dyDescent="0.3">
      <c r="B3" s="1"/>
      <c r="C3" s="1" t="s">
        <v>2</v>
      </c>
      <c r="D3" s="1"/>
      <c r="E3" s="1"/>
      <c r="F3" s="1"/>
      <c r="G3" s="1"/>
      <c r="H3" s="1"/>
    </row>
    <row r="4" spans="1:8" x14ac:dyDescent="0.3">
      <c r="B4" s="1"/>
      <c r="C4" s="1">
        <v>50</v>
      </c>
      <c r="D4" s="1"/>
      <c r="E4" s="1"/>
      <c r="F4" s="1"/>
      <c r="G4" s="1"/>
      <c r="H4" s="1"/>
    </row>
    <row r="5" spans="1:8" x14ac:dyDescent="0.3">
      <c r="B5" s="1"/>
      <c r="C5" s="1">
        <v>60</v>
      </c>
      <c r="D5" s="1"/>
      <c r="E5" s="1"/>
      <c r="F5" s="1"/>
      <c r="G5" s="1"/>
      <c r="H5" s="1"/>
    </row>
    <row r="6" spans="1:8" x14ac:dyDescent="0.3">
      <c r="B6" s="1"/>
      <c r="C6" s="1">
        <v>55</v>
      </c>
      <c r="D6" s="1"/>
      <c r="E6" s="1"/>
      <c r="F6" s="1"/>
      <c r="G6" s="1"/>
      <c r="H6" s="1"/>
    </row>
    <row r="7" spans="1:8" x14ac:dyDescent="0.3">
      <c r="B7" s="1"/>
      <c r="C7" s="1">
        <v>70</v>
      </c>
      <c r="D7" s="1"/>
      <c r="E7" s="1"/>
      <c r="F7" s="1"/>
      <c r="G7" s="1"/>
      <c r="H7" s="1"/>
    </row>
    <row r="8" spans="1:8" x14ac:dyDescent="0.3">
      <c r="E8" t="s">
        <v>3</v>
      </c>
      <c r="F8">
        <f>AVERAGE(C4:C7)</f>
        <v>58.75</v>
      </c>
    </row>
    <row r="9" spans="1:8" x14ac:dyDescent="0.3">
      <c r="E9" t="s">
        <v>4</v>
      </c>
      <c r="F9">
        <f>-MEDIAN(C4:C7)</f>
        <v>-57.5</v>
      </c>
    </row>
    <row r="10" spans="1:8" x14ac:dyDescent="0.3">
      <c r="E10" t="s">
        <v>5</v>
      </c>
      <c r="F10" t="str">
        <f>IFERROR(_xlfn.MODE.SNGL(C4:C7),"NO MODE ")</f>
        <v xml:space="preserve">NO MODE </v>
      </c>
    </row>
    <row r="12" spans="1:8" x14ac:dyDescent="0.3">
      <c r="A12" s="1" t="s">
        <v>7</v>
      </c>
      <c r="B12" s="1">
        <f>2</f>
        <v>2</v>
      </c>
      <c r="C12" s="1">
        <v>12</v>
      </c>
      <c r="D12" s="1"/>
      <c r="E12" s="1"/>
    </row>
    <row r="13" spans="1:8" x14ac:dyDescent="0.3">
      <c r="A13" s="1"/>
      <c r="B13" s="1"/>
      <c r="C13" s="1">
        <v>15</v>
      </c>
      <c r="D13" s="1"/>
      <c r="E13" s="1"/>
    </row>
    <row r="14" spans="1:8" x14ac:dyDescent="0.3">
      <c r="A14" s="1"/>
      <c r="B14" s="1"/>
      <c r="C14" s="1">
        <v>10</v>
      </c>
      <c r="D14" s="1"/>
      <c r="E14" s="1"/>
    </row>
    <row r="15" spans="1:8" x14ac:dyDescent="0.3">
      <c r="A15" s="1"/>
      <c r="B15" s="1"/>
      <c r="C15" s="1">
        <v>20</v>
      </c>
      <c r="D15" s="1"/>
      <c r="E15" s="1"/>
    </row>
    <row r="16" spans="1:8" x14ac:dyDescent="0.3">
      <c r="A16" s="1"/>
      <c r="B16" s="1"/>
      <c r="C16" s="1">
        <v>25</v>
      </c>
      <c r="D16" s="1"/>
      <c r="E16" s="1"/>
    </row>
    <row r="17" spans="1:5" x14ac:dyDescent="0.3">
      <c r="A17" s="1"/>
      <c r="B17" s="1"/>
      <c r="C17" s="1">
        <v>15</v>
      </c>
      <c r="D17" s="1"/>
      <c r="E17" s="1"/>
    </row>
    <row r="18" spans="1:5" x14ac:dyDescent="0.3">
      <c r="A18" s="1"/>
      <c r="B18" s="1"/>
      <c r="C18" s="1">
        <v>10</v>
      </c>
      <c r="D18" s="1"/>
      <c r="E18" s="1"/>
    </row>
    <row r="19" spans="1:5" x14ac:dyDescent="0.3">
      <c r="A19" s="1"/>
      <c r="B19" s="1"/>
      <c r="C19" s="1">
        <v>30</v>
      </c>
      <c r="D19" s="1"/>
      <c r="E19" s="1"/>
    </row>
    <row r="20" spans="1:5" x14ac:dyDescent="0.3">
      <c r="A20" s="1"/>
      <c r="B20" s="1"/>
      <c r="C20" s="1">
        <v>25</v>
      </c>
      <c r="D20" s="1" t="s">
        <v>8</v>
      </c>
      <c r="E20" s="1">
        <f>AVERAGE(C12:C31)</f>
        <v>23.6</v>
      </c>
    </row>
    <row r="21" spans="1:5" x14ac:dyDescent="0.3">
      <c r="A21" s="1"/>
      <c r="B21" s="1"/>
      <c r="C21" s="1">
        <v>15</v>
      </c>
      <c r="D21" s="1" t="s">
        <v>9</v>
      </c>
      <c r="E21" s="1">
        <f>_xlfn.MODE.SNGL(C12:C31)</f>
        <v>10</v>
      </c>
    </row>
    <row r="22" spans="1:5" x14ac:dyDescent="0.3">
      <c r="A22" s="1"/>
      <c r="B22" s="1"/>
      <c r="C22" s="1">
        <v>10</v>
      </c>
      <c r="D22" s="1" t="s">
        <v>9</v>
      </c>
      <c r="E22" s="1">
        <f>IFERROR(_xlfn.MODE.SNGL(C12:C31),"NO MODE ")</f>
        <v>10</v>
      </c>
    </row>
    <row r="23" spans="1:5" x14ac:dyDescent="0.3">
      <c r="A23" s="1"/>
      <c r="B23" s="1"/>
      <c r="C23" s="1">
        <v>10</v>
      </c>
      <c r="D23" s="1"/>
      <c r="E23" s="1"/>
    </row>
    <row r="24" spans="1:5" x14ac:dyDescent="0.3">
      <c r="A24" s="1"/>
      <c r="B24" s="1"/>
      <c r="C24" s="1">
        <v>25</v>
      </c>
      <c r="D24" s="1"/>
      <c r="E24" s="1"/>
    </row>
    <row r="25" spans="1:5" x14ac:dyDescent="0.3">
      <c r="A25" s="1"/>
      <c r="B25" s="1"/>
      <c r="C25" s="1">
        <v>150</v>
      </c>
      <c r="D25" s="1"/>
      <c r="E25" s="1"/>
    </row>
    <row r="26" spans="1:5" x14ac:dyDescent="0.3">
      <c r="A26" s="1"/>
      <c r="B26" s="1"/>
      <c r="C26" s="1">
        <v>20</v>
      </c>
      <c r="D26" s="1"/>
      <c r="E26" s="1"/>
    </row>
    <row r="27" spans="1:5" x14ac:dyDescent="0.3">
      <c r="A27" s="1"/>
      <c r="B27" s="1"/>
      <c r="C27" s="1">
        <v>15</v>
      </c>
      <c r="D27" s="1"/>
      <c r="E27" s="1"/>
    </row>
    <row r="28" spans="1:5" x14ac:dyDescent="0.3">
      <c r="A28" s="1"/>
      <c r="B28" s="1"/>
      <c r="C28" s="1">
        <v>10</v>
      </c>
      <c r="D28" s="1"/>
      <c r="E28" s="1"/>
    </row>
    <row r="29" spans="1:5" x14ac:dyDescent="0.3">
      <c r="A29" s="1"/>
      <c r="B29" s="1"/>
      <c r="C29" s="1">
        <v>10</v>
      </c>
      <c r="D29" s="1"/>
      <c r="E29" s="1"/>
    </row>
    <row r="30" spans="1:5" x14ac:dyDescent="0.3">
      <c r="A30" s="1"/>
      <c r="B30" s="1"/>
      <c r="C30" s="1">
        <v>20</v>
      </c>
      <c r="D30" s="1"/>
      <c r="E30" s="1"/>
    </row>
    <row r="31" spans="1:5" x14ac:dyDescent="0.3">
      <c r="A31" s="1"/>
      <c r="B31" s="1"/>
      <c r="C31" s="1">
        <v>25</v>
      </c>
      <c r="D31" s="1"/>
      <c r="E31" s="1"/>
    </row>
    <row r="35" spans="1:6" x14ac:dyDescent="0.3">
      <c r="A35" s="4" t="s">
        <v>10</v>
      </c>
      <c r="B35" s="4"/>
      <c r="C35" s="4"/>
      <c r="D35" s="4"/>
      <c r="E35" s="4"/>
      <c r="F35" s="4"/>
    </row>
    <row r="36" spans="1:6" x14ac:dyDescent="0.3">
      <c r="A36" s="4"/>
      <c r="B36" s="4"/>
      <c r="C36" s="4"/>
      <c r="D36" s="4"/>
      <c r="E36" s="4"/>
      <c r="F36" s="4"/>
    </row>
    <row r="37" spans="1:6" x14ac:dyDescent="0.3">
      <c r="A37" s="4"/>
      <c r="B37" s="4">
        <v>3</v>
      </c>
      <c r="C37" s="4">
        <v>3</v>
      </c>
      <c r="D37" s="4"/>
      <c r="E37" s="4"/>
      <c r="F37" s="4"/>
    </row>
    <row r="38" spans="1:6" x14ac:dyDescent="0.3">
      <c r="A38" s="4"/>
      <c r="B38" s="4">
        <v>2</v>
      </c>
      <c r="C38" s="4">
        <v>3</v>
      </c>
      <c r="D38" s="4"/>
      <c r="E38" s="4"/>
      <c r="F38" s="4"/>
    </row>
    <row r="39" spans="1:6" x14ac:dyDescent="0.3">
      <c r="A39" s="4"/>
      <c r="B39" s="4">
        <v>5</v>
      </c>
      <c r="C39" s="4">
        <v>4</v>
      </c>
      <c r="D39" s="4"/>
      <c r="E39" s="4"/>
      <c r="F39" s="4"/>
    </row>
    <row r="40" spans="1:6" x14ac:dyDescent="0.3">
      <c r="A40" s="4"/>
      <c r="B40" s="4">
        <v>4</v>
      </c>
      <c r="C40" s="4">
        <v>3</v>
      </c>
      <c r="D40" s="4"/>
      <c r="E40" s="4"/>
      <c r="F40" s="4"/>
    </row>
    <row r="41" spans="1:6" x14ac:dyDescent="0.3">
      <c r="A41" s="4"/>
      <c r="B41" s="4">
        <v>7</v>
      </c>
      <c r="C41" s="4">
        <v>4</v>
      </c>
      <c r="D41" s="4"/>
      <c r="E41" s="4"/>
      <c r="F41" s="4"/>
    </row>
    <row r="42" spans="1:6" x14ac:dyDescent="0.3">
      <c r="A42" s="4"/>
      <c r="B42" s="4">
        <v>2</v>
      </c>
      <c r="C42" s="4">
        <v>5</v>
      </c>
      <c r="D42" s="4"/>
      <c r="E42" s="4"/>
      <c r="F42" s="4"/>
    </row>
    <row r="43" spans="1:6" x14ac:dyDescent="0.3">
      <c r="A43" s="4"/>
      <c r="B43" s="4">
        <v>3</v>
      </c>
      <c r="C43" s="4">
        <v>5</v>
      </c>
      <c r="D43" s="4"/>
      <c r="E43" s="4"/>
      <c r="F43" s="4"/>
    </row>
    <row r="44" spans="1:6" x14ac:dyDescent="0.3">
      <c r="A44" s="4"/>
      <c r="B44" s="4">
        <v>3</v>
      </c>
      <c r="C44" s="4">
        <v>3</v>
      </c>
      <c r="D44" s="4"/>
      <c r="E44" s="4"/>
      <c r="F44" s="4"/>
    </row>
    <row r="45" spans="1:6" x14ac:dyDescent="0.3">
      <c r="A45" s="4"/>
      <c r="B45" s="4">
        <v>1</v>
      </c>
      <c r="C45" s="4">
        <v>5</v>
      </c>
      <c r="D45" s="4"/>
      <c r="E45" s="4"/>
      <c r="F45" s="4"/>
    </row>
    <row r="46" spans="1:6" x14ac:dyDescent="0.3">
      <c r="A46" s="4"/>
      <c r="B46" s="4">
        <v>6</v>
      </c>
      <c r="C46" s="4">
        <v>3</v>
      </c>
      <c r="D46" s="4"/>
      <c r="E46" s="4" t="s">
        <v>6</v>
      </c>
      <c r="F46" s="4">
        <f>AVERAGE(B37:C59)</f>
        <v>3.7391304347826089</v>
      </c>
    </row>
    <row r="47" spans="1:6" x14ac:dyDescent="0.3">
      <c r="A47" s="4"/>
      <c r="B47" s="4">
        <v>4</v>
      </c>
      <c r="C47" s="4">
        <v>4</v>
      </c>
      <c r="D47" s="4"/>
      <c r="E47" s="4" t="s">
        <v>11</v>
      </c>
      <c r="F47" s="4">
        <f>MEDIAN(B37:C59)</f>
        <v>4</v>
      </c>
    </row>
    <row r="48" spans="1:6" x14ac:dyDescent="0.3">
      <c r="A48" s="4"/>
      <c r="B48" s="4">
        <v>2</v>
      </c>
      <c r="C48" s="4">
        <v>4</v>
      </c>
      <c r="D48" s="4"/>
      <c r="E48" s="4" t="s">
        <v>9</v>
      </c>
      <c r="F48" s="4">
        <f>_xlfn.MODE.SNGL(B37:C59)</f>
        <v>3</v>
      </c>
    </row>
    <row r="49" spans="1:11" x14ac:dyDescent="0.3">
      <c r="A49" s="4"/>
      <c r="B49" s="4">
        <v>3</v>
      </c>
      <c r="C49" s="4">
        <v>4</v>
      </c>
      <c r="D49" s="4"/>
      <c r="E49" s="4"/>
      <c r="F49" s="4"/>
    </row>
    <row r="50" spans="1:11" x14ac:dyDescent="0.3">
      <c r="A50" s="4"/>
      <c r="B50" s="4">
        <v>5</v>
      </c>
      <c r="C50" s="4">
        <v>4</v>
      </c>
      <c r="D50" s="4"/>
      <c r="E50" s="4"/>
      <c r="F50" s="4"/>
    </row>
    <row r="51" spans="1:11" x14ac:dyDescent="0.3">
      <c r="A51" s="4"/>
      <c r="B51" s="4">
        <v>1</v>
      </c>
      <c r="C51" s="4">
        <v>2</v>
      </c>
      <c r="D51" s="4"/>
      <c r="E51" s="4"/>
      <c r="F51" s="4"/>
    </row>
    <row r="52" spans="1:11" x14ac:dyDescent="0.3">
      <c r="A52" s="4"/>
      <c r="B52" s="4">
        <v>4</v>
      </c>
      <c r="C52" s="4">
        <v>4</v>
      </c>
      <c r="D52" s="4"/>
      <c r="E52" s="4"/>
      <c r="F52" s="4"/>
    </row>
    <row r="53" spans="1:11" x14ac:dyDescent="0.3">
      <c r="A53" s="4"/>
      <c r="B53" s="4">
        <v>6</v>
      </c>
      <c r="C53" s="4">
        <v>4</v>
      </c>
      <c r="D53" s="4"/>
      <c r="E53" s="4"/>
      <c r="F53" s="4"/>
    </row>
    <row r="54" spans="1:11" x14ac:dyDescent="0.3">
      <c r="A54" s="4"/>
      <c r="B54" s="4">
        <v>3</v>
      </c>
      <c r="C54" s="4">
        <v>3</v>
      </c>
      <c r="D54" s="4"/>
      <c r="E54" s="4"/>
      <c r="F54" s="4"/>
    </row>
    <row r="55" spans="1:11" x14ac:dyDescent="0.3">
      <c r="A55" s="4"/>
      <c r="B55" s="4">
        <v>5</v>
      </c>
      <c r="C55" s="4">
        <v>4</v>
      </c>
      <c r="D55" s="4"/>
      <c r="E55" s="4"/>
      <c r="F55" s="4"/>
    </row>
    <row r="56" spans="1:11" x14ac:dyDescent="0.3">
      <c r="A56" s="4"/>
      <c r="B56" s="4">
        <v>3</v>
      </c>
      <c r="C56" s="4">
        <v>3</v>
      </c>
      <c r="D56" s="4"/>
      <c r="E56" s="4"/>
      <c r="F56" s="4"/>
    </row>
    <row r="57" spans="1:11" x14ac:dyDescent="0.3">
      <c r="A57" s="4"/>
      <c r="B57" s="4">
        <v>5</v>
      </c>
      <c r="C57" s="4">
        <v>5</v>
      </c>
      <c r="D57" s="4"/>
      <c r="E57" s="4"/>
      <c r="F57" s="4"/>
    </row>
    <row r="58" spans="1:11" x14ac:dyDescent="0.3">
      <c r="A58" s="4"/>
      <c r="B58" s="4">
        <v>3</v>
      </c>
      <c r="C58" s="4">
        <v>3</v>
      </c>
      <c r="D58" s="4"/>
      <c r="E58" s="4"/>
      <c r="F58" s="4"/>
    </row>
    <row r="59" spans="1:11" x14ac:dyDescent="0.3">
      <c r="A59" s="4"/>
      <c r="B59" s="4">
        <v>5</v>
      </c>
      <c r="C59" s="4">
        <v>5</v>
      </c>
      <c r="D59" s="4"/>
      <c r="E59" s="4"/>
      <c r="F59" s="4"/>
    </row>
    <row r="60" spans="1:11" x14ac:dyDescent="0.3">
      <c r="B60" s="8"/>
    </row>
    <row r="61" spans="1:11" x14ac:dyDescent="0.3">
      <c r="B61" s="8"/>
    </row>
    <row r="62" spans="1:11" x14ac:dyDescent="0.3">
      <c r="B62" s="8"/>
    </row>
    <row r="64" spans="1:11" x14ac:dyDescent="0.3">
      <c r="A64" s="5" t="s">
        <v>12</v>
      </c>
      <c r="B64" s="5"/>
      <c r="C64" s="5"/>
      <c r="D64" s="5"/>
      <c r="E64" s="5"/>
      <c r="F64" s="5"/>
      <c r="G64" s="5"/>
      <c r="H64" s="5"/>
      <c r="I64" s="7"/>
      <c r="J64" s="7"/>
      <c r="K64" s="7"/>
    </row>
    <row r="65" spans="1:11" x14ac:dyDescent="0.3">
      <c r="A65" s="5"/>
      <c r="B65" s="5"/>
      <c r="C65" s="5" t="s">
        <v>13</v>
      </c>
      <c r="D65" s="5"/>
      <c r="E65" s="5"/>
      <c r="F65" s="5"/>
      <c r="G65" s="5"/>
      <c r="H65" s="5"/>
      <c r="I65" s="7"/>
      <c r="J65" s="7"/>
      <c r="K65" s="7"/>
    </row>
    <row r="66" spans="1:11" x14ac:dyDescent="0.3">
      <c r="A66" s="5"/>
      <c r="B66" s="5"/>
      <c r="C66" s="5">
        <v>120</v>
      </c>
      <c r="D66" s="5"/>
      <c r="E66" s="5"/>
      <c r="F66" s="5"/>
      <c r="G66" s="5"/>
      <c r="H66" s="5"/>
      <c r="I66" s="7"/>
      <c r="J66" s="7"/>
      <c r="K66" s="7"/>
    </row>
    <row r="67" spans="1:11" x14ac:dyDescent="0.3">
      <c r="A67" s="5"/>
      <c r="B67" s="5"/>
      <c r="C67" s="6">
        <v>110</v>
      </c>
      <c r="D67" s="5"/>
      <c r="E67" s="5"/>
      <c r="F67" s="5"/>
      <c r="G67" s="5"/>
      <c r="H67" s="5"/>
      <c r="I67" s="7"/>
      <c r="J67" s="7"/>
      <c r="K67" s="7"/>
    </row>
    <row r="68" spans="1:11" x14ac:dyDescent="0.3">
      <c r="A68" s="5"/>
      <c r="B68" s="5"/>
      <c r="C68" s="5">
        <v>130</v>
      </c>
      <c r="D68" s="5"/>
      <c r="E68" s="5"/>
      <c r="F68" s="5"/>
      <c r="G68" s="5"/>
      <c r="H68" s="5"/>
      <c r="I68" s="7"/>
      <c r="J68" s="7"/>
      <c r="K68" s="7"/>
    </row>
    <row r="69" spans="1:11" x14ac:dyDescent="0.3">
      <c r="A69" s="5"/>
      <c r="B69" s="5"/>
      <c r="C69" s="5">
        <v>115</v>
      </c>
      <c r="D69" s="5"/>
      <c r="E69" s="5" t="s">
        <v>8</v>
      </c>
      <c r="F69" s="5">
        <f>AVERAGE(C66:C82)</f>
        <v>237.41176470588235</v>
      </c>
      <c r="G69" s="5"/>
      <c r="H69" s="5"/>
      <c r="I69" s="7"/>
      <c r="J69" s="7"/>
      <c r="K69" s="7"/>
    </row>
    <row r="70" spans="1:11" x14ac:dyDescent="0.3">
      <c r="A70" s="5"/>
      <c r="B70" s="5"/>
      <c r="C70" s="5">
        <v>125</v>
      </c>
      <c r="D70" s="5"/>
      <c r="E70" s="5" t="s">
        <v>14</v>
      </c>
      <c r="F70" s="5">
        <f>MEDIAN(C66:C82)</f>
        <v>205</v>
      </c>
      <c r="G70" s="5"/>
      <c r="H70" s="5"/>
      <c r="I70" s="7"/>
      <c r="J70" s="7"/>
      <c r="K70" s="7"/>
    </row>
    <row r="71" spans="1:11" x14ac:dyDescent="0.3">
      <c r="A71" s="5"/>
      <c r="B71" s="5"/>
      <c r="C71" s="5">
        <v>205</v>
      </c>
      <c r="D71" s="5"/>
      <c r="E71" s="5" t="s">
        <v>15</v>
      </c>
      <c r="F71" s="5">
        <f>_xlfn.MODE.SNGL(C66:C82)</f>
        <v>444</v>
      </c>
      <c r="G71" s="5"/>
      <c r="H71" s="5"/>
      <c r="I71" s="7"/>
      <c r="J71" s="7"/>
      <c r="K71" s="7"/>
    </row>
    <row r="72" spans="1:11" x14ac:dyDescent="0.3">
      <c r="A72" s="5"/>
      <c r="B72" s="5"/>
      <c r="C72" s="5">
        <v>104</v>
      </c>
      <c r="D72" s="5"/>
      <c r="E72" s="5" t="s">
        <v>16</v>
      </c>
      <c r="F72" s="5" t="s">
        <v>18</v>
      </c>
      <c r="G72" s="5"/>
      <c r="H72" s="5"/>
      <c r="I72" s="7"/>
      <c r="J72" s="7"/>
      <c r="K72" s="7"/>
    </row>
    <row r="73" spans="1:11" x14ac:dyDescent="0.3">
      <c r="A73" s="5"/>
      <c r="B73" s="5"/>
      <c r="C73" s="5">
        <v>253</v>
      </c>
      <c r="D73" s="5"/>
      <c r="E73" s="5"/>
      <c r="F73" s="5" t="s">
        <v>19</v>
      </c>
      <c r="G73" s="5">
        <f>MIN(C66:C82)</f>
        <v>34</v>
      </c>
      <c r="H73" s="5"/>
      <c r="I73" s="7"/>
      <c r="J73" s="7"/>
      <c r="K73" s="7"/>
    </row>
    <row r="74" spans="1:11" x14ac:dyDescent="0.3">
      <c r="A74" s="5"/>
      <c r="B74" s="5"/>
      <c r="C74" s="5">
        <v>34</v>
      </c>
      <c r="D74" s="5"/>
      <c r="E74" s="5"/>
      <c r="F74" s="5" t="s">
        <v>20</v>
      </c>
      <c r="G74" s="5">
        <f>MAX(C66:C82)</f>
        <v>444</v>
      </c>
      <c r="H74" s="5"/>
      <c r="I74" s="7"/>
      <c r="J74" s="7"/>
      <c r="K74" s="7"/>
    </row>
    <row r="75" spans="1:11" x14ac:dyDescent="0.3">
      <c r="A75" s="5"/>
      <c r="B75" s="5"/>
      <c r="C75" s="5">
        <v>443</v>
      </c>
      <c r="D75" s="5"/>
      <c r="E75" s="5" t="s">
        <v>21</v>
      </c>
      <c r="F75" s="5"/>
      <c r="G75" s="5">
        <f>_xlfn.STDEV.S(C66:C82)</f>
        <v>153.13313603835445</v>
      </c>
      <c r="H75" s="5"/>
      <c r="I75" s="7"/>
      <c r="J75" s="7"/>
      <c r="K75" s="7"/>
    </row>
    <row r="76" spans="1:11" x14ac:dyDescent="0.3">
      <c r="A76" s="5"/>
      <c r="B76" s="5"/>
      <c r="C76" s="5">
        <v>34</v>
      </c>
      <c r="D76" s="5"/>
      <c r="E76" s="5"/>
      <c r="F76" s="5"/>
      <c r="G76" s="5"/>
      <c r="H76" s="5"/>
      <c r="I76" s="7"/>
      <c r="J76" s="7"/>
      <c r="K76" s="7"/>
    </row>
    <row r="77" spans="1:11" x14ac:dyDescent="0.3">
      <c r="A77" s="5"/>
      <c r="B77" s="5"/>
      <c r="C77" s="5">
        <v>444</v>
      </c>
      <c r="D77" s="5"/>
      <c r="E77" s="5" t="s">
        <v>22</v>
      </c>
      <c r="F77" s="5">
        <f>IFERROR(_xlfn.MODE.SNGL(C66:C82),"no mode ")</f>
        <v>444</v>
      </c>
      <c r="G77" s="5"/>
      <c r="H77" s="5"/>
      <c r="I77" s="7"/>
      <c r="J77" s="7"/>
      <c r="K77" s="7"/>
    </row>
    <row r="78" spans="1:11" x14ac:dyDescent="0.3">
      <c r="A78" s="5"/>
      <c r="B78" s="5"/>
      <c r="C78" s="5">
        <v>343</v>
      </c>
      <c r="D78" s="5"/>
      <c r="E78" s="5"/>
      <c r="F78" s="5"/>
      <c r="G78" s="5"/>
      <c r="H78" s="5"/>
      <c r="I78" s="7"/>
      <c r="J78" s="7"/>
      <c r="K78" s="7"/>
    </row>
    <row r="79" spans="1:11" x14ac:dyDescent="0.3">
      <c r="A79" s="5"/>
      <c r="B79" s="5"/>
      <c r="C79" s="5">
        <v>344</v>
      </c>
      <c r="D79" s="5"/>
      <c r="E79" s="5"/>
      <c r="F79" s="5"/>
      <c r="G79" s="5"/>
      <c r="H79" s="5"/>
      <c r="I79" s="7"/>
      <c r="J79" s="7"/>
      <c r="K79" s="7"/>
    </row>
    <row r="80" spans="1:11" x14ac:dyDescent="0.3">
      <c r="A80" s="5"/>
      <c r="B80" s="5"/>
      <c r="C80" s="5">
        <v>344</v>
      </c>
      <c r="D80" s="5"/>
      <c r="E80" s="5"/>
      <c r="F80" s="5"/>
      <c r="G80" s="5"/>
      <c r="H80" s="5"/>
      <c r="I80" s="7"/>
      <c r="J80" s="7"/>
      <c r="K80" s="7"/>
    </row>
    <row r="81" spans="1:11" x14ac:dyDescent="0.3">
      <c r="A81" s="5"/>
      <c r="B81" s="5"/>
      <c r="C81" s="5">
        <v>444</v>
      </c>
      <c r="D81" s="5"/>
      <c r="E81" s="5"/>
      <c r="F81" s="5"/>
      <c r="G81" s="5"/>
      <c r="H81" s="5"/>
      <c r="I81" s="7"/>
      <c r="J81" s="7"/>
      <c r="K81" s="7"/>
    </row>
    <row r="82" spans="1:11" x14ac:dyDescent="0.3">
      <c r="A82" s="5"/>
      <c r="B82" s="5"/>
      <c r="C82" s="5">
        <v>444</v>
      </c>
      <c r="D82" s="5"/>
      <c r="E82" s="5"/>
      <c r="F82" s="5"/>
      <c r="G82" s="5"/>
      <c r="H82" s="5"/>
      <c r="I82" s="7"/>
      <c r="J82" s="7"/>
      <c r="K82" s="7"/>
    </row>
    <row r="83" spans="1:11" x14ac:dyDescent="0.3">
      <c r="A83" s="5"/>
      <c r="B83" s="5"/>
      <c r="C83" s="5"/>
      <c r="D83" s="5"/>
      <c r="E83" s="5"/>
      <c r="F83" s="5"/>
      <c r="G83" s="5"/>
      <c r="H83" s="5"/>
      <c r="I83" s="7"/>
      <c r="J83" s="7"/>
      <c r="K83" s="7"/>
    </row>
    <row r="84" spans="1:11" x14ac:dyDescent="0.3">
      <c r="A84" s="5"/>
      <c r="B84" s="5"/>
      <c r="C84" s="5"/>
      <c r="D84" s="5"/>
      <c r="E84" s="5"/>
      <c r="F84" s="5"/>
      <c r="G84" s="5"/>
      <c r="H84" s="5"/>
      <c r="I84" s="7"/>
      <c r="J84" s="7"/>
      <c r="K84" s="7"/>
    </row>
    <row r="85" spans="1:11" x14ac:dyDescent="0.3">
      <c r="A85" s="5"/>
      <c r="B85" s="5"/>
      <c r="C85" s="5"/>
      <c r="D85" s="5"/>
      <c r="E85" s="5"/>
      <c r="F85" s="5"/>
      <c r="G85" s="5"/>
      <c r="H85" s="5"/>
      <c r="I85" s="7"/>
      <c r="J85" s="7"/>
      <c r="K85" s="7"/>
    </row>
    <row r="86" spans="1:11" x14ac:dyDescent="0.3">
      <c r="A86" s="5"/>
      <c r="B86" s="5"/>
      <c r="C86" s="5"/>
      <c r="D86" s="5"/>
      <c r="E86" s="5"/>
      <c r="F86" s="5"/>
      <c r="G86" s="5"/>
      <c r="H86" s="5"/>
      <c r="I86" s="7"/>
      <c r="J86" s="7"/>
      <c r="K86" s="7"/>
    </row>
    <row r="87" spans="1:11" x14ac:dyDescent="0.3">
      <c r="A87" s="5"/>
      <c r="B87" s="5"/>
      <c r="C87" s="5"/>
      <c r="D87" s="5"/>
      <c r="E87" s="5"/>
      <c r="F87" s="5"/>
      <c r="G87" s="5"/>
      <c r="H87" s="5"/>
      <c r="I87" s="7"/>
      <c r="J87" s="7"/>
      <c r="K87" s="7"/>
    </row>
    <row r="90" spans="1:11" x14ac:dyDescent="0.3">
      <c r="A90" t="s">
        <v>23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C26" sqref="C26"/>
    </sheetView>
  </sheetViews>
  <sheetFormatPr defaultRowHeight="14.4" x14ac:dyDescent="0.3"/>
  <cols>
    <col min="2" max="2" width="27.33203125" customWidth="1"/>
    <col min="3" max="3" width="16" customWidth="1"/>
    <col min="6" max="6" width="25.109375" customWidth="1"/>
    <col min="7" max="7" width="17.88671875" customWidth="1"/>
    <col min="8" max="8" width="21.88671875" customWidth="1"/>
  </cols>
  <sheetData>
    <row r="1" spans="1:8" ht="31.2" x14ac:dyDescent="0.6">
      <c r="A1" s="57" t="s">
        <v>522</v>
      </c>
      <c r="B1" s="57"/>
      <c r="C1" s="57" t="s">
        <v>552</v>
      </c>
      <c r="D1" s="57"/>
    </row>
    <row r="4" spans="1:8" x14ac:dyDescent="0.3">
      <c r="B4" t="s">
        <v>523</v>
      </c>
    </row>
    <row r="5" spans="1:8" x14ac:dyDescent="0.3">
      <c r="C5" t="s">
        <v>524</v>
      </c>
    </row>
    <row r="7" spans="1:8" x14ac:dyDescent="0.3">
      <c r="B7" t="s">
        <v>525</v>
      </c>
      <c r="C7" t="s">
        <v>526</v>
      </c>
    </row>
    <row r="8" spans="1:8" x14ac:dyDescent="0.3">
      <c r="B8">
        <v>56.678699999999999</v>
      </c>
      <c r="C8">
        <v>567.678</v>
      </c>
    </row>
    <row r="9" spans="1:8" x14ac:dyDescent="0.3">
      <c r="B9">
        <v>24.234000000000002</v>
      </c>
      <c r="C9">
        <v>567.56700000000001</v>
      </c>
    </row>
    <row r="10" spans="1:8" x14ac:dyDescent="0.3">
      <c r="B10">
        <v>34.2134</v>
      </c>
      <c r="C10">
        <v>234.345</v>
      </c>
    </row>
    <row r="11" spans="1:8" x14ac:dyDescent="0.3">
      <c r="B11">
        <v>34.234499999999997</v>
      </c>
      <c r="C11">
        <v>12.34456</v>
      </c>
    </row>
    <row r="12" spans="1:8" x14ac:dyDescent="0.3">
      <c r="B12">
        <v>56.456000000000003</v>
      </c>
      <c r="C12">
        <v>6.7888999999999999</v>
      </c>
      <c r="F12" t="s">
        <v>527</v>
      </c>
    </row>
    <row r="13" spans="1:8" x14ac:dyDescent="0.3">
      <c r="B13">
        <v>13.345000000000001</v>
      </c>
      <c r="C13">
        <v>4.6779999999999999</v>
      </c>
      <c r="F13" t="s">
        <v>528</v>
      </c>
    </row>
    <row r="14" spans="1:8" ht="15" thickBot="1" x14ac:dyDescent="0.35">
      <c r="B14">
        <v>56.345599999999997</v>
      </c>
      <c r="C14">
        <v>3.78</v>
      </c>
    </row>
    <row r="15" spans="1:8" x14ac:dyDescent="0.3">
      <c r="B15">
        <v>35.234560000000002</v>
      </c>
      <c r="C15">
        <v>12.898999999999999</v>
      </c>
      <c r="F15" s="35"/>
      <c r="G15" s="35" t="s">
        <v>525</v>
      </c>
      <c r="H15" s="35" t="s">
        <v>526</v>
      </c>
    </row>
    <row r="16" spans="1:8" x14ac:dyDescent="0.3">
      <c r="B16">
        <v>45.345599999999997</v>
      </c>
      <c r="C16">
        <v>67.345669999999998</v>
      </c>
      <c r="F16" s="32" t="s">
        <v>253</v>
      </c>
      <c r="G16" s="32">
        <v>80.597811428571418</v>
      </c>
      <c r="H16" s="32">
        <v>125.60428071428569</v>
      </c>
    </row>
    <row r="17" spans="2:8" x14ac:dyDescent="0.3">
      <c r="B17">
        <v>24.234000000000002</v>
      </c>
      <c r="C17">
        <v>12.567</v>
      </c>
      <c r="F17" s="32" t="s">
        <v>529</v>
      </c>
      <c r="G17" s="32">
        <v>12747.236492004293</v>
      </c>
      <c r="H17" s="32">
        <v>38926.635068449934</v>
      </c>
    </row>
    <row r="18" spans="2:8" x14ac:dyDescent="0.3">
      <c r="B18">
        <v>345.23450000000003</v>
      </c>
      <c r="C18">
        <v>98.567800000000005</v>
      </c>
      <c r="F18" s="32" t="s">
        <v>530</v>
      </c>
      <c r="G18" s="32">
        <v>14</v>
      </c>
      <c r="H18" s="32">
        <v>14</v>
      </c>
    </row>
    <row r="19" spans="2:8" x14ac:dyDescent="0.3">
      <c r="B19">
        <v>34.234000000000002</v>
      </c>
      <c r="C19">
        <v>12.456</v>
      </c>
      <c r="F19" s="32" t="s">
        <v>531</v>
      </c>
      <c r="G19" s="32">
        <v>25836.935780227112</v>
      </c>
      <c r="H19" s="32"/>
    </row>
    <row r="20" spans="2:8" x14ac:dyDescent="0.3">
      <c r="B20">
        <v>345.23450000000003</v>
      </c>
      <c r="C20">
        <v>67.566999999999993</v>
      </c>
      <c r="F20" s="32" t="s">
        <v>532</v>
      </c>
      <c r="G20" s="32">
        <v>0</v>
      </c>
      <c r="H20" s="32"/>
    </row>
    <row r="21" spans="2:8" x14ac:dyDescent="0.3">
      <c r="B21">
        <v>23.344999999999999</v>
      </c>
      <c r="C21">
        <v>89.876000000000005</v>
      </c>
      <c r="F21" s="32" t="s">
        <v>533</v>
      </c>
      <c r="G21" s="32">
        <v>26</v>
      </c>
      <c r="H21" s="32"/>
    </row>
    <row r="22" spans="2:8" x14ac:dyDescent="0.3">
      <c r="F22" s="32" t="s">
        <v>534</v>
      </c>
      <c r="G22" s="32">
        <v>-0.74080424351160123</v>
      </c>
      <c r="H22" s="32"/>
    </row>
    <row r="23" spans="2:8" x14ac:dyDescent="0.3">
      <c r="F23" s="32" t="s">
        <v>535</v>
      </c>
      <c r="G23" s="32">
        <v>0.23272523284317642</v>
      </c>
      <c r="H23" s="32"/>
    </row>
    <row r="24" spans="2:8" x14ac:dyDescent="0.3">
      <c r="F24" s="32" t="s">
        <v>536</v>
      </c>
      <c r="G24" s="32">
        <v>1.7056179197592738</v>
      </c>
      <c r="H24" s="32"/>
    </row>
    <row r="25" spans="2:8" x14ac:dyDescent="0.3">
      <c r="F25" s="32" t="s">
        <v>537</v>
      </c>
      <c r="G25" s="32">
        <v>0.46545046568635284</v>
      </c>
      <c r="H25" s="32"/>
    </row>
    <row r="26" spans="2:8" ht="15" thickBot="1" x14ac:dyDescent="0.35">
      <c r="F26" s="33" t="s">
        <v>538</v>
      </c>
      <c r="G26" s="33">
        <v>2.0555294386428731</v>
      </c>
      <c r="H26" s="33"/>
    </row>
    <row r="29" spans="2:8" x14ac:dyDescent="0.3">
      <c r="E29" t="s">
        <v>539</v>
      </c>
    </row>
    <row r="31" spans="2:8" x14ac:dyDescent="0.3">
      <c r="B31" t="s">
        <v>540</v>
      </c>
      <c r="C31" t="s">
        <v>541</v>
      </c>
      <c r="D31" t="s">
        <v>542</v>
      </c>
    </row>
    <row r="32" spans="2:8" x14ac:dyDescent="0.3">
      <c r="B32">
        <v>1</v>
      </c>
      <c r="C32">
        <v>90.45</v>
      </c>
      <c r="D32">
        <v>123.23399999999999</v>
      </c>
    </row>
    <row r="33" spans="1:20" x14ac:dyDescent="0.3">
      <c r="B33">
        <v>2</v>
      </c>
      <c r="C33">
        <v>34.545999999999999</v>
      </c>
      <c r="D33">
        <v>56.34</v>
      </c>
    </row>
    <row r="34" spans="1:20" x14ac:dyDescent="0.3">
      <c r="B34">
        <v>3</v>
      </c>
      <c r="C34">
        <v>34.555999999999997</v>
      </c>
      <c r="D34">
        <v>23.234000000000002</v>
      </c>
      <c r="F34" t="s">
        <v>543</v>
      </c>
    </row>
    <row r="35" spans="1:20" ht="15" thickBot="1" x14ac:dyDescent="0.35">
      <c r="B35">
        <v>4</v>
      </c>
      <c r="C35">
        <v>12.456</v>
      </c>
      <c r="D35">
        <v>56.344000000000001</v>
      </c>
    </row>
    <row r="36" spans="1:20" x14ac:dyDescent="0.3">
      <c r="B36">
        <v>5</v>
      </c>
      <c r="C36">
        <v>45.456600000000002</v>
      </c>
      <c r="D36">
        <v>34.123399999999997</v>
      </c>
      <c r="F36" s="35"/>
      <c r="G36" s="35" t="s">
        <v>544</v>
      </c>
      <c r="H36" s="35" t="s">
        <v>545</v>
      </c>
    </row>
    <row r="37" spans="1:20" x14ac:dyDescent="0.3">
      <c r="B37">
        <v>6</v>
      </c>
      <c r="C37">
        <v>90.775999999999996</v>
      </c>
      <c r="D37">
        <v>45.343400000000003</v>
      </c>
      <c r="F37" s="32" t="s">
        <v>253</v>
      </c>
      <c r="G37" s="32">
        <v>49.881979999999999</v>
      </c>
      <c r="H37" s="32">
        <v>59.223260000000003</v>
      </c>
    </row>
    <row r="38" spans="1:20" x14ac:dyDescent="0.3">
      <c r="B38">
        <v>7</v>
      </c>
      <c r="C38">
        <v>7.7899000000000003</v>
      </c>
      <c r="D38">
        <v>56.234499999999997</v>
      </c>
      <c r="F38" s="32" t="s">
        <v>529</v>
      </c>
      <c r="G38" s="32">
        <v>1235.5400450774282</v>
      </c>
      <c r="H38" s="32">
        <v>884.70816634399932</v>
      </c>
    </row>
    <row r="39" spans="1:20" x14ac:dyDescent="0.3">
      <c r="B39">
        <v>8</v>
      </c>
      <c r="C39">
        <v>23.456</v>
      </c>
      <c r="D39">
        <v>13.234</v>
      </c>
      <c r="F39" s="32" t="s">
        <v>530</v>
      </c>
      <c r="G39" s="32">
        <v>15</v>
      </c>
      <c r="H39" s="32">
        <v>15</v>
      </c>
    </row>
    <row r="40" spans="1:20" x14ac:dyDescent="0.3">
      <c r="B40">
        <v>9</v>
      </c>
      <c r="C40">
        <v>34.564999999999998</v>
      </c>
      <c r="D40">
        <v>56.234499999999997</v>
      </c>
      <c r="F40" s="32" t="s">
        <v>532</v>
      </c>
      <c r="G40" s="32">
        <v>0</v>
      </c>
      <c r="H40" s="32"/>
    </row>
    <row r="41" spans="1:20" x14ac:dyDescent="0.3">
      <c r="B41">
        <v>10</v>
      </c>
      <c r="C41">
        <v>12.5566</v>
      </c>
      <c r="D41">
        <v>78.344999999999999</v>
      </c>
      <c r="F41" s="32" t="s">
        <v>533</v>
      </c>
      <c r="G41" s="32">
        <v>27</v>
      </c>
      <c r="H41" s="32"/>
    </row>
    <row r="42" spans="1:20" x14ac:dyDescent="0.3">
      <c r="B42">
        <v>11</v>
      </c>
      <c r="C42">
        <v>67.567599999999999</v>
      </c>
      <c r="D42">
        <v>78.566999999999993</v>
      </c>
      <c r="F42" s="32" t="s">
        <v>534</v>
      </c>
      <c r="G42" s="32">
        <v>-0.78570346206456387</v>
      </c>
      <c r="H42" s="32"/>
    </row>
    <row r="43" spans="1:20" x14ac:dyDescent="0.3">
      <c r="B43">
        <v>12</v>
      </c>
      <c r="C43">
        <v>89.442999999999998</v>
      </c>
      <c r="D43">
        <v>23.234500000000001</v>
      </c>
      <c r="F43" s="32" t="s">
        <v>535</v>
      </c>
      <c r="G43" s="32">
        <v>0.21944116248539858</v>
      </c>
      <c r="H43" s="32"/>
    </row>
    <row r="44" spans="1:20" x14ac:dyDescent="0.3">
      <c r="B44">
        <v>13</v>
      </c>
      <c r="C44">
        <v>123.568</v>
      </c>
      <c r="D44">
        <v>78.345600000000005</v>
      </c>
      <c r="F44" s="32" t="s">
        <v>536</v>
      </c>
      <c r="G44" s="32">
        <v>1.7032884457221271</v>
      </c>
      <c r="H44" s="32"/>
    </row>
    <row r="45" spans="1:20" x14ac:dyDescent="0.3">
      <c r="B45">
        <v>14</v>
      </c>
      <c r="C45">
        <v>56.466999999999999</v>
      </c>
      <c r="D45">
        <v>98.765000000000001</v>
      </c>
      <c r="F45" s="32" t="s">
        <v>537</v>
      </c>
      <c r="G45" s="32">
        <v>0.43888232497079716</v>
      </c>
      <c r="H45" s="32"/>
    </row>
    <row r="46" spans="1:20" ht="15" thickBot="1" x14ac:dyDescent="0.35">
      <c r="B46">
        <v>15</v>
      </c>
      <c r="C46">
        <v>24.576000000000001</v>
      </c>
      <c r="D46">
        <v>66.77</v>
      </c>
      <c r="F46" s="33" t="s">
        <v>538</v>
      </c>
      <c r="G46" s="33">
        <v>2.0518305164802859</v>
      </c>
      <c r="H46" s="33"/>
    </row>
    <row r="48" spans="1:20" x14ac:dyDescent="0.3">
      <c r="A48" s="4"/>
      <c r="B48" s="4"/>
      <c r="C48" s="4"/>
      <c r="D48" s="4"/>
      <c r="E48" s="4"/>
      <c r="F48" s="4"/>
      <c r="G48" s="4"/>
      <c r="H48" s="4"/>
      <c r="I48" s="4"/>
      <c r="J48" s="4"/>
      <c r="K48" s="4"/>
      <c r="L48" s="4"/>
      <c r="M48" s="4"/>
      <c r="N48" s="4"/>
      <c r="O48" s="4"/>
      <c r="P48" s="4"/>
      <c r="Q48" s="4"/>
      <c r="R48" s="4"/>
      <c r="S48" s="4"/>
      <c r="T48" s="4"/>
    </row>
    <row r="50" spans="1:7" x14ac:dyDescent="0.3">
      <c r="B50" t="s">
        <v>291</v>
      </c>
    </row>
    <row r="51" spans="1:7" x14ac:dyDescent="0.3">
      <c r="C51" t="s">
        <v>546</v>
      </c>
    </row>
    <row r="53" spans="1:7" x14ac:dyDescent="0.3">
      <c r="C53" t="s">
        <v>96</v>
      </c>
      <c r="D53" s="59">
        <v>25</v>
      </c>
    </row>
    <row r="54" spans="1:7" x14ac:dyDescent="0.3">
      <c r="C54" t="s">
        <v>3</v>
      </c>
      <c r="D54" s="59">
        <v>510</v>
      </c>
    </row>
    <row r="55" spans="1:7" x14ac:dyDescent="0.3">
      <c r="C55" t="s">
        <v>423</v>
      </c>
      <c r="D55" s="59">
        <v>20</v>
      </c>
    </row>
    <row r="56" spans="1:7" x14ac:dyDescent="0.3">
      <c r="C56" t="s">
        <v>547</v>
      </c>
      <c r="D56" s="59">
        <v>500</v>
      </c>
    </row>
    <row r="57" spans="1:7" x14ac:dyDescent="0.3">
      <c r="C57" t="s">
        <v>548</v>
      </c>
      <c r="D57" s="59">
        <v>0.05</v>
      </c>
    </row>
    <row r="58" spans="1:7" x14ac:dyDescent="0.3">
      <c r="A58" s="60"/>
      <c r="B58" s="60"/>
      <c r="C58" s="60"/>
      <c r="D58" s="60"/>
      <c r="E58" s="60"/>
      <c r="F58" s="60"/>
      <c r="G58" s="60"/>
    </row>
    <row r="60" spans="1:7" x14ac:dyDescent="0.3">
      <c r="B60" t="s">
        <v>424</v>
      </c>
      <c r="C60" t="s">
        <v>549</v>
      </c>
    </row>
    <row r="61" spans="1:7" x14ac:dyDescent="0.3">
      <c r="B61">
        <v>34</v>
      </c>
      <c r="C61">
        <v>78</v>
      </c>
    </row>
    <row r="62" spans="1:7" x14ac:dyDescent="0.3">
      <c r="B62">
        <v>78</v>
      </c>
      <c r="C62">
        <v>56</v>
      </c>
    </row>
    <row r="63" spans="1:7" x14ac:dyDescent="0.3">
      <c r="B63">
        <v>45</v>
      </c>
      <c r="C63">
        <v>89</v>
      </c>
    </row>
    <row r="64" spans="1:7" x14ac:dyDescent="0.3">
      <c r="B64">
        <v>78</v>
      </c>
      <c r="C64">
        <v>56</v>
      </c>
    </row>
    <row r="65" spans="2:8" x14ac:dyDescent="0.3">
      <c r="B65">
        <v>12</v>
      </c>
      <c r="C65">
        <v>56</v>
      </c>
    </row>
    <row r="66" spans="2:8" x14ac:dyDescent="0.3">
      <c r="B66">
        <v>78</v>
      </c>
      <c r="C66">
        <v>45</v>
      </c>
    </row>
    <row r="67" spans="2:8" x14ac:dyDescent="0.3">
      <c r="B67">
        <v>45</v>
      </c>
      <c r="C67">
        <v>89</v>
      </c>
    </row>
    <row r="68" spans="2:8" x14ac:dyDescent="0.3">
      <c r="B68">
        <v>89</v>
      </c>
      <c r="C68">
        <v>56</v>
      </c>
      <c r="F68" t="s">
        <v>550</v>
      </c>
    </row>
    <row r="69" spans="2:8" ht="15" thickBot="1" x14ac:dyDescent="0.35">
      <c r="B69">
        <v>45</v>
      </c>
      <c r="C69">
        <v>56</v>
      </c>
    </row>
    <row r="70" spans="2:8" x14ac:dyDescent="0.3">
      <c r="B70">
        <v>78</v>
      </c>
      <c r="C70">
        <v>5</v>
      </c>
      <c r="F70" s="35"/>
      <c r="G70" s="35">
        <v>34</v>
      </c>
      <c r="H70" s="35">
        <v>78</v>
      </c>
    </row>
    <row r="71" spans="2:8" x14ac:dyDescent="0.3">
      <c r="B71">
        <v>87</v>
      </c>
      <c r="C71">
        <v>45</v>
      </c>
      <c r="F71" s="32" t="s">
        <v>253</v>
      </c>
      <c r="G71" s="32">
        <v>63.57692307692308</v>
      </c>
      <c r="H71" s="32">
        <v>60.5</v>
      </c>
    </row>
    <row r="72" spans="2:8" x14ac:dyDescent="0.3">
      <c r="B72">
        <v>57</v>
      </c>
      <c r="C72">
        <v>89</v>
      </c>
      <c r="F72" s="32" t="s">
        <v>529</v>
      </c>
      <c r="G72" s="32">
        <v>403.93384615384622</v>
      </c>
      <c r="H72" s="32">
        <v>443.7</v>
      </c>
    </row>
    <row r="73" spans="2:8" x14ac:dyDescent="0.3">
      <c r="B73">
        <v>45</v>
      </c>
      <c r="C73">
        <v>89</v>
      </c>
      <c r="F73" s="32" t="s">
        <v>530</v>
      </c>
      <c r="G73" s="32">
        <v>26</v>
      </c>
      <c r="H73" s="32">
        <v>26</v>
      </c>
    </row>
    <row r="74" spans="2:8" x14ac:dyDescent="0.3">
      <c r="B74">
        <v>57</v>
      </c>
      <c r="C74">
        <v>56</v>
      </c>
      <c r="F74" s="32" t="s">
        <v>551</v>
      </c>
      <c r="G74" s="32">
        <v>5.3430933740335189E-2</v>
      </c>
      <c r="H74" s="32"/>
    </row>
    <row r="75" spans="2:8" x14ac:dyDescent="0.3">
      <c r="B75">
        <v>45</v>
      </c>
      <c r="C75">
        <v>23</v>
      </c>
      <c r="F75" s="32" t="s">
        <v>532</v>
      </c>
      <c r="G75" s="32">
        <v>0</v>
      </c>
      <c r="H75" s="32"/>
    </row>
    <row r="76" spans="2:8" x14ac:dyDescent="0.3">
      <c r="B76">
        <v>56</v>
      </c>
      <c r="C76">
        <v>45</v>
      </c>
      <c r="F76" s="32" t="s">
        <v>533</v>
      </c>
      <c r="G76" s="32">
        <v>25</v>
      </c>
      <c r="H76" s="32"/>
    </row>
    <row r="77" spans="2:8" x14ac:dyDescent="0.3">
      <c r="B77">
        <v>78</v>
      </c>
      <c r="C77">
        <v>78</v>
      </c>
      <c r="F77" s="32" t="s">
        <v>534</v>
      </c>
      <c r="G77" s="32">
        <v>0.5538721372858294</v>
      </c>
      <c r="H77" s="32"/>
    </row>
    <row r="78" spans="2:8" x14ac:dyDescent="0.3">
      <c r="B78">
        <v>68</v>
      </c>
      <c r="C78">
        <v>56</v>
      </c>
      <c r="F78" s="32" t="s">
        <v>535</v>
      </c>
      <c r="G78" s="32">
        <v>0.29229345927198741</v>
      </c>
      <c r="H78" s="32"/>
    </row>
    <row r="79" spans="2:8" x14ac:dyDescent="0.3">
      <c r="B79">
        <v>78</v>
      </c>
      <c r="C79">
        <v>78</v>
      </c>
      <c r="F79" s="32" t="s">
        <v>536</v>
      </c>
      <c r="G79" s="32">
        <v>1.7081407612518986</v>
      </c>
      <c r="H79" s="32"/>
    </row>
    <row r="80" spans="2:8" x14ac:dyDescent="0.3">
      <c r="B80">
        <v>89</v>
      </c>
      <c r="C80">
        <v>78</v>
      </c>
      <c r="F80" s="32" t="s">
        <v>537</v>
      </c>
      <c r="G80" s="32">
        <v>0.58458691854397482</v>
      </c>
      <c r="H80" s="32"/>
    </row>
    <row r="81" spans="2:8" ht="15" thickBot="1" x14ac:dyDescent="0.35">
      <c r="B81">
        <v>78</v>
      </c>
      <c r="C81">
        <v>78</v>
      </c>
      <c r="F81" s="33" t="s">
        <v>538</v>
      </c>
      <c r="G81" s="33">
        <v>2.0595385527532977</v>
      </c>
      <c r="H81" s="33"/>
    </row>
    <row r="82" spans="2:8" x14ac:dyDescent="0.3">
      <c r="B82">
        <v>59</v>
      </c>
      <c r="C82">
        <v>56</v>
      </c>
    </row>
    <row r="83" spans="2:8" x14ac:dyDescent="0.3">
      <c r="B83">
        <v>45</v>
      </c>
      <c r="C83">
        <v>48</v>
      </c>
    </row>
    <row r="84" spans="2:8" x14ac:dyDescent="0.3">
      <c r="B84">
        <v>78</v>
      </c>
      <c r="C84">
        <v>78</v>
      </c>
    </row>
    <row r="85" spans="2:8" x14ac:dyDescent="0.3">
      <c r="B85">
        <v>95</v>
      </c>
      <c r="C85">
        <v>78</v>
      </c>
    </row>
    <row r="86" spans="2:8" x14ac:dyDescent="0.3">
      <c r="B86">
        <v>45</v>
      </c>
      <c r="C86">
        <v>45</v>
      </c>
    </row>
    <row r="87" spans="2:8" x14ac:dyDescent="0.3">
      <c r="B87">
        <v>45</v>
      </c>
      <c r="C87">
        <v>45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53"/>
  <sheetViews>
    <sheetView topLeftCell="A115" zoomScale="55" zoomScaleNormal="55" workbookViewId="0">
      <selection activeCell="M138" sqref="M138"/>
    </sheetView>
  </sheetViews>
  <sheetFormatPr defaultRowHeight="14.4" x14ac:dyDescent="0.3"/>
  <cols>
    <col min="2" max="2" width="17.77734375" bestFit="1" customWidth="1"/>
    <col min="6" max="6" width="24.77734375" customWidth="1"/>
  </cols>
  <sheetData>
    <row r="2" spans="2:19" x14ac:dyDescent="0.3">
      <c r="B2" s="61" t="s">
        <v>24</v>
      </c>
      <c r="C2" s="61"/>
      <c r="D2" s="61"/>
      <c r="E2" s="61"/>
      <c r="F2" s="61"/>
      <c r="G2" s="61"/>
      <c r="H2" s="61"/>
      <c r="I2" s="61"/>
      <c r="J2" s="61"/>
      <c r="K2" s="61"/>
      <c r="L2" s="61"/>
      <c r="M2" s="61"/>
      <c r="N2" s="61"/>
      <c r="O2" s="61"/>
      <c r="P2" s="61"/>
      <c r="Q2" s="61"/>
      <c r="R2" s="61"/>
      <c r="S2" s="61"/>
    </row>
    <row r="3" spans="2:19" x14ac:dyDescent="0.3">
      <c r="B3" s="61"/>
      <c r="C3" s="61"/>
      <c r="D3" s="61"/>
      <c r="E3" s="61"/>
      <c r="F3" s="61"/>
      <c r="G3" s="61"/>
      <c r="H3" s="61"/>
      <c r="I3" s="61"/>
      <c r="J3" s="61"/>
      <c r="K3" s="61"/>
      <c r="L3" s="61"/>
      <c r="M3" s="61"/>
      <c r="N3" s="61"/>
      <c r="O3" s="61"/>
      <c r="P3" s="61"/>
      <c r="Q3" s="61"/>
      <c r="R3" s="61"/>
      <c r="S3" s="61"/>
    </row>
    <row r="4" spans="2:19" x14ac:dyDescent="0.3">
      <c r="B4" s="61"/>
      <c r="C4" s="61"/>
      <c r="D4" s="61"/>
      <c r="E4" s="61"/>
      <c r="F4" s="61"/>
      <c r="G4" s="61"/>
      <c r="H4" s="61"/>
      <c r="I4" s="61"/>
      <c r="J4" s="61"/>
      <c r="K4" s="61"/>
      <c r="L4" s="61"/>
      <c r="M4" s="61"/>
      <c r="N4" s="61"/>
      <c r="O4" s="61"/>
      <c r="P4" s="61"/>
      <c r="Q4" s="61"/>
      <c r="R4" s="61"/>
      <c r="S4" s="61"/>
    </row>
    <row r="5" spans="2:19" x14ac:dyDescent="0.3">
      <c r="B5" s="3" t="s">
        <v>25</v>
      </c>
      <c r="C5" s="3"/>
      <c r="D5" s="3"/>
      <c r="E5" s="3"/>
      <c r="F5" s="3"/>
      <c r="G5" s="3"/>
      <c r="H5" s="3"/>
      <c r="I5" s="3"/>
      <c r="J5" s="3"/>
    </row>
    <row r="6" spans="2:19" x14ac:dyDescent="0.3">
      <c r="B6" s="3"/>
      <c r="C6" s="3"/>
      <c r="D6" s="3"/>
      <c r="E6" s="3"/>
      <c r="F6" s="3"/>
      <c r="G6" s="3"/>
      <c r="H6" s="3"/>
      <c r="I6" s="3"/>
      <c r="J6" s="3"/>
    </row>
    <row r="7" spans="2:19" x14ac:dyDescent="0.3">
      <c r="B7" s="3"/>
      <c r="C7" s="3" t="s">
        <v>26</v>
      </c>
      <c r="D7" s="3"/>
      <c r="E7" s="3"/>
      <c r="F7" s="3"/>
      <c r="G7" s="3"/>
      <c r="H7" s="3"/>
      <c r="I7" s="3"/>
      <c r="J7" s="3"/>
    </row>
    <row r="8" spans="2:19" x14ac:dyDescent="0.3">
      <c r="B8" s="3"/>
      <c r="C8" s="3">
        <v>120</v>
      </c>
      <c r="D8" s="3"/>
      <c r="E8" s="3"/>
      <c r="F8" s="3"/>
      <c r="G8" s="3"/>
      <c r="H8" s="3"/>
      <c r="I8" s="3"/>
      <c r="J8" s="3"/>
    </row>
    <row r="9" spans="2:19" x14ac:dyDescent="0.3">
      <c r="B9" s="3"/>
      <c r="C9" s="3">
        <v>11</v>
      </c>
      <c r="D9" s="3"/>
      <c r="E9" s="3"/>
      <c r="F9" s="3"/>
      <c r="G9" s="3"/>
      <c r="H9" s="3"/>
      <c r="I9" s="3"/>
      <c r="J9" s="3"/>
    </row>
    <row r="10" spans="2:19" x14ac:dyDescent="0.3">
      <c r="B10" s="3"/>
      <c r="C10" s="3">
        <v>3434</v>
      </c>
      <c r="D10" s="3"/>
      <c r="E10" s="9"/>
      <c r="F10" s="9"/>
      <c r="G10" s="9"/>
      <c r="H10" s="9"/>
      <c r="I10" s="9"/>
      <c r="J10" s="9"/>
    </row>
    <row r="11" spans="2:19" x14ac:dyDescent="0.3">
      <c r="B11" s="3"/>
      <c r="C11" s="3">
        <v>344</v>
      </c>
      <c r="D11" s="3"/>
      <c r="E11" s="9"/>
      <c r="F11" s="9" t="s">
        <v>27</v>
      </c>
      <c r="G11" s="9">
        <f>AVERAGE(C8:C26)</f>
        <v>591.10526315789468</v>
      </c>
      <c r="H11" s="9"/>
      <c r="I11" s="9"/>
      <c r="J11" s="9"/>
    </row>
    <row r="12" spans="2:19" x14ac:dyDescent="0.3">
      <c r="B12" s="3"/>
      <c r="C12" s="3">
        <v>4235</v>
      </c>
      <c r="D12" s="3"/>
      <c r="E12" s="9"/>
      <c r="F12" s="9" t="s">
        <v>28</v>
      </c>
      <c r="G12" s="9">
        <f>MEDIAN(C8:C26)</f>
        <v>333</v>
      </c>
      <c r="H12" s="9"/>
      <c r="I12" s="9"/>
      <c r="J12" s="9"/>
    </row>
    <row r="13" spans="2:19" x14ac:dyDescent="0.3">
      <c r="B13" s="3"/>
      <c r="C13" s="3">
        <v>243</v>
      </c>
      <c r="D13" s="3"/>
      <c r="E13" s="9"/>
      <c r="F13" s="9" t="s">
        <v>5</v>
      </c>
      <c r="G13" s="9">
        <f>IFERROR(_xlfn.MODE.SNGL(C8:C26),"NO MODE")</f>
        <v>23</v>
      </c>
      <c r="H13" s="9"/>
      <c r="I13" s="9"/>
      <c r="J13" s="9"/>
    </row>
    <row r="14" spans="2:19" x14ac:dyDescent="0.3">
      <c r="B14" s="3"/>
      <c r="C14" s="3">
        <v>23</v>
      </c>
      <c r="D14" s="3"/>
      <c r="E14" s="9"/>
      <c r="F14" s="9" t="s">
        <v>29</v>
      </c>
      <c r="G14" s="9" t="s">
        <v>30</v>
      </c>
      <c r="H14" s="9">
        <f>MAX(C8:C26)</f>
        <v>4235</v>
      </c>
      <c r="I14" s="9" t="s">
        <v>31</v>
      </c>
      <c r="J14" s="9">
        <f>MIN(C8:C26)</f>
        <v>11</v>
      </c>
    </row>
    <row r="15" spans="2:19" x14ac:dyDescent="0.3">
      <c r="B15" s="3"/>
      <c r="C15" s="3">
        <v>453</v>
      </c>
      <c r="D15" s="3"/>
      <c r="E15" s="9"/>
      <c r="F15" s="9" t="s">
        <v>32</v>
      </c>
      <c r="G15" s="9">
        <f>VAR(C8:C26)</f>
        <v>1352419.9883040935</v>
      </c>
      <c r="H15" s="9"/>
      <c r="I15" s="9"/>
      <c r="J15" s="9"/>
    </row>
    <row r="16" spans="2:19" x14ac:dyDescent="0.3">
      <c r="B16" s="3"/>
      <c r="C16" s="3">
        <v>23</v>
      </c>
      <c r="D16" s="3"/>
      <c r="E16" s="9"/>
      <c r="F16" s="9" t="s">
        <v>33</v>
      </c>
      <c r="G16" s="9">
        <f>STDEV(C8:C26)</f>
        <v>1162.9359347376335</v>
      </c>
      <c r="H16" s="9"/>
      <c r="I16" s="9"/>
      <c r="J16" s="9"/>
    </row>
    <row r="17" spans="2:10" x14ac:dyDescent="0.3">
      <c r="B17" s="3"/>
      <c r="C17" s="3">
        <v>23</v>
      </c>
      <c r="D17" s="3"/>
      <c r="E17" s="3"/>
      <c r="F17" s="3"/>
      <c r="G17" s="3"/>
      <c r="H17" s="3"/>
      <c r="I17" s="3"/>
      <c r="J17" s="3"/>
    </row>
    <row r="18" spans="2:10" x14ac:dyDescent="0.3">
      <c r="B18" s="3"/>
      <c r="C18" s="3">
        <v>23</v>
      </c>
      <c r="D18" s="3"/>
      <c r="E18" s="3"/>
      <c r="F18" s="3"/>
      <c r="G18" s="3"/>
      <c r="H18" s="3"/>
      <c r="I18" s="3"/>
      <c r="J18" s="3"/>
    </row>
    <row r="19" spans="2:10" x14ac:dyDescent="0.3">
      <c r="B19" s="3"/>
      <c r="C19" s="3">
        <v>23</v>
      </c>
      <c r="D19" s="3"/>
      <c r="E19" s="3"/>
      <c r="F19" s="3"/>
      <c r="G19" s="3"/>
      <c r="H19" s="3"/>
      <c r="I19" s="3"/>
      <c r="J19" s="3"/>
    </row>
    <row r="20" spans="2:10" x14ac:dyDescent="0.3">
      <c r="B20" s="3"/>
      <c r="C20" s="3">
        <v>343</v>
      </c>
      <c r="D20" s="3"/>
      <c r="E20" s="3"/>
      <c r="F20" s="3"/>
      <c r="G20" s="3"/>
      <c r="H20" s="3"/>
      <c r="I20" s="3"/>
      <c r="J20" s="3"/>
    </row>
    <row r="21" spans="2:10" x14ac:dyDescent="0.3">
      <c r="B21" s="3"/>
      <c r="C21" s="3">
        <v>434</v>
      </c>
      <c r="D21" s="3"/>
      <c r="E21" s="3"/>
      <c r="F21" s="3"/>
      <c r="G21" s="3"/>
      <c r="H21" s="3"/>
      <c r="I21" s="3"/>
      <c r="J21" s="3"/>
    </row>
    <row r="22" spans="2:10" x14ac:dyDescent="0.3">
      <c r="B22" s="3"/>
      <c r="C22" s="3">
        <v>455</v>
      </c>
      <c r="D22" s="3"/>
      <c r="E22" s="3"/>
      <c r="F22" s="3"/>
      <c r="G22" s="3"/>
      <c r="H22" s="3"/>
      <c r="I22" s="3"/>
      <c r="J22" s="3"/>
    </row>
    <row r="23" spans="2:10" x14ac:dyDescent="0.3">
      <c r="B23" s="3"/>
      <c r="C23" s="3">
        <v>345</v>
      </c>
      <c r="D23" s="3"/>
      <c r="E23" s="3"/>
      <c r="F23" s="3"/>
      <c r="G23" s="3"/>
      <c r="H23" s="3"/>
      <c r="I23" s="3"/>
      <c r="J23" s="3"/>
    </row>
    <row r="24" spans="2:10" x14ac:dyDescent="0.3">
      <c r="B24" s="3"/>
      <c r="C24" s="3">
        <v>333</v>
      </c>
      <c r="D24" s="3"/>
      <c r="E24" s="3"/>
      <c r="F24" s="3"/>
      <c r="G24" s="3"/>
      <c r="H24" s="3"/>
      <c r="I24" s="3"/>
      <c r="J24" s="3"/>
    </row>
    <row r="25" spans="2:10" x14ac:dyDescent="0.3">
      <c r="B25" s="3"/>
      <c r="C25" s="3">
        <v>33</v>
      </c>
      <c r="D25" s="3"/>
      <c r="E25" s="3"/>
      <c r="F25" s="3"/>
      <c r="G25" s="3"/>
      <c r="H25" s="3"/>
      <c r="I25" s="3"/>
      <c r="J25" s="3"/>
    </row>
    <row r="26" spans="2:10" x14ac:dyDescent="0.3">
      <c r="B26" s="3"/>
      <c r="C26" s="3">
        <v>333</v>
      </c>
      <c r="D26" s="3"/>
      <c r="E26" s="3"/>
      <c r="F26" s="3"/>
      <c r="G26" s="3"/>
      <c r="H26" s="3"/>
      <c r="I26" s="3"/>
      <c r="J26" s="3"/>
    </row>
    <row r="27" spans="2:10" x14ac:dyDescent="0.3">
      <c r="B27" s="3"/>
      <c r="C27" s="3"/>
      <c r="D27" s="3"/>
      <c r="E27" s="3"/>
      <c r="F27" s="3"/>
      <c r="G27" s="3"/>
      <c r="H27" s="3"/>
      <c r="I27" s="3"/>
      <c r="J27" s="3"/>
    </row>
    <row r="32" spans="2:10" x14ac:dyDescent="0.3">
      <c r="B32" s="10" t="s">
        <v>34</v>
      </c>
      <c r="C32" s="10"/>
      <c r="D32" s="10"/>
      <c r="E32" s="10"/>
      <c r="F32" s="10"/>
      <c r="G32" s="10"/>
      <c r="H32" s="10"/>
      <c r="I32" s="10"/>
    </row>
    <row r="33" spans="2:9" x14ac:dyDescent="0.3">
      <c r="B33" s="10"/>
      <c r="C33" s="10"/>
      <c r="D33" s="10"/>
      <c r="E33" s="10"/>
      <c r="F33" s="10"/>
      <c r="G33" s="10"/>
      <c r="H33" s="10"/>
      <c r="I33" s="10"/>
    </row>
    <row r="34" spans="2:9" x14ac:dyDescent="0.3">
      <c r="B34" s="10"/>
      <c r="C34" s="10"/>
      <c r="D34" s="10">
        <v>500</v>
      </c>
      <c r="E34" s="10">
        <v>333</v>
      </c>
      <c r="F34" s="10"/>
      <c r="G34" s="10"/>
      <c r="H34" s="10"/>
      <c r="I34" s="10"/>
    </row>
    <row r="35" spans="2:9" x14ac:dyDescent="0.3">
      <c r="B35" s="10"/>
      <c r="C35" s="10"/>
      <c r="D35" s="10">
        <v>600</v>
      </c>
      <c r="E35" s="10">
        <v>333</v>
      </c>
      <c r="F35" s="10"/>
      <c r="G35" s="10"/>
      <c r="H35" s="10"/>
      <c r="I35" s="10"/>
    </row>
    <row r="36" spans="2:9" x14ac:dyDescent="0.3">
      <c r="B36" s="10"/>
      <c r="C36" s="10"/>
      <c r="D36" s="10">
        <v>900</v>
      </c>
      <c r="E36" s="10">
        <v>454</v>
      </c>
      <c r="F36" s="10"/>
      <c r="G36" s="10" t="s">
        <v>35</v>
      </c>
      <c r="H36" s="10"/>
      <c r="I36" s="10"/>
    </row>
    <row r="37" spans="2:9" x14ac:dyDescent="0.3">
      <c r="B37" s="10"/>
      <c r="C37" s="10"/>
      <c r="D37" s="10">
        <v>779</v>
      </c>
      <c r="E37" s="10">
        <v>33</v>
      </c>
      <c r="F37" s="10"/>
      <c r="G37" s="10" t="s">
        <v>20</v>
      </c>
      <c r="H37" s="10">
        <f>MAX(D34:E53)</f>
        <v>3445</v>
      </c>
      <c r="I37" s="10"/>
    </row>
    <row r="38" spans="2:9" x14ac:dyDescent="0.3">
      <c r="B38" s="10"/>
      <c r="C38" s="10"/>
      <c r="D38" s="10">
        <v>778</v>
      </c>
      <c r="E38" s="10">
        <v>33</v>
      </c>
      <c r="F38" s="10"/>
      <c r="G38" s="10" t="s">
        <v>36</v>
      </c>
      <c r="H38" s="10">
        <f>MIN(D34:E54)</f>
        <v>22</v>
      </c>
      <c r="I38" s="10"/>
    </row>
    <row r="39" spans="2:9" x14ac:dyDescent="0.3">
      <c r="B39" s="10"/>
      <c r="C39" s="10"/>
      <c r="D39" s="10">
        <v>665</v>
      </c>
      <c r="E39" s="10">
        <v>123</v>
      </c>
      <c r="F39" s="10"/>
      <c r="G39" s="10"/>
      <c r="H39" s="10"/>
      <c r="I39" s="10"/>
    </row>
    <row r="40" spans="2:9" x14ac:dyDescent="0.3">
      <c r="B40" s="10"/>
      <c r="C40" s="10"/>
      <c r="D40" s="10">
        <v>445</v>
      </c>
      <c r="E40" s="10">
        <v>345</v>
      </c>
      <c r="F40" s="10"/>
      <c r="G40" s="10" t="s">
        <v>17</v>
      </c>
      <c r="H40" s="10">
        <f>VAR(D34:E53)</f>
        <v>554389.45883940626</v>
      </c>
      <c r="I40" s="10"/>
    </row>
    <row r="41" spans="2:9" x14ac:dyDescent="0.3">
      <c r="B41" s="10"/>
      <c r="C41" s="10"/>
      <c r="D41" s="10">
        <v>677</v>
      </c>
      <c r="E41" s="10">
        <v>678</v>
      </c>
      <c r="F41" s="10"/>
      <c r="G41" s="10"/>
      <c r="H41" s="10"/>
      <c r="I41" s="10"/>
    </row>
    <row r="42" spans="2:9" x14ac:dyDescent="0.3">
      <c r="B42" s="10"/>
      <c r="C42" s="10"/>
      <c r="D42" s="10">
        <v>3434</v>
      </c>
      <c r="E42" s="10">
        <v>44</v>
      </c>
      <c r="F42" s="10"/>
      <c r="G42" s="10"/>
      <c r="H42" s="10"/>
      <c r="I42" s="10"/>
    </row>
    <row r="43" spans="2:9" x14ac:dyDescent="0.3">
      <c r="B43" s="10"/>
      <c r="C43" s="10"/>
      <c r="D43" s="10">
        <v>444</v>
      </c>
      <c r="E43" s="10">
        <v>433</v>
      </c>
      <c r="F43" s="10"/>
      <c r="G43" s="10"/>
      <c r="H43" s="10"/>
      <c r="I43" s="10"/>
    </row>
    <row r="44" spans="2:9" x14ac:dyDescent="0.3">
      <c r="B44" s="10"/>
      <c r="C44" s="10"/>
      <c r="D44" s="10">
        <v>33</v>
      </c>
      <c r="E44" s="10">
        <v>334</v>
      </c>
      <c r="F44" s="10"/>
      <c r="G44" s="10" t="s">
        <v>37</v>
      </c>
      <c r="H44" s="10"/>
      <c r="I44" s="10">
        <f>STDEV(D34:E53)</f>
        <v>744.57334013474201</v>
      </c>
    </row>
    <row r="45" spans="2:9" x14ac:dyDescent="0.3">
      <c r="B45" s="10"/>
      <c r="C45" s="10"/>
      <c r="D45" s="10">
        <v>333</v>
      </c>
      <c r="E45" s="10">
        <v>33</v>
      </c>
      <c r="F45" s="10"/>
      <c r="G45" s="10"/>
      <c r="H45" s="10"/>
      <c r="I45" s="10"/>
    </row>
    <row r="46" spans="2:9" x14ac:dyDescent="0.3">
      <c r="B46" s="10"/>
      <c r="C46" s="10"/>
      <c r="D46" s="10">
        <v>445</v>
      </c>
      <c r="E46" s="10">
        <v>34</v>
      </c>
      <c r="F46" s="10"/>
      <c r="G46" s="10"/>
      <c r="H46" s="10"/>
      <c r="I46" s="10"/>
    </row>
    <row r="47" spans="2:9" x14ac:dyDescent="0.3">
      <c r="B47" s="10"/>
      <c r="C47" s="10"/>
      <c r="D47" s="10">
        <v>34</v>
      </c>
      <c r="E47" s="10">
        <v>33</v>
      </c>
      <c r="F47" s="10"/>
      <c r="G47" s="10"/>
      <c r="H47" s="10"/>
      <c r="I47" s="10"/>
    </row>
    <row r="48" spans="2:9" x14ac:dyDescent="0.3">
      <c r="B48" s="10"/>
      <c r="C48" s="10"/>
      <c r="D48" s="10">
        <v>3445</v>
      </c>
      <c r="E48" s="10">
        <v>33</v>
      </c>
      <c r="F48" s="10"/>
      <c r="G48" s="10"/>
      <c r="H48" s="10"/>
      <c r="I48" s="10"/>
    </row>
    <row r="49" spans="2:10" x14ac:dyDescent="0.3">
      <c r="B49" s="10"/>
      <c r="C49" s="10"/>
      <c r="D49" s="10">
        <v>334</v>
      </c>
      <c r="E49" s="10">
        <v>334</v>
      </c>
      <c r="F49" s="10"/>
      <c r="G49" s="10"/>
      <c r="H49" s="10"/>
      <c r="I49" s="10"/>
    </row>
    <row r="50" spans="2:10" x14ac:dyDescent="0.3">
      <c r="B50" s="10"/>
      <c r="C50" s="10"/>
      <c r="D50" s="10">
        <v>333</v>
      </c>
      <c r="E50" s="10">
        <v>44</v>
      </c>
      <c r="F50" s="10"/>
      <c r="G50" s="10"/>
      <c r="H50" s="10"/>
      <c r="I50" s="10"/>
    </row>
    <row r="51" spans="2:10" x14ac:dyDescent="0.3">
      <c r="B51" s="10"/>
      <c r="C51" s="10"/>
      <c r="D51" s="10">
        <v>22</v>
      </c>
      <c r="E51" s="10">
        <v>44</v>
      </c>
      <c r="F51" s="10"/>
      <c r="G51" s="10"/>
      <c r="H51" s="10"/>
      <c r="I51" s="10"/>
    </row>
    <row r="52" spans="2:10" x14ac:dyDescent="0.3">
      <c r="B52" s="10"/>
      <c r="C52" s="10"/>
      <c r="D52" s="10">
        <v>455</v>
      </c>
      <c r="E52" s="10">
        <v>44</v>
      </c>
      <c r="F52" s="10"/>
      <c r="G52" s="10"/>
      <c r="H52" s="10"/>
      <c r="I52" s="10"/>
    </row>
    <row r="53" spans="2:10" x14ac:dyDescent="0.3">
      <c r="B53" s="10"/>
      <c r="C53" s="10"/>
      <c r="D53" s="10">
        <v>33</v>
      </c>
      <c r="E53" s="10"/>
      <c r="F53" s="10"/>
      <c r="G53" s="10"/>
      <c r="H53" s="10"/>
      <c r="I53" s="10"/>
    </row>
    <row r="54" spans="2:10" x14ac:dyDescent="0.3">
      <c r="B54" s="10"/>
      <c r="C54" s="10"/>
      <c r="D54" s="10"/>
      <c r="E54" s="10"/>
      <c r="F54" s="10"/>
      <c r="G54" s="10"/>
      <c r="H54" s="10"/>
      <c r="I54" s="10"/>
    </row>
    <row r="58" spans="2:10" x14ac:dyDescent="0.3">
      <c r="C58" s="1" t="s">
        <v>38</v>
      </c>
      <c r="D58" s="1">
        <v>3</v>
      </c>
      <c r="E58" s="1"/>
      <c r="F58" s="1"/>
      <c r="G58" s="1"/>
      <c r="H58" s="1"/>
      <c r="I58" s="1"/>
      <c r="J58" s="1"/>
    </row>
    <row r="59" spans="2:10" x14ac:dyDescent="0.3">
      <c r="C59" s="1"/>
      <c r="D59" s="1"/>
      <c r="E59" s="1"/>
      <c r="F59" s="1"/>
      <c r="G59" s="1"/>
      <c r="H59" s="1"/>
      <c r="I59" s="1"/>
      <c r="J59" s="1"/>
    </row>
    <row r="60" spans="2:10" x14ac:dyDescent="0.3">
      <c r="C60" s="1"/>
      <c r="D60" s="1"/>
      <c r="E60" s="1"/>
      <c r="F60" s="1"/>
      <c r="G60" s="1"/>
      <c r="H60" s="1"/>
      <c r="I60" s="1"/>
      <c r="J60" s="1"/>
    </row>
    <row r="61" spans="2:10" x14ac:dyDescent="0.3">
      <c r="C61" s="1" t="s">
        <v>26</v>
      </c>
      <c r="D61" s="1"/>
      <c r="E61" s="1"/>
      <c r="F61" s="1"/>
      <c r="G61" s="1"/>
      <c r="H61" s="1"/>
      <c r="I61" s="1"/>
      <c r="J61" s="1"/>
    </row>
    <row r="62" spans="2:10" x14ac:dyDescent="0.3">
      <c r="C62" s="1">
        <v>3</v>
      </c>
      <c r="D62" s="1">
        <v>2</v>
      </c>
      <c r="E62" s="1">
        <v>56</v>
      </c>
      <c r="F62" s="1"/>
      <c r="G62" s="1"/>
      <c r="H62" s="1"/>
      <c r="I62" s="1"/>
      <c r="J62" s="1"/>
    </row>
    <row r="63" spans="2:10" x14ac:dyDescent="0.3">
      <c r="C63" s="1">
        <v>5</v>
      </c>
      <c r="D63" s="1">
        <v>34</v>
      </c>
      <c r="E63" s="1">
        <v>453</v>
      </c>
      <c r="F63" s="1"/>
      <c r="G63" s="1" t="s">
        <v>39</v>
      </c>
      <c r="H63" s="1" t="s">
        <v>45</v>
      </c>
      <c r="I63" s="1"/>
      <c r="J63" s="1"/>
    </row>
    <row r="64" spans="2:10" x14ac:dyDescent="0.3">
      <c r="C64" s="1">
        <v>6</v>
      </c>
      <c r="D64" s="1">
        <v>4</v>
      </c>
      <c r="E64" s="1">
        <v>535</v>
      </c>
      <c r="F64" s="1"/>
      <c r="G64" s="1" t="s">
        <v>40</v>
      </c>
      <c r="H64" s="1">
        <f>VAR(C62:E76)</f>
        <v>21441.737843551797</v>
      </c>
      <c r="I64" s="1"/>
      <c r="J64" s="1"/>
    </row>
    <row r="65" spans="3:10" x14ac:dyDescent="0.3">
      <c r="C65" s="1">
        <v>4</v>
      </c>
      <c r="D65" s="1">
        <v>4</v>
      </c>
      <c r="E65" s="1">
        <v>345</v>
      </c>
      <c r="F65" s="1"/>
      <c r="G65" s="1" t="s">
        <v>41</v>
      </c>
      <c r="H65" s="1"/>
      <c r="I65" s="1">
        <f>STDEV(C62:E76)</f>
        <v>146.4299759050441</v>
      </c>
      <c r="J65" s="1"/>
    </row>
    <row r="66" spans="3:10" x14ac:dyDescent="0.3">
      <c r="C66" s="1">
        <v>6</v>
      </c>
      <c r="D66" s="1">
        <v>6</v>
      </c>
      <c r="E66" s="1">
        <v>345</v>
      </c>
      <c r="F66" s="1"/>
      <c r="G66" s="1" t="s">
        <v>42</v>
      </c>
      <c r="H66" s="1"/>
      <c r="I66" s="1">
        <f>MIN(C62:E76)</f>
        <v>2</v>
      </c>
      <c r="J66" s="1"/>
    </row>
    <row r="67" spans="3:10" x14ac:dyDescent="0.3">
      <c r="C67" s="1">
        <v>3</v>
      </c>
      <c r="D67" s="1">
        <v>5</v>
      </c>
      <c r="E67" s="1">
        <v>343</v>
      </c>
      <c r="F67" s="1"/>
      <c r="G67" s="1" t="s">
        <v>43</v>
      </c>
      <c r="H67" s="1"/>
      <c r="I67" s="1">
        <f>MAX(C62:E76)</f>
        <v>535</v>
      </c>
      <c r="J67" s="1"/>
    </row>
    <row r="68" spans="3:10" x14ac:dyDescent="0.3">
      <c r="C68" s="1">
        <v>6</v>
      </c>
      <c r="D68" s="1">
        <v>3</v>
      </c>
      <c r="E68" s="1">
        <v>46</v>
      </c>
      <c r="F68" s="1"/>
      <c r="G68" s="1" t="s">
        <v>44</v>
      </c>
      <c r="H68" s="1"/>
      <c r="I68" s="1">
        <f>AVERAGE(C62:E76)</f>
        <v>84.272727272727266</v>
      </c>
      <c r="J68" s="1"/>
    </row>
    <row r="69" spans="3:10" x14ac:dyDescent="0.3">
      <c r="C69" s="1">
        <v>3</v>
      </c>
      <c r="D69" s="1">
        <v>5</v>
      </c>
      <c r="E69" s="1">
        <v>323</v>
      </c>
      <c r="F69" s="1"/>
      <c r="G69" s="1" t="s">
        <v>3</v>
      </c>
      <c r="H69" s="1">
        <f>AVERAGE(C62:E76)</f>
        <v>84.272727272727266</v>
      </c>
      <c r="I69" s="1"/>
      <c r="J69" s="1"/>
    </row>
    <row r="70" spans="3:10" x14ac:dyDescent="0.3">
      <c r="C70" s="1">
        <v>6</v>
      </c>
      <c r="D70" s="1">
        <v>3</v>
      </c>
      <c r="E70" s="1">
        <v>2</v>
      </c>
      <c r="F70" s="1"/>
      <c r="G70" s="1" t="s">
        <v>4</v>
      </c>
      <c r="H70" s="1">
        <f>MEDIAN(C62:E76)</f>
        <v>6</v>
      </c>
      <c r="I70" s="1"/>
      <c r="J70" s="1"/>
    </row>
    <row r="71" spans="3:10" x14ac:dyDescent="0.3">
      <c r="C71" s="1">
        <v>3</v>
      </c>
      <c r="D71" s="1">
        <v>6</v>
      </c>
      <c r="E71" s="1">
        <v>2</v>
      </c>
      <c r="F71" s="1"/>
      <c r="G71" s="1"/>
      <c r="H71" s="1"/>
      <c r="I71" s="1"/>
      <c r="J71" s="1"/>
    </row>
    <row r="72" spans="3:10" x14ac:dyDescent="0.3">
      <c r="C72" s="1">
        <v>6</v>
      </c>
      <c r="D72" s="1">
        <v>3</v>
      </c>
      <c r="E72" s="1">
        <v>234</v>
      </c>
      <c r="F72" s="1"/>
      <c r="G72" s="1"/>
      <c r="H72" s="1"/>
      <c r="I72" s="1"/>
      <c r="J72" s="1"/>
    </row>
    <row r="73" spans="3:10" x14ac:dyDescent="0.3">
      <c r="C73" s="1"/>
      <c r="D73" s="1">
        <v>6</v>
      </c>
      <c r="E73" s="1">
        <v>344</v>
      </c>
      <c r="F73" s="1"/>
      <c r="G73" s="1"/>
      <c r="H73" s="1"/>
      <c r="I73" s="1"/>
      <c r="J73" s="1"/>
    </row>
    <row r="74" spans="3:10" x14ac:dyDescent="0.3">
      <c r="C74" s="1">
        <v>3</v>
      </c>
      <c r="D74" s="1">
        <v>3</v>
      </c>
      <c r="E74" s="1">
        <v>34</v>
      </c>
      <c r="F74" s="1"/>
      <c r="G74" s="1"/>
      <c r="H74" s="1"/>
      <c r="I74" s="1"/>
      <c r="J74" s="1"/>
    </row>
    <row r="75" spans="3:10" x14ac:dyDescent="0.3">
      <c r="C75" s="1">
        <v>4</v>
      </c>
      <c r="D75" s="1">
        <v>53</v>
      </c>
      <c r="E75" s="1">
        <v>222</v>
      </c>
      <c r="F75" s="1"/>
      <c r="G75" s="1"/>
      <c r="H75" s="1"/>
      <c r="I75" s="1"/>
      <c r="J75" s="1"/>
    </row>
    <row r="76" spans="3:10" x14ac:dyDescent="0.3">
      <c r="C76" s="1">
        <v>3</v>
      </c>
      <c r="D76" s="1">
        <v>3</v>
      </c>
      <c r="E76" s="1">
        <v>223</v>
      </c>
      <c r="F76" s="1"/>
      <c r="G76" s="1"/>
      <c r="H76" s="1"/>
      <c r="I76" s="1"/>
      <c r="J76" s="1"/>
    </row>
    <row r="81" spans="3:8" x14ac:dyDescent="0.3">
      <c r="C81" s="2" t="s">
        <v>46</v>
      </c>
      <c r="D81" s="2"/>
      <c r="E81" s="2"/>
      <c r="F81" s="2"/>
      <c r="G81" s="2"/>
      <c r="H81" s="2"/>
    </row>
    <row r="82" spans="3:8" x14ac:dyDescent="0.3">
      <c r="C82" s="2"/>
      <c r="D82" s="2" t="s">
        <v>47</v>
      </c>
      <c r="E82" s="2"/>
      <c r="F82" s="2"/>
      <c r="G82" s="2"/>
      <c r="H82" s="2"/>
    </row>
    <row r="83" spans="3:8" x14ac:dyDescent="0.3">
      <c r="C83" s="2">
        <v>3</v>
      </c>
      <c r="D83" s="2">
        <v>6</v>
      </c>
      <c r="E83" s="2">
        <v>3</v>
      </c>
      <c r="F83" s="2"/>
      <c r="G83" s="2"/>
      <c r="H83" s="2"/>
    </row>
    <row r="84" spans="3:8" x14ac:dyDescent="0.3">
      <c r="C84" s="2">
        <v>5</v>
      </c>
      <c r="D84" s="2">
        <v>7</v>
      </c>
      <c r="E84" s="2">
        <v>5</v>
      </c>
      <c r="F84" s="2"/>
      <c r="G84" s="2"/>
      <c r="H84" s="2"/>
    </row>
    <row r="85" spans="3:8" x14ac:dyDescent="0.3">
      <c r="C85" s="2">
        <v>6</v>
      </c>
      <c r="D85" s="2">
        <v>9</v>
      </c>
      <c r="E85" s="2">
        <v>43</v>
      </c>
      <c r="F85" s="2" t="s">
        <v>48</v>
      </c>
      <c r="G85" s="2">
        <f>STDEV(C83:E97)</f>
        <v>18.641947919201531</v>
      </c>
      <c r="H85" s="2"/>
    </row>
    <row r="86" spans="3:8" x14ac:dyDescent="0.3">
      <c r="C86" s="2">
        <v>7</v>
      </c>
      <c r="D86" s="2">
        <v>6</v>
      </c>
      <c r="E86" s="2">
        <v>4</v>
      </c>
      <c r="F86" s="2" t="s">
        <v>49</v>
      </c>
      <c r="G86" s="2">
        <f>SUM(C83:E97)</f>
        <v>521</v>
      </c>
      <c r="H86" s="2">
        <f>COUNT(C83:E97)</f>
        <v>45</v>
      </c>
    </row>
    <row r="87" spans="3:8" x14ac:dyDescent="0.3">
      <c r="C87" s="2">
        <v>8</v>
      </c>
      <c r="D87" s="2">
        <v>8</v>
      </c>
      <c r="E87" s="2">
        <v>4</v>
      </c>
      <c r="F87" s="2"/>
      <c r="G87" s="2">
        <f>AVERAGE(C83:E97)</f>
        <v>11.577777777777778</v>
      </c>
      <c r="H87" s="2"/>
    </row>
    <row r="88" spans="3:8" x14ac:dyDescent="0.3">
      <c r="C88" s="2">
        <v>9</v>
      </c>
      <c r="D88" s="2">
        <v>5</v>
      </c>
      <c r="E88" s="2">
        <v>45</v>
      </c>
      <c r="F88" s="2" t="s">
        <v>51</v>
      </c>
      <c r="G88" s="2"/>
      <c r="H88" s="2"/>
    </row>
    <row r="89" spans="3:8" x14ac:dyDescent="0.3">
      <c r="C89" s="2">
        <v>9</v>
      </c>
      <c r="D89" s="2">
        <v>7</v>
      </c>
      <c r="E89" s="2">
        <v>56</v>
      </c>
      <c r="F89" s="2" t="s">
        <v>52</v>
      </c>
      <c r="G89" s="2">
        <f>MAX(C83:E97)</f>
        <v>99</v>
      </c>
      <c r="H89" s="2"/>
    </row>
    <row r="90" spans="3:8" x14ac:dyDescent="0.3">
      <c r="C90" s="2">
        <v>7</v>
      </c>
      <c r="D90" s="2">
        <v>4</v>
      </c>
      <c r="E90" s="2">
        <v>6</v>
      </c>
      <c r="F90" s="2" t="s">
        <v>31</v>
      </c>
      <c r="G90" s="2">
        <f>MIN(C83:E97)</f>
        <v>2</v>
      </c>
      <c r="H90" s="2"/>
    </row>
    <row r="91" spans="3:8" x14ac:dyDescent="0.3">
      <c r="C91" s="2">
        <v>99</v>
      </c>
      <c r="D91" s="2">
        <v>7</v>
      </c>
      <c r="E91" s="2">
        <v>6</v>
      </c>
      <c r="F91" s="2"/>
      <c r="G91" s="2"/>
      <c r="H91" s="2"/>
    </row>
    <row r="92" spans="3:8" x14ac:dyDescent="0.3">
      <c r="C92" s="2">
        <v>8</v>
      </c>
      <c r="D92" s="2">
        <v>4</v>
      </c>
      <c r="E92" s="2">
        <v>5</v>
      </c>
      <c r="F92" s="2"/>
      <c r="G92" s="2"/>
      <c r="H92" s="2"/>
    </row>
    <row r="93" spans="3:8" x14ac:dyDescent="0.3">
      <c r="C93" s="2">
        <v>56</v>
      </c>
      <c r="D93" s="2">
        <v>3</v>
      </c>
      <c r="E93" s="2">
        <v>4</v>
      </c>
      <c r="F93" s="2"/>
      <c r="G93" s="2"/>
      <c r="H93" s="2"/>
    </row>
    <row r="94" spans="3:8" x14ac:dyDescent="0.3">
      <c r="C94" s="2">
        <v>8</v>
      </c>
      <c r="D94" s="2">
        <v>4</v>
      </c>
      <c r="E94" s="2">
        <v>5</v>
      </c>
      <c r="F94" s="2"/>
      <c r="G94" s="2"/>
      <c r="H94" s="2"/>
    </row>
    <row r="95" spans="3:8" x14ac:dyDescent="0.3">
      <c r="C95" s="2">
        <v>5</v>
      </c>
      <c r="D95" s="2">
        <v>4</v>
      </c>
      <c r="E95" s="2">
        <v>4</v>
      </c>
      <c r="F95" s="2"/>
      <c r="G95" s="2"/>
      <c r="H95" s="2"/>
    </row>
    <row r="96" spans="3:8" x14ac:dyDescent="0.3">
      <c r="C96" s="2">
        <v>8</v>
      </c>
      <c r="D96" s="2">
        <v>3</v>
      </c>
      <c r="E96" s="2">
        <v>5</v>
      </c>
      <c r="F96" s="2"/>
      <c r="G96" s="2"/>
      <c r="H96" s="2"/>
    </row>
    <row r="97" spans="2:8" x14ac:dyDescent="0.3">
      <c r="C97" s="2">
        <v>6</v>
      </c>
      <c r="D97" s="2">
        <v>3</v>
      </c>
      <c r="E97" s="2">
        <v>2</v>
      </c>
      <c r="F97" s="2"/>
      <c r="G97" s="2"/>
      <c r="H97" s="2"/>
    </row>
    <row r="100" spans="2:8" x14ac:dyDescent="0.3">
      <c r="B100" s="12"/>
      <c r="C100" s="12" t="s">
        <v>53</v>
      </c>
      <c r="D100" s="12"/>
      <c r="E100" s="12"/>
      <c r="F100" s="12"/>
      <c r="G100" s="12"/>
      <c r="H100" s="12"/>
    </row>
    <row r="101" spans="2:8" x14ac:dyDescent="0.3">
      <c r="B101" s="12"/>
      <c r="C101" s="12"/>
      <c r="D101" s="12" t="s">
        <v>47</v>
      </c>
      <c r="E101" s="12"/>
      <c r="F101" s="12"/>
      <c r="G101" s="12"/>
      <c r="H101" s="12"/>
    </row>
    <row r="102" spans="2:8" x14ac:dyDescent="0.3">
      <c r="B102" s="12"/>
      <c r="C102" s="12"/>
      <c r="D102" s="12">
        <v>7</v>
      </c>
      <c r="E102" s="12">
        <v>34</v>
      </c>
      <c r="F102" s="12">
        <v>45</v>
      </c>
      <c r="G102" s="12">
        <v>34</v>
      </c>
      <c r="H102" s="12"/>
    </row>
    <row r="103" spans="2:8" x14ac:dyDescent="0.3">
      <c r="B103" s="12"/>
      <c r="C103" s="12"/>
      <c r="D103" s="12">
        <v>8</v>
      </c>
      <c r="E103" s="12">
        <v>56</v>
      </c>
      <c r="F103" s="12">
        <v>78</v>
      </c>
      <c r="G103" s="12">
        <v>66</v>
      </c>
      <c r="H103" s="12"/>
    </row>
    <row r="104" spans="2:8" x14ac:dyDescent="0.3">
      <c r="B104" s="12"/>
      <c r="C104" s="12"/>
      <c r="D104" s="12">
        <v>3</v>
      </c>
      <c r="E104" s="12">
        <v>78</v>
      </c>
      <c r="F104" s="12">
        <v>56</v>
      </c>
      <c r="G104" s="12">
        <v>34</v>
      </c>
      <c r="H104" s="12"/>
    </row>
    <row r="105" spans="2:8" x14ac:dyDescent="0.3">
      <c r="B105" s="12"/>
      <c r="C105" s="12"/>
      <c r="D105" s="12">
        <v>4</v>
      </c>
      <c r="E105" s="12">
        <v>56</v>
      </c>
      <c r="F105" s="12">
        <v>43</v>
      </c>
      <c r="G105" s="12">
        <v>33</v>
      </c>
      <c r="H105" s="12"/>
    </row>
    <row r="106" spans="2:8" x14ac:dyDescent="0.3">
      <c r="B106" s="12"/>
      <c r="C106" s="12"/>
      <c r="D106" s="12">
        <v>56</v>
      </c>
      <c r="E106" s="12">
        <v>67</v>
      </c>
      <c r="F106" s="12">
        <v>57</v>
      </c>
      <c r="G106" s="12">
        <v>22</v>
      </c>
      <c r="H106" s="12"/>
    </row>
    <row r="107" spans="2:8" x14ac:dyDescent="0.3">
      <c r="B107" s="12"/>
      <c r="C107" s="12"/>
      <c r="D107" s="12">
        <v>77</v>
      </c>
      <c r="E107" s="12">
        <v>35</v>
      </c>
      <c r="F107" s="12">
        <v>34</v>
      </c>
      <c r="G107" s="12">
        <v>24</v>
      </c>
      <c r="H107" s="12"/>
    </row>
    <row r="108" spans="2:8" x14ac:dyDescent="0.3">
      <c r="B108" s="12"/>
      <c r="C108" s="12"/>
      <c r="D108" s="12">
        <v>67</v>
      </c>
      <c r="E108" s="12">
        <v>78</v>
      </c>
      <c r="F108" s="12">
        <v>24</v>
      </c>
      <c r="G108" s="12">
        <v>56</v>
      </c>
      <c r="H108" s="12"/>
    </row>
    <row r="109" spans="2:8" x14ac:dyDescent="0.3">
      <c r="B109" s="12"/>
      <c r="C109" s="12"/>
      <c r="D109" s="12"/>
      <c r="E109" s="12"/>
      <c r="F109" s="12"/>
      <c r="G109" s="12"/>
      <c r="H109" s="12"/>
    </row>
    <row r="110" spans="2:8" x14ac:dyDescent="0.3">
      <c r="B110" s="12"/>
      <c r="C110" s="12" t="s">
        <v>54</v>
      </c>
      <c r="D110" s="12"/>
      <c r="E110" s="12"/>
      <c r="F110" s="12"/>
      <c r="G110" s="12"/>
      <c r="H110" s="12"/>
    </row>
    <row r="111" spans="2:8" x14ac:dyDescent="0.3">
      <c r="B111" s="12"/>
      <c r="C111" s="12" t="s">
        <v>55</v>
      </c>
      <c r="D111" s="12">
        <f>AVERAGE(D102:G108)</f>
        <v>44</v>
      </c>
      <c r="E111" s="12"/>
      <c r="F111" s="12"/>
      <c r="G111" s="12"/>
      <c r="H111" s="12"/>
    </row>
    <row r="112" spans="2:8" x14ac:dyDescent="0.3">
      <c r="B112" s="12"/>
      <c r="C112" s="12" t="s">
        <v>56</v>
      </c>
      <c r="D112" s="12"/>
      <c r="E112" s="12"/>
      <c r="F112" s="12">
        <v>0.1341</v>
      </c>
      <c r="G112" s="12"/>
      <c r="H112" s="12"/>
    </row>
    <row r="113" spans="2:8" x14ac:dyDescent="0.3">
      <c r="B113" s="12"/>
      <c r="C113" s="12" t="s">
        <v>58</v>
      </c>
      <c r="D113" s="12"/>
      <c r="E113" s="12"/>
      <c r="F113" s="12">
        <v>0.1341</v>
      </c>
      <c r="G113" s="12"/>
      <c r="H113" s="12"/>
    </row>
    <row r="114" spans="2:8" x14ac:dyDescent="0.3">
      <c r="B114" s="12"/>
      <c r="C114" s="12" t="s">
        <v>57</v>
      </c>
      <c r="D114" s="12"/>
      <c r="E114" s="12"/>
      <c r="F114" s="12">
        <f>SQRT(F112)</f>
        <v>0.3661966684720111</v>
      </c>
      <c r="G114" s="12"/>
      <c r="H114" s="12"/>
    </row>
    <row r="118" spans="2:8" ht="15" thickBot="1" x14ac:dyDescent="0.35"/>
    <row r="119" spans="2:8" ht="15.6" thickTop="1" thickBot="1" x14ac:dyDescent="0.35">
      <c r="B119" s="13" t="s">
        <v>59</v>
      </c>
      <c r="C119" s="13"/>
      <c r="D119" s="13"/>
      <c r="E119" s="13"/>
      <c r="F119" s="13"/>
      <c r="G119" s="13"/>
    </row>
    <row r="120" spans="2:8" ht="15.6" thickTop="1" thickBot="1" x14ac:dyDescent="0.35">
      <c r="B120" s="13"/>
      <c r="C120" s="13">
        <v>12</v>
      </c>
      <c r="D120" s="13">
        <v>44</v>
      </c>
      <c r="E120" s="13">
        <v>12</v>
      </c>
      <c r="F120" s="13">
        <v>123</v>
      </c>
      <c r="G120" s="13"/>
    </row>
    <row r="121" spans="2:8" ht="15.6" thickTop="1" thickBot="1" x14ac:dyDescent="0.35">
      <c r="B121" s="13"/>
      <c r="C121" s="13">
        <v>13</v>
      </c>
      <c r="D121" s="13">
        <v>89</v>
      </c>
      <c r="E121" s="13">
        <v>34</v>
      </c>
      <c r="F121" s="13">
        <v>456</v>
      </c>
      <c r="G121" s="13"/>
    </row>
    <row r="122" spans="2:8" ht="15.6" thickTop="1" thickBot="1" x14ac:dyDescent="0.35">
      <c r="B122" s="13"/>
      <c r="C122" s="13">
        <v>56</v>
      </c>
      <c r="D122" s="13">
        <v>554</v>
      </c>
      <c r="E122" s="13">
        <v>67</v>
      </c>
      <c r="F122" s="13">
        <v>789</v>
      </c>
      <c r="G122" s="13"/>
    </row>
    <row r="123" spans="2:8" ht="15.6" thickTop="1" thickBot="1" x14ac:dyDescent="0.35">
      <c r="B123" s="13"/>
      <c r="C123" s="13">
        <v>78</v>
      </c>
      <c r="D123" s="13">
        <v>67</v>
      </c>
      <c r="E123" s="13">
        <v>56</v>
      </c>
      <c r="F123" s="13">
        <v>344</v>
      </c>
      <c r="G123" s="13"/>
    </row>
    <row r="124" spans="2:8" ht="15.6" thickTop="1" thickBot="1" x14ac:dyDescent="0.35">
      <c r="B124" s="13"/>
      <c r="C124" s="13">
        <v>90</v>
      </c>
      <c r="D124" s="13">
        <v>46</v>
      </c>
      <c r="E124" s="13">
        <v>78</v>
      </c>
      <c r="F124" s="13">
        <v>353</v>
      </c>
      <c r="G124" s="13"/>
    </row>
    <row r="125" spans="2:8" ht="15.6" thickTop="1" thickBot="1" x14ac:dyDescent="0.35">
      <c r="B125" s="13"/>
      <c r="C125" s="13">
        <v>67</v>
      </c>
      <c r="D125" s="13">
        <v>44</v>
      </c>
      <c r="E125" s="13">
        <v>34</v>
      </c>
      <c r="F125" s="13">
        <v>453</v>
      </c>
      <c r="G125" s="13"/>
    </row>
    <row r="126" spans="2:8" ht="15.6" thickTop="1" thickBot="1" x14ac:dyDescent="0.35">
      <c r="B126" s="13"/>
      <c r="C126" s="13">
        <v>45</v>
      </c>
      <c r="D126" s="13">
        <v>22</v>
      </c>
      <c r="E126" s="13">
        <v>0</v>
      </c>
      <c r="F126" s="13">
        <v>334</v>
      </c>
      <c r="G126" s="13"/>
    </row>
    <row r="127" spans="2:8" ht="15.6" thickTop="1" thickBot="1" x14ac:dyDescent="0.35">
      <c r="B127" s="13"/>
      <c r="C127" s="13">
        <v>67</v>
      </c>
      <c r="D127" s="13">
        <v>56</v>
      </c>
      <c r="E127" s="13">
        <v>56</v>
      </c>
      <c r="F127" s="13">
        <v>345</v>
      </c>
      <c r="G127" s="13"/>
    </row>
    <row r="128" spans="2:8" ht="15.6" thickTop="1" thickBot="1" x14ac:dyDescent="0.35">
      <c r="B128" s="13"/>
      <c r="C128" s="13"/>
      <c r="D128" s="13"/>
      <c r="E128" s="13"/>
      <c r="F128" s="13"/>
      <c r="G128" s="13"/>
    </row>
    <row r="129" spans="2:9" ht="15.6" thickTop="1" thickBot="1" x14ac:dyDescent="0.35">
      <c r="B129" s="13"/>
      <c r="C129" s="13" t="s">
        <v>60</v>
      </c>
      <c r="D129" s="13"/>
      <c r="E129" s="13"/>
      <c r="F129" s="13"/>
      <c r="G129" s="13"/>
    </row>
    <row r="130" spans="2:9" ht="15.6" thickTop="1" thickBot="1" x14ac:dyDescent="0.35">
      <c r="B130" s="13"/>
      <c r="C130" s="13" t="s">
        <v>49</v>
      </c>
      <c r="D130" s="13">
        <f>AVERAGE(C120:F127)</f>
        <v>152.625</v>
      </c>
      <c r="E130" s="13"/>
      <c r="F130" s="13"/>
      <c r="G130" s="13"/>
    </row>
    <row r="131" spans="2:9" ht="15.6" thickTop="1" thickBot="1" x14ac:dyDescent="0.35">
      <c r="B131" s="13" t="s">
        <v>62</v>
      </c>
      <c r="C131" s="13" t="s">
        <v>61</v>
      </c>
      <c r="D131" s="13">
        <f>MAX(C120:F127)</f>
        <v>789</v>
      </c>
      <c r="E131" s="13"/>
      <c r="F131" s="13"/>
      <c r="G131" s="13"/>
    </row>
    <row r="132" spans="2:9" ht="15.6" thickTop="1" thickBot="1" x14ac:dyDescent="0.35">
      <c r="B132" s="13"/>
      <c r="C132" s="13" t="s">
        <v>52</v>
      </c>
      <c r="D132" s="13">
        <f>MAX(C120:F127)</f>
        <v>789</v>
      </c>
      <c r="E132" s="13"/>
      <c r="F132" s="13"/>
      <c r="G132" s="13"/>
    </row>
    <row r="133" spans="2:9" ht="15.6" thickTop="1" thickBot="1" x14ac:dyDescent="0.35">
      <c r="B133" s="13"/>
      <c r="C133" s="13"/>
      <c r="D133" s="13"/>
      <c r="E133" s="13"/>
      <c r="F133" s="13"/>
      <c r="G133" s="13"/>
    </row>
    <row r="134" spans="2:9" ht="15.6" thickTop="1" thickBot="1" x14ac:dyDescent="0.35">
      <c r="B134" s="13" t="s">
        <v>63</v>
      </c>
      <c r="C134" s="13" t="s">
        <v>64</v>
      </c>
      <c r="D134" s="13">
        <v>0.95799999999999996</v>
      </c>
      <c r="E134" s="13"/>
      <c r="F134" s="13"/>
      <c r="G134" s="13"/>
    </row>
    <row r="135" spans="2:9" ht="15.6" thickTop="1" thickBot="1" x14ac:dyDescent="0.35">
      <c r="B135" s="13" t="s">
        <v>65</v>
      </c>
      <c r="C135" s="13">
        <f>SQRT(D134)</f>
        <v>0.9787747442593725</v>
      </c>
      <c r="D135" s="13"/>
      <c r="E135" s="13"/>
      <c r="F135" s="13"/>
      <c r="G135" s="13"/>
    </row>
    <row r="136" spans="2:9" ht="15.6" thickTop="1" thickBot="1" x14ac:dyDescent="0.35">
      <c r="B136" s="13"/>
      <c r="C136" s="13"/>
      <c r="D136" s="13"/>
      <c r="E136" s="13"/>
      <c r="F136" s="13"/>
      <c r="G136" s="13"/>
    </row>
    <row r="137" spans="2:9" ht="15" thickTop="1" x14ac:dyDescent="0.3"/>
    <row r="139" spans="2:9" x14ac:dyDescent="0.3">
      <c r="B139" s="11" t="s">
        <v>66</v>
      </c>
      <c r="C139" s="11"/>
      <c r="D139" s="11"/>
      <c r="E139" s="11"/>
      <c r="F139" s="11"/>
      <c r="G139" s="11"/>
      <c r="H139" s="11"/>
      <c r="I139" s="11"/>
    </row>
    <row r="140" spans="2:9" x14ac:dyDescent="0.3">
      <c r="B140" s="11"/>
      <c r="C140" s="11" t="s">
        <v>67</v>
      </c>
      <c r="D140" s="11">
        <v>23</v>
      </c>
      <c r="E140" s="11">
        <v>56</v>
      </c>
      <c r="F140" s="11">
        <v>78</v>
      </c>
      <c r="G140" s="11">
        <v>78</v>
      </c>
      <c r="H140" s="11">
        <v>90</v>
      </c>
      <c r="I140" s="11">
        <v>34</v>
      </c>
    </row>
    <row r="141" spans="2:9" x14ac:dyDescent="0.3">
      <c r="B141" s="11"/>
      <c r="C141" s="11" t="s">
        <v>68</v>
      </c>
      <c r="D141" s="11">
        <v>889</v>
      </c>
      <c r="E141" s="11">
        <v>56</v>
      </c>
      <c r="F141" s="11">
        <v>12</v>
      </c>
      <c r="G141" s="11">
        <v>34</v>
      </c>
      <c r="H141" s="11">
        <v>45</v>
      </c>
      <c r="I141" s="11">
        <v>67</v>
      </c>
    </row>
    <row r="142" spans="2:9" x14ac:dyDescent="0.3">
      <c r="B142" s="11"/>
      <c r="C142" s="11" t="s">
        <v>69</v>
      </c>
      <c r="D142" s="11">
        <v>678</v>
      </c>
      <c r="E142" s="11">
        <v>677</v>
      </c>
      <c r="F142" s="11">
        <v>575</v>
      </c>
      <c r="G142" s="11">
        <v>886</v>
      </c>
      <c r="H142" s="11">
        <v>466</v>
      </c>
      <c r="I142" s="11">
        <v>456</v>
      </c>
    </row>
    <row r="143" spans="2:9" x14ac:dyDescent="0.3">
      <c r="B143" s="11"/>
      <c r="C143" s="11" t="s">
        <v>70</v>
      </c>
      <c r="D143" s="11">
        <v>566</v>
      </c>
      <c r="E143" s="11">
        <v>4556</v>
      </c>
      <c r="F143" s="11">
        <v>454</v>
      </c>
      <c r="G143" s="11">
        <v>5465</v>
      </c>
      <c r="H143" s="11">
        <v>434</v>
      </c>
      <c r="I143" s="11">
        <v>454</v>
      </c>
    </row>
    <row r="144" spans="2:9" x14ac:dyDescent="0.3">
      <c r="B144" s="11"/>
      <c r="C144" s="11" t="s">
        <v>71</v>
      </c>
      <c r="D144" s="11">
        <v>566</v>
      </c>
      <c r="E144" s="11">
        <v>567</v>
      </c>
      <c r="F144" s="11">
        <v>566</v>
      </c>
      <c r="G144" s="11">
        <v>566</v>
      </c>
      <c r="H144" s="11">
        <v>543</v>
      </c>
      <c r="I144" s="11">
        <v>553</v>
      </c>
    </row>
    <row r="145" spans="2:9" x14ac:dyDescent="0.3">
      <c r="B145" s="11"/>
      <c r="C145" s="11"/>
      <c r="D145" s="11"/>
      <c r="E145" s="11"/>
      <c r="F145" s="11"/>
      <c r="G145" s="11"/>
      <c r="H145" s="11"/>
      <c r="I145" s="11"/>
    </row>
    <row r="146" spans="2:9" x14ac:dyDescent="0.3">
      <c r="B146" s="11"/>
      <c r="C146" s="11"/>
      <c r="D146" s="11"/>
      <c r="E146" s="11"/>
      <c r="F146" s="11"/>
      <c r="G146" s="11"/>
      <c r="H146" s="11"/>
      <c r="I146" s="11"/>
    </row>
    <row r="147" spans="2:9" x14ac:dyDescent="0.3">
      <c r="B147" s="11"/>
      <c r="C147" s="11" t="s">
        <v>74</v>
      </c>
      <c r="D147" s="11" t="s">
        <v>72</v>
      </c>
      <c r="E147" s="11" t="s">
        <v>43</v>
      </c>
      <c r="F147" s="11" t="s">
        <v>76</v>
      </c>
      <c r="G147" s="11" t="s">
        <v>75</v>
      </c>
      <c r="H147" s="11" t="s">
        <v>77</v>
      </c>
      <c r="I147" s="11" t="s">
        <v>78</v>
      </c>
    </row>
    <row r="148" spans="2:9" x14ac:dyDescent="0.3">
      <c r="B148" s="11"/>
      <c r="C148" s="11" t="s">
        <v>67</v>
      </c>
      <c r="D148" s="11">
        <f>AVERAGE(D140:I140)</f>
        <v>59.833333333333336</v>
      </c>
      <c r="E148" s="11">
        <f>MAX(D140:I140)</f>
        <v>90</v>
      </c>
      <c r="F148" s="11">
        <v>1.04</v>
      </c>
      <c r="G148" s="11">
        <f>MIN(C141:I141)</f>
        <v>12</v>
      </c>
      <c r="H148" s="11">
        <f>STDEV(D140:I140)</f>
        <v>26.865715450489429</v>
      </c>
      <c r="I148" s="11">
        <f>SQRT(H148)</f>
        <v>5.1832147795059997</v>
      </c>
    </row>
    <row r="149" spans="2:9" x14ac:dyDescent="0.3">
      <c r="B149" s="11"/>
      <c r="C149" s="11" t="s">
        <v>68</v>
      </c>
      <c r="D149" s="11">
        <f>AVERAGE(D141:I141)</f>
        <v>183.83333333333334</v>
      </c>
      <c r="E149" s="11">
        <f>MAX(D141:I141)</f>
        <v>889</v>
      </c>
      <c r="F149" s="11">
        <v>2.16</v>
      </c>
      <c r="G149" s="11">
        <f>MIN(C142:I142)</f>
        <v>456</v>
      </c>
      <c r="H149" s="11">
        <f>STDEV(D141:I141)</f>
        <v>345.97769677634813</v>
      </c>
      <c r="I149" s="11">
        <f>SQRT(H149)</f>
        <v>18.600475713710875</v>
      </c>
    </row>
    <row r="150" spans="2:9" x14ac:dyDescent="0.3">
      <c r="B150" s="11"/>
      <c r="C150" s="11" t="s">
        <v>69</v>
      </c>
      <c r="D150" s="11">
        <f>AVERAGE(D142:I142)</f>
        <v>623</v>
      </c>
      <c r="E150" s="11">
        <f>MAX(D142:I142)</f>
        <v>886</v>
      </c>
      <c r="F150" s="11">
        <v>2.63</v>
      </c>
      <c r="G150" s="11">
        <f>MIN(C143:I143)</f>
        <v>434</v>
      </c>
      <c r="H150" s="11">
        <f>STDEV(D142:I142)</f>
        <v>161.21538388131574</v>
      </c>
      <c r="I150" s="11">
        <f>SQRT(H150)</f>
        <v>12.697062017699833</v>
      </c>
    </row>
    <row r="151" spans="2:9" x14ac:dyDescent="0.3">
      <c r="B151" s="11"/>
      <c r="C151" s="11" t="s">
        <v>70</v>
      </c>
      <c r="D151" s="11">
        <f>AVERAGE(D143:I143)</f>
        <v>1988.1666666666667</v>
      </c>
      <c r="E151" s="11">
        <f>MAX(D143:I143)</f>
        <v>5465</v>
      </c>
      <c r="F151" s="11">
        <v>1.21</v>
      </c>
      <c r="G151" s="11">
        <f>MIN(C144:I144)</f>
        <v>543</v>
      </c>
      <c r="H151" s="11">
        <f>STDEV(D143:I143)</f>
        <v>2359.1297053504004</v>
      </c>
      <c r="I151" s="11">
        <f>SQRT(H151)</f>
        <v>48.570873014085308</v>
      </c>
    </row>
    <row r="152" spans="2:9" x14ac:dyDescent="0.3">
      <c r="B152" s="11"/>
      <c r="C152" s="11" t="s">
        <v>71</v>
      </c>
      <c r="D152" s="11">
        <f>AVERAGE(D144:I144)</f>
        <v>560.16666666666663</v>
      </c>
      <c r="E152" s="11">
        <f>MAX(D144:I144)</f>
        <v>567</v>
      </c>
      <c r="F152" s="11">
        <v>0.9</v>
      </c>
      <c r="G152" s="11">
        <f>MIN(D144:I144)</f>
        <v>543</v>
      </c>
      <c r="H152" s="11">
        <f>STDEV(D144:I144)</f>
        <v>9.9481991670184549</v>
      </c>
      <c r="I152" s="11">
        <f>SQRT(H152)</f>
        <v>3.1540765949828256</v>
      </c>
    </row>
    <row r="153" spans="2:9" x14ac:dyDescent="0.3">
      <c r="B153" s="11"/>
      <c r="C153" s="11"/>
      <c r="D153" s="11"/>
      <c r="E153" s="11"/>
      <c r="F153" s="11"/>
      <c r="G153" s="11"/>
      <c r="H153" s="11"/>
      <c r="I153" s="11"/>
    </row>
  </sheetData>
  <mergeCells count="1">
    <mergeCell ref="B2: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31"/>
  <sheetViews>
    <sheetView topLeftCell="A103" zoomScale="85" zoomScaleNormal="85" workbookViewId="0">
      <selection activeCell="F102" sqref="F102"/>
    </sheetView>
  </sheetViews>
  <sheetFormatPr defaultRowHeight="14.4" x14ac:dyDescent="0.3"/>
  <cols>
    <col min="1" max="1" width="19.88671875" customWidth="1"/>
    <col min="4" max="5" width="19.5546875" customWidth="1"/>
  </cols>
  <sheetData>
    <row r="2" spans="1:38" ht="23.4" x14ac:dyDescent="0.45">
      <c r="A2" t="s">
        <v>90</v>
      </c>
      <c r="B2" s="1"/>
      <c r="C2" s="1"/>
      <c r="D2" s="14"/>
      <c r="E2" s="14" t="s">
        <v>79</v>
      </c>
      <c r="F2" s="14"/>
      <c r="G2" s="14"/>
      <c r="H2" s="1"/>
      <c r="I2" s="1"/>
    </row>
    <row r="3" spans="1:38" x14ac:dyDescent="0.3">
      <c r="B3" s="1"/>
      <c r="C3" s="1"/>
      <c r="D3" s="1"/>
      <c r="E3" s="1"/>
      <c r="F3" s="1"/>
      <c r="G3" s="1"/>
      <c r="H3" s="1"/>
      <c r="I3" s="1"/>
    </row>
    <row r="4" spans="1:38" x14ac:dyDescent="0.3">
      <c r="A4" s="11"/>
      <c r="B4" s="11"/>
      <c r="C4" s="11" t="s">
        <v>26</v>
      </c>
      <c r="D4" s="11" t="s">
        <v>80</v>
      </c>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row>
    <row r="5" spans="1:38" x14ac:dyDescent="0.3">
      <c r="A5" s="11" t="s">
        <v>82</v>
      </c>
      <c r="B5" s="11"/>
      <c r="C5" s="11">
        <v>27</v>
      </c>
      <c r="D5" s="11">
        <v>3</v>
      </c>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row>
    <row r="6" spans="1:38" x14ac:dyDescent="0.3">
      <c r="A6" s="11"/>
      <c r="B6" s="11"/>
      <c r="C6" s="11">
        <v>28</v>
      </c>
      <c r="D6" s="11">
        <v>5</v>
      </c>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row>
    <row r="7" spans="1:38" x14ac:dyDescent="0.3">
      <c r="A7" s="11"/>
      <c r="B7" s="11"/>
      <c r="C7" s="11">
        <v>29</v>
      </c>
      <c r="D7" s="11">
        <v>6</v>
      </c>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row>
    <row r="8" spans="1:38" x14ac:dyDescent="0.3">
      <c r="A8" s="11"/>
      <c r="B8" s="11"/>
      <c r="C8" s="11">
        <v>30</v>
      </c>
      <c r="D8" s="11">
        <v>6</v>
      </c>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3">
      <c r="A9" s="11"/>
      <c r="B9" s="11"/>
      <c r="C9" s="11">
        <v>31</v>
      </c>
      <c r="D9" s="11">
        <v>10</v>
      </c>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x14ac:dyDescent="0.3">
      <c r="A10" s="11"/>
      <c r="B10" s="11"/>
      <c r="C10" s="15">
        <v>32</v>
      </c>
      <c r="D10" s="11">
        <v>8</v>
      </c>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3">
      <c r="A11" s="11"/>
      <c r="B11" s="11"/>
      <c r="C11" s="11">
        <v>33</v>
      </c>
      <c r="D11" s="11">
        <v>4</v>
      </c>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x14ac:dyDescent="0.3">
      <c r="A12" s="11"/>
      <c r="B12" s="11"/>
      <c r="C12" s="11">
        <v>34</v>
      </c>
      <c r="D12" s="11">
        <v>7</v>
      </c>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3">
      <c r="A13" s="11"/>
      <c r="B13" s="11"/>
      <c r="C13" s="11">
        <v>35</v>
      </c>
      <c r="D13" s="11">
        <v>4</v>
      </c>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x14ac:dyDescent="0.3">
      <c r="A14" s="11"/>
      <c r="B14" s="11"/>
      <c r="C14" s="11">
        <v>36</v>
      </c>
      <c r="D14" s="11">
        <v>8</v>
      </c>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3">
      <c r="A15" s="11"/>
      <c r="B15" s="11"/>
      <c r="C15" s="11">
        <v>37</v>
      </c>
      <c r="D15" s="11">
        <v>4</v>
      </c>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x14ac:dyDescent="0.3">
      <c r="A16" s="11"/>
      <c r="B16" s="11"/>
      <c r="C16" s="11">
        <v>38</v>
      </c>
      <c r="D16" s="11">
        <v>6</v>
      </c>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3">
      <c r="A17" s="11"/>
      <c r="B17" s="11"/>
      <c r="C17" s="11">
        <v>39</v>
      </c>
      <c r="D17" s="11">
        <v>6</v>
      </c>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x14ac:dyDescent="0.3">
      <c r="A18" s="11"/>
      <c r="B18" s="11"/>
      <c r="C18" s="11">
        <v>40</v>
      </c>
      <c r="D18" s="11">
        <v>6</v>
      </c>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3">
      <c r="A19" s="16" t="s">
        <v>81</v>
      </c>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1"/>
    </row>
    <row r="20" spans="1:38"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3">
      <c r="A21" s="11" t="s">
        <v>83</v>
      </c>
      <c r="B21" s="11"/>
      <c r="C21" s="11">
        <f>MODE(D5:D18)</f>
        <v>6</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x14ac:dyDescent="0.3">
      <c r="A22" s="11" t="s">
        <v>84</v>
      </c>
      <c r="B22" s="11"/>
      <c r="C22" s="11">
        <v>6</v>
      </c>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3">
      <c r="A23" s="11" t="s">
        <v>87</v>
      </c>
      <c r="B23" s="11" t="s">
        <v>75</v>
      </c>
      <c r="C23" s="11">
        <f>MAX(D5:D18)</f>
        <v>10</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x14ac:dyDescent="0.3">
      <c r="A24" s="11"/>
      <c r="B24" s="11" t="s">
        <v>86</v>
      </c>
      <c r="C24" s="11">
        <f>MIN(D5:D18)</f>
        <v>3</v>
      </c>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3">
      <c r="A25" s="11" t="s">
        <v>88</v>
      </c>
      <c r="B25" s="11" t="s">
        <v>89</v>
      </c>
      <c r="C25" s="11">
        <f>C23-C24</f>
        <v>7</v>
      </c>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30" spans="1:38" x14ac:dyDescent="0.3">
      <c r="A30" s="1" t="s">
        <v>91</v>
      </c>
      <c r="B30" s="1"/>
      <c r="C30" s="1"/>
      <c r="D30" s="1"/>
      <c r="E30" s="1"/>
      <c r="F30" s="1"/>
      <c r="G30" s="1"/>
      <c r="H30" s="1"/>
      <c r="I30" s="1"/>
    </row>
    <row r="31" spans="1:38" x14ac:dyDescent="0.3">
      <c r="A31" s="1" t="s">
        <v>92</v>
      </c>
      <c r="B31" s="17" t="s">
        <v>93</v>
      </c>
      <c r="C31" s="1"/>
      <c r="D31" s="1"/>
      <c r="E31" s="1"/>
      <c r="F31" s="1"/>
      <c r="G31" s="1"/>
      <c r="H31" s="1"/>
      <c r="I31" s="1"/>
    </row>
    <row r="32" spans="1:38" x14ac:dyDescent="0.3">
      <c r="A32" s="1"/>
      <c r="B32" s="1"/>
      <c r="C32" s="1"/>
      <c r="D32" s="1"/>
      <c r="E32" s="1"/>
      <c r="F32" s="1"/>
      <c r="G32" s="1"/>
      <c r="H32" s="1"/>
      <c r="I32" s="1"/>
    </row>
    <row r="33" spans="1:9" x14ac:dyDescent="0.3">
      <c r="A33" s="1"/>
      <c r="B33" s="1">
        <v>56</v>
      </c>
      <c r="C33" s="1">
        <v>16</v>
      </c>
      <c r="D33" s="1"/>
      <c r="E33" s="1"/>
      <c r="F33" s="1"/>
      <c r="G33" s="1"/>
      <c r="H33" s="1"/>
      <c r="I33" s="1"/>
    </row>
    <row r="34" spans="1:9" x14ac:dyDescent="0.3">
      <c r="A34" s="1"/>
      <c r="B34" s="1">
        <v>57</v>
      </c>
      <c r="C34" s="1">
        <v>8</v>
      </c>
      <c r="D34" s="1"/>
      <c r="E34" s="1"/>
      <c r="F34" s="1"/>
      <c r="G34" s="1"/>
      <c r="H34" s="1"/>
      <c r="I34" s="1"/>
    </row>
    <row r="35" spans="1:9" x14ac:dyDescent="0.3">
      <c r="A35" s="1"/>
      <c r="B35" s="1">
        <v>58</v>
      </c>
      <c r="C35" s="1">
        <v>7</v>
      </c>
      <c r="D35" s="1"/>
      <c r="E35" s="1"/>
      <c r="F35" s="1"/>
      <c r="G35" s="1"/>
      <c r="H35" s="1"/>
      <c r="I35" s="1"/>
    </row>
    <row r="36" spans="1:9" x14ac:dyDescent="0.3">
      <c r="A36" s="1"/>
      <c r="B36" s="1">
        <v>59</v>
      </c>
      <c r="C36" s="1">
        <v>6</v>
      </c>
      <c r="D36" s="1"/>
      <c r="E36" s="1"/>
      <c r="F36" s="1"/>
      <c r="G36" s="1"/>
      <c r="H36" s="1"/>
      <c r="I36" s="1"/>
    </row>
    <row r="37" spans="1:9" x14ac:dyDescent="0.3">
      <c r="A37" s="1"/>
      <c r="B37" s="1">
        <v>60</v>
      </c>
      <c r="C37" s="1">
        <v>5</v>
      </c>
      <c r="D37" s="1"/>
      <c r="E37" s="1"/>
      <c r="F37" s="1"/>
      <c r="G37" s="1"/>
      <c r="H37" s="1"/>
      <c r="I37" s="1"/>
    </row>
    <row r="38" spans="1:9" x14ac:dyDescent="0.3">
      <c r="A38" s="1"/>
      <c r="B38" s="1">
        <v>34</v>
      </c>
      <c r="C38" s="1">
        <v>4</v>
      </c>
      <c r="D38" s="1"/>
      <c r="E38" s="1"/>
      <c r="F38" s="1"/>
      <c r="G38" s="1"/>
      <c r="H38" s="1"/>
      <c r="I38" s="1"/>
    </row>
    <row r="39" spans="1:9" x14ac:dyDescent="0.3">
      <c r="A39" s="1"/>
      <c r="B39" s="1">
        <v>56</v>
      </c>
      <c r="C39" s="1">
        <v>3</v>
      </c>
      <c r="D39" s="1"/>
      <c r="E39" s="1"/>
      <c r="F39" s="1"/>
      <c r="G39" s="1"/>
      <c r="H39" s="1"/>
      <c r="I39" s="1"/>
    </row>
    <row r="40" spans="1:9" x14ac:dyDescent="0.3">
      <c r="A40" s="1"/>
      <c r="B40" s="1">
        <v>78</v>
      </c>
      <c r="C40" s="1">
        <v>2</v>
      </c>
      <c r="D40" s="1"/>
      <c r="E40" s="1"/>
      <c r="F40" s="1"/>
      <c r="G40" s="1"/>
      <c r="H40" s="1"/>
      <c r="I40" s="1"/>
    </row>
    <row r="41" spans="1:9" x14ac:dyDescent="0.3">
      <c r="A41" s="1"/>
      <c r="B41" s="1">
        <v>56</v>
      </c>
      <c r="C41" s="1">
        <v>77</v>
      </c>
      <c r="D41" s="1"/>
      <c r="E41" s="1"/>
      <c r="F41" s="1"/>
      <c r="G41" s="1"/>
      <c r="H41" s="1"/>
      <c r="I41" s="1"/>
    </row>
    <row r="42" spans="1:9" x14ac:dyDescent="0.3">
      <c r="A42" s="1"/>
      <c r="B42" s="1">
        <v>46</v>
      </c>
      <c r="C42" s="1">
        <v>66</v>
      </c>
      <c r="D42" s="1"/>
      <c r="E42" s="1"/>
      <c r="F42" s="1"/>
      <c r="G42" s="1"/>
      <c r="H42" s="1"/>
      <c r="I42" s="1"/>
    </row>
    <row r="43" spans="1:9" x14ac:dyDescent="0.3">
      <c r="A43" s="1"/>
      <c r="B43" s="1">
        <v>45</v>
      </c>
      <c r="C43" s="1">
        <v>77</v>
      </c>
      <c r="D43" s="1"/>
      <c r="E43" s="1"/>
      <c r="F43" s="1"/>
      <c r="G43" s="1"/>
      <c r="H43" s="1"/>
      <c r="I43" s="1"/>
    </row>
    <row r="44" spans="1:9" x14ac:dyDescent="0.3">
      <c r="A44" s="1"/>
      <c r="B44" s="1">
        <v>345</v>
      </c>
      <c r="C44" s="1">
        <v>66</v>
      </c>
      <c r="D44" s="1"/>
      <c r="E44" s="1"/>
      <c r="F44" s="1"/>
      <c r="G44" s="1"/>
      <c r="H44" s="1"/>
      <c r="I44" s="1"/>
    </row>
    <row r="45" spans="1:9" x14ac:dyDescent="0.3">
      <c r="A45" s="1"/>
      <c r="B45" s="1">
        <v>34</v>
      </c>
      <c r="C45" s="1">
        <v>3</v>
      </c>
      <c r="D45" s="1"/>
      <c r="E45" s="1"/>
      <c r="F45" s="1"/>
      <c r="G45" s="1"/>
      <c r="H45" s="1"/>
      <c r="I45" s="1"/>
    </row>
    <row r="46" spans="1:9" x14ac:dyDescent="0.3">
      <c r="A46" s="1"/>
      <c r="B46" s="1">
        <v>35</v>
      </c>
      <c r="C46" s="1">
        <v>77</v>
      </c>
      <c r="D46" s="1"/>
      <c r="E46" s="1"/>
      <c r="F46" s="1"/>
      <c r="G46" s="1"/>
      <c r="H46" s="1"/>
      <c r="I46" s="1"/>
    </row>
    <row r="47" spans="1:9" x14ac:dyDescent="0.3">
      <c r="A47" s="1"/>
      <c r="B47" s="1">
        <v>24</v>
      </c>
      <c r="C47" s="1">
        <v>66</v>
      </c>
      <c r="D47" s="1"/>
      <c r="E47" s="1"/>
      <c r="F47" s="1"/>
      <c r="G47" s="1"/>
      <c r="H47" s="1"/>
      <c r="I47" s="1"/>
    </row>
    <row r="48" spans="1:9" x14ac:dyDescent="0.3">
      <c r="A48" s="1"/>
      <c r="B48" s="1">
        <v>4</v>
      </c>
      <c r="C48" s="1">
        <v>5</v>
      </c>
      <c r="D48" s="1"/>
      <c r="E48" s="1"/>
      <c r="F48" s="1"/>
      <c r="G48" s="1"/>
      <c r="H48" s="1"/>
      <c r="I48" s="1"/>
    </row>
    <row r="49" spans="1:17" x14ac:dyDescent="0.3">
      <c r="A49" s="1"/>
      <c r="B49" s="1">
        <v>43</v>
      </c>
      <c r="C49" s="1">
        <v>2</v>
      </c>
      <c r="D49" s="1"/>
      <c r="E49" s="1"/>
      <c r="F49" s="1"/>
      <c r="G49" s="1"/>
      <c r="H49" s="1"/>
      <c r="I49" s="1"/>
    </row>
    <row r="50" spans="1:17" x14ac:dyDescent="0.3">
      <c r="A50" s="1"/>
      <c r="B50" s="1"/>
      <c r="C50" s="1"/>
      <c r="D50" s="1"/>
      <c r="E50" s="1"/>
      <c r="F50" s="1"/>
      <c r="G50" s="1"/>
      <c r="H50" s="1"/>
      <c r="I50" s="1"/>
    </row>
    <row r="51" spans="1:17" x14ac:dyDescent="0.3">
      <c r="A51" s="1"/>
      <c r="B51" s="1" t="s">
        <v>94</v>
      </c>
      <c r="C51" s="1">
        <f>AVERAGE(C33:C49)</f>
        <v>28.823529411764707</v>
      </c>
      <c r="D51" s="1"/>
      <c r="E51" s="1"/>
      <c r="F51" s="1"/>
      <c r="G51" s="1"/>
      <c r="H51" s="1"/>
      <c r="I51" s="1"/>
    </row>
    <row r="52" spans="1:17" x14ac:dyDescent="0.3">
      <c r="A52" s="1"/>
      <c r="B52" s="1" t="s">
        <v>84</v>
      </c>
      <c r="C52" s="1">
        <f>MEDIAN(C33:C49)</f>
        <v>7</v>
      </c>
      <c r="D52" s="1"/>
      <c r="E52" s="1"/>
      <c r="F52" s="1"/>
      <c r="G52" s="1"/>
      <c r="H52" s="1"/>
      <c r="I52" s="1"/>
    </row>
    <row r="53" spans="1:17" x14ac:dyDescent="0.3">
      <c r="A53" s="1"/>
      <c r="B53" s="1" t="s">
        <v>95</v>
      </c>
      <c r="C53" s="1">
        <f>MODE(C33:C49)</f>
        <v>77</v>
      </c>
      <c r="D53" s="1"/>
      <c r="E53" s="1"/>
      <c r="F53" s="1"/>
      <c r="G53" s="1"/>
      <c r="H53" s="1"/>
      <c r="I53" s="1"/>
    </row>
    <row r="54" spans="1:17" x14ac:dyDescent="0.3">
      <c r="A54" s="1"/>
      <c r="B54" s="1" t="s">
        <v>96</v>
      </c>
      <c r="C54" s="1">
        <f>COUNT(C33:C49)</f>
        <v>17</v>
      </c>
      <c r="D54" s="1"/>
      <c r="E54" s="1"/>
      <c r="F54" s="1"/>
      <c r="G54" s="1"/>
      <c r="H54" s="1"/>
      <c r="I54" s="1"/>
    </row>
    <row r="55" spans="1:17" x14ac:dyDescent="0.3">
      <c r="A55" s="1"/>
      <c r="B55" s="1" t="s">
        <v>97</v>
      </c>
      <c r="C55" s="1"/>
      <c r="D55" s="1" t="s">
        <v>98</v>
      </c>
      <c r="E55" s="1">
        <f>(18)*2/4</f>
        <v>9</v>
      </c>
      <c r="F55" s="1"/>
      <c r="G55" s="1"/>
      <c r="H55" s="1"/>
      <c r="I55" s="1"/>
    </row>
    <row r="56" spans="1:17" x14ac:dyDescent="0.3">
      <c r="A56" s="1"/>
      <c r="B56" s="1"/>
      <c r="C56" s="1"/>
      <c r="D56" s="1" t="s">
        <v>99</v>
      </c>
      <c r="E56" s="1">
        <f>18*2/4</f>
        <v>9</v>
      </c>
      <c r="F56" s="1"/>
      <c r="G56" s="1"/>
      <c r="H56" s="1"/>
      <c r="I56" s="1"/>
    </row>
    <row r="57" spans="1:17" x14ac:dyDescent="0.3">
      <c r="A57" s="1"/>
      <c r="B57" s="1" t="s">
        <v>100</v>
      </c>
      <c r="C57" s="1"/>
      <c r="D57" s="1"/>
      <c r="E57" s="1" t="s">
        <v>101</v>
      </c>
      <c r="F57" s="1">
        <f>(25/100)*18</f>
        <v>4.5</v>
      </c>
      <c r="G57" s="1"/>
      <c r="H57" s="1"/>
      <c r="I57" s="1"/>
    </row>
    <row r="58" spans="1:17" x14ac:dyDescent="0.3">
      <c r="A58" s="1"/>
      <c r="B58" s="1"/>
      <c r="C58" s="1"/>
      <c r="D58" s="1"/>
      <c r="E58" s="1"/>
      <c r="F58" s="1"/>
      <c r="G58" s="1"/>
      <c r="H58" s="1"/>
      <c r="I58" s="1"/>
    </row>
    <row r="59" spans="1:17" x14ac:dyDescent="0.3">
      <c r="A59" s="1"/>
      <c r="B59" s="1"/>
      <c r="C59" s="1"/>
      <c r="D59" s="1"/>
      <c r="E59" s="1" t="s">
        <v>102</v>
      </c>
      <c r="F59" s="1">
        <f>50/100*18</f>
        <v>9</v>
      </c>
      <c r="G59" s="1"/>
      <c r="H59" s="1"/>
      <c r="I59" s="1"/>
    </row>
    <row r="60" spans="1:17" x14ac:dyDescent="0.3">
      <c r="A60" s="1"/>
      <c r="B60" s="1"/>
      <c r="C60" s="1"/>
      <c r="D60" s="1"/>
      <c r="E60" s="1" t="s">
        <v>103</v>
      </c>
      <c r="F60" s="1">
        <f>(75/100)*18</f>
        <v>13.5</v>
      </c>
      <c r="G60" s="1"/>
      <c r="H60" s="1"/>
      <c r="I60" s="1"/>
    </row>
    <row r="61" spans="1:17" x14ac:dyDescent="0.3">
      <c r="A61" s="18" t="s">
        <v>104</v>
      </c>
      <c r="B61" s="18" t="s">
        <v>92</v>
      </c>
      <c r="C61" s="18"/>
      <c r="D61" s="18"/>
      <c r="E61" s="18"/>
      <c r="F61" s="18"/>
      <c r="G61" s="18"/>
      <c r="H61" s="18"/>
      <c r="I61" s="18"/>
      <c r="J61" s="18"/>
      <c r="K61" s="18"/>
      <c r="L61" s="18"/>
      <c r="M61" s="18"/>
      <c r="N61" s="18"/>
      <c r="O61" s="18"/>
      <c r="P61" s="18"/>
      <c r="Q61" s="18"/>
    </row>
    <row r="62" spans="1:17" x14ac:dyDescent="0.3">
      <c r="A62" s="18"/>
      <c r="B62" s="18" t="s">
        <v>105</v>
      </c>
      <c r="C62" s="18">
        <v>30</v>
      </c>
      <c r="D62" s="18"/>
      <c r="E62" s="18"/>
      <c r="F62" s="18"/>
      <c r="G62" s="18"/>
      <c r="H62" s="18"/>
      <c r="I62" s="18"/>
      <c r="J62" s="18"/>
      <c r="K62" s="18"/>
      <c r="L62" s="18"/>
      <c r="M62" s="18"/>
      <c r="N62" s="18"/>
      <c r="O62" s="18"/>
      <c r="P62" s="18"/>
      <c r="Q62" s="18"/>
    </row>
    <row r="63" spans="1:17" x14ac:dyDescent="0.3">
      <c r="A63" s="18"/>
      <c r="B63" s="18" t="s">
        <v>106</v>
      </c>
      <c r="C63" s="18">
        <v>40</v>
      </c>
      <c r="D63" s="18"/>
      <c r="E63" s="18"/>
      <c r="F63" s="18"/>
      <c r="G63" s="18"/>
      <c r="H63" s="18"/>
      <c r="I63" s="18"/>
      <c r="J63" s="18"/>
      <c r="K63" s="18"/>
      <c r="L63" s="18"/>
      <c r="M63" s="18"/>
      <c r="N63" s="18"/>
      <c r="O63" s="18"/>
      <c r="P63" s="18"/>
      <c r="Q63" s="18"/>
    </row>
    <row r="64" spans="1:17" x14ac:dyDescent="0.3">
      <c r="A64" s="18"/>
      <c r="B64" s="18" t="s">
        <v>107</v>
      </c>
      <c r="C64" s="18">
        <v>50</v>
      </c>
      <c r="D64" s="18"/>
      <c r="E64" s="18"/>
      <c r="F64" s="18"/>
      <c r="G64" s="18"/>
      <c r="H64" s="18"/>
      <c r="I64" s="18"/>
      <c r="J64" s="18"/>
      <c r="K64" s="18"/>
      <c r="L64" s="18"/>
      <c r="M64" s="18"/>
      <c r="N64" s="18"/>
      <c r="O64" s="18"/>
      <c r="P64" s="18"/>
      <c r="Q64" s="18"/>
    </row>
    <row r="65" spans="1:26" x14ac:dyDescent="0.3">
      <c r="A65" s="18"/>
      <c r="B65" s="18" t="s">
        <v>108</v>
      </c>
      <c r="C65" s="18">
        <v>60</v>
      </c>
      <c r="D65" s="18"/>
      <c r="E65" s="18"/>
      <c r="F65" s="18"/>
      <c r="G65" s="18"/>
      <c r="H65" s="18"/>
      <c r="I65" s="18"/>
      <c r="J65" s="18"/>
      <c r="K65" s="18"/>
      <c r="L65" s="18"/>
      <c r="M65" s="18"/>
      <c r="N65" s="18"/>
      <c r="O65" s="18"/>
      <c r="P65" s="18"/>
      <c r="Q65" s="18"/>
    </row>
    <row r="66" spans="1:26" x14ac:dyDescent="0.3">
      <c r="A66" s="18"/>
      <c r="B66" s="18" t="s">
        <v>109</v>
      </c>
      <c r="C66" s="18">
        <v>78</v>
      </c>
      <c r="D66" s="18"/>
      <c r="E66" s="18"/>
      <c r="F66" s="18"/>
      <c r="G66" s="18"/>
      <c r="H66" s="18"/>
      <c r="I66" s="18"/>
      <c r="J66" s="18"/>
      <c r="K66" s="18"/>
      <c r="L66" s="18"/>
      <c r="M66" s="18"/>
      <c r="N66" s="18"/>
      <c r="O66" s="18"/>
      <c r="P66" s="18"/>
      <c r="Q66" s="18"/>
    </row>
    <row r="67" spans="1:26" x14ac:dyDescent="0.3">
      <c r="A67" s="18"/>
      <c r="B67" s="18" t="s">
        <v>110</v>
      </c>
      <c r="C67" s="18">
        <v>66</v>
      </c>
      <c r="D67" s="18"/>
      <c r="E67" s="18"/>
      <c r="F67" s="18"/>
      <c r="G67" s="18"/>
      <c r="H67" s="18"/>
      <c r="I67" s="18"/>
      <c r="J67" s="18"/>
      <c r="K67" s="18"/>
      <c r="L67" s="18"/>
      <c r="M67" s="18"/>
      <c r="N67" s="18"/>
      <c r="O67" s="18"/>
      <c r="P67" s="18"/>
      <c r="Q67" s="18"/>
    </row>
    <row r="68" spans="1:26" x14ac:dyDescent="0.3">
      <c r="A68" s="18"/>
      <c r="B68" s="18"/>
      <c r="C68" s="18"/>
      <c r="D68" s="18"/>
      <c r="E68" s="18"/>
      <c r="F68" s="18"/>
      <c r="G68" s="18"/>
      <c r="H68" s="18"/>
      <c r="I68" s="18"/>
      <c r="J68" s="18"/>
      <c r="K68" s="18"/>
      <c r="L68" s="18"/>
      <c r="M68" s="18"/>
      <c r="N68" s="18"/>
      <c r="O68" s="18"/>
      <c r="P68" s="18"/>
      <c r="Q68" s="18"/>
    </row>
    <row r="69" spans="1:26" x14ac:dyDescent="0.3">
      <c r="A69" s="18" t="s">
        <v>112</v>
      </c>
      <c r="B69" s="18" t="s">
        <v>111</v>
      </c>
      <c r="C69" s="18">
        <f>MAX(C62:C67)</f>
        <v>78</v>
      </c>
      <c r="D69" s="18"/>
      <c r="E69" s="18"/>
      <c r="F69" s="18"/>
      <c r="G69" s="18"/>
      <c r="H69" s="18"/>
      <c r="I69" s="18"/>
      <c r="J69" s="18"/>
      <c r="K69" s="18"/>
      <c r="L69" s="18"/>
      <c r="M69" s="18"/>
      <c r="N69" s="18"/>
      <c r="O69" s="18"/>
      <c r="P69" s="18"/>
      <c r="Q69" s="18"/>
    </row>
    <row r="70" spans="1:26" x14ac:dyDescent="0.3">
      <c r="A70" s="18" t="s">
        <v>113</v>
      </c>
      <c r="B70" s="18" t="s">
        <v>114</v>
      </c>
      <c r="C70" s="18">
        <f>MIN(C62:C67)</f>
        <v>30</v>
      </c>
      <c r="D70" s="18"/>
      <c r="E70" s="18"/>
      <c r="F70" s="18"/>
      <c r="G70" s="18"/>
      <c r="H70" s="18"/>
      <c r="I70" s="18"/>
      <c r="J70" s="18"/>
      <c r="K70" s="18"/>
      <c r="L70" s="18"/>
      <c r="M70" s="18"/>
      <c r="N70" s="18"/>
      <c r="O70" s="18"/>
      <c r="P70" s="18"/>
      <c r="Q70" s="18"/>
    </row>
    <row r="71" spans="1:26" x14ac:dyDescent="0.3">
      <c r="A71" s="18"/>
      <c r="B71" s="18" t="s">
        <v>115</v>
      </c>
      <c r="C71" s="18">
        <f>AVERAGE(C62:C67)</f>
        <v>54</v>
      </c>
      <c r="D71" s="18"/>
      <c r="E71" s="18"/>
      <c r="F71" s="18"/>
      <c r="G71" s="18"/>
      <c r="H71" s="18"/>
      <c r="I71" s="18"/>
      <c r="J71" s="18"/>
      <c r="K71" s="18"/>
      <c r="L71" s="18"/>
      <c r="M71" s="18"/>
      <c r="N71" s="18"/>
      <c r="O71" s="18"/>
      <c r="P71" s="18"/>
      <c r="Q71" s="18"/>
    </row>
    <row r="72" spans="1:26" x14ac:dyDescent="0.3">
      <c r="A72" s="18"/>
      <c r="B72" s="18" t="s">
        <v>85</v>
      </c>
      <c r="C72" s="18">
        <f>C69-C70</f>
        <v>48</v>
      </c>
      <c r="D72" s="18"/>
      <c r="E72" s="18"/>
      <c r="F72" s="18"/>
      <c r="G72" s="18"/>
      <c r="H72" s="18"/>
      <c r="I72" s="18"/>
      <c r="J72" s="18"/>
      <c r="K72" s="18"/>
      <c r="L72" s="18"/>
      <c r="M72" s="18"/>
      <c r="N72" s="18"/>
      <c r="O72" s="18"/>
      <c r="P72" s="18"/>
      <c r="Q72" s="18"/>
    </row>
    <row r="73" spans="1:26" x14ac:dyDescent="0.3">
      <c r="A73" s="19" t="s">
        <v>153</v>
      </c>
      <c r="B73" s="18"/>
      <c r="C73" s="18"/>
      <c r="D73" s="18"/>
      <c r="E73" s="18"/>
      <c r="F73" s="18"/>
      <c r="G73" s="18"/>
      <c r="H73" s="18"/>
      <c r="I73" s="18"/>
      <c r="J73" s="18"/>
      <c r="K73" s="18"/>
      <c r="L73" s="18"/>
      <c r="M73" s="18"/>
      <c r="N73" s="18"/>
      <c r="O73" s="18"/>
      <c r="P73" s="18"/>
      <c r="Q73" s="18"/>
    </row>
    <row r="77" spans="1:26" x14ac:dyDescent="0.3">
      <c r="A77" s="11" t="s">
        <v>116</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x14ac:dyDescent="0.3">
      <c r="A78" s="20" t="s">
        <v>117</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x14ac:dyDescent="0.3">
      <c r="A80" s="11" t="s">
        <v>118</v>
      </c>
      <c r="B80" s="11" t="s">
        <v>119</v>
      </c>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3">
      <c r="A81" s="11">
        <v>1</v>
      </c>
      <c r="B81" s="11">
        <v>0</v>
      </c>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x14ac:dyDescent="0.3">
      <c r="A82" s="11">
        <v>2</v>
      </c>
      <c r="B82" s="11">
        <v>10</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3">
      <c r="A83" s="11">
        <v>3</v>
      </c>
      <c r="B83" s="11">
        <v>30</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3">
      <c r="A84" s="11">
        <v>4</v>
      </c>
      <c r="B84" s="11">
        <v>40</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x14ac:dyDescent="0.3">
      <c r="A85" s="11">
        <v>5</v>
      </c>
      <c r="B85" s="11">
        <v>20</v>
      </c>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3">
      <c r="A87" s="11" t="s">
        <v>120</v>
      </c>
      <c r="B87" s="11" t="s">
        <v>52</v>
      </c>
      <c r="C87" s="11">
        <f>MAX(B81:B85)</f>
        <v>40</v>
      </c>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3">
      <c r="A88" s="11"/>
      <c r="B88" s="11" t="s">
        <v>121</v>
      </c>
      <c r="C88" s="11">
        <f>MIN(B81:B85)</f>
        <v>0</v>
      </c>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3">
      <c r="A89" s="11"/>
      <c r="B89" s="11" t="s">
        <v>89</v>
      </c>
      <c r="C89" s="11">
        <f>C87-C88</f>
        <v>40</v>
      </c>
      <c r="D89" s="11"/>
      <c r="E89" s="11"/>
      <c r="F89" s="11"/>
      <c r="G89" s="11"/>
      <c r="H89" s="11"/>
      <c r="I89" s="11"/>
      <c r="J89" s="11"/>
      <c r="K89" s="11"/>
      <c r="L89" s="11"/>
      <c r="M89" s="11"/>
      <c r="N89" s="11"/>
      <c r="O89" s="11"/>
      <c r="P89" s="11"/>
      <c r="Q89" s="11"/>
      <c r="R89" s="11"/>
      <c r="S89" s="11"/>
      <c r="T89" s="11"/>
      <c r="U89" s="11"/>
      <c r="V89" s="11"/>
      <c r="W89" s="11"/>
      <c r="X89" s="11"/>
      <c r="Y89" s="11"/>
      <c r="Z89" s="11"/>
    </row>
    <row r="90" spans="1:26" x14ac:dyDescent="0.3">
      <c r="A90" s="11"/>
      <c r="B90" s="11" t="s">
        <v>122</v>
      </c>
      <c r="C90" s="11">
        <f>AVERAGE(B81:B85)</f>
        <v>20</v>
      </c>
      <c r="D90" s="11"/>
      <c r="E90" s="11"/>
      <c r="F90" s="11"/>
      <c r="G90" s="11"/>
      <c r="H90" s="11"/>
      <c r="I90" s="11"/>
      <c r="J90" s="11"/>
      <c r="K90" s="11"/>
      <c r="L90" s="11"/>
      <c r="M90" s="11"/>
      <c r="N90" s="11"/>
      <c r="O90" s="11"/>
      <c r="P90" s="11"/>
      <c r="Q90" s="11"/>
      <c r="R90" s="11"/>
      <c r="S90" s="11"/>
      <c r="T90" s="11"/>
      <c r="U90" s="11"/>
      <c r="V90" s="11"/>
      <c r="W90" s="11"/>
      <c r="X90" s="11"/>
      <c r="Y90" s="11"/>
      <c r="Z90" s="11"/>
    </row>
    <row r="91" spans="1:26" x14ac:dyDescent="0.3">
      <c r="A91" s="11"/>
      <c r="B91" s="11" t="s">
        <v>95</v>
      </c>
      <c r="C91" s="11" t="str">
        <f>IFERROR(_xlfn.MODE.SNGL(B81:B85),"no mode ")</f>
        <v xml:space="preserve">no mode </v>
      </c>
      <c r="D91" s="11"/>
      <c r="E91" s="11"/>
      <c r="F91" s="11"/>
      <c r="G91" s="11"/>
      <c r="H91" s="11"/>
      <c r="I91" s="11"/>
      <c r="J91" s="11"/>
      <c r="K91" s="11"/>
      <c r="L91" s="11"/>
      <c r="M91" s="11"/>
      <c r="N91" s="11"/>
      <c r="O91" s="11"/>
      <c r="P91" s="11"/>
      <c r="Q91" s="11"/>
      <c r="R91" s="11"/>
      <c r="S91" s="11"/>
      <c r="T91" s="11"/>
      <c r="U91" s="11"/>
      <c r="V91" s="11"/>
      <c r="W91" s="11"/>
      <c r="X91" s="11"/>
      <c r="Y91" s="11"/>
      <c r="Z91" s="11"/>
    </row>
    <row r="92" spans="1:26" x14ac:dyDescent="0.3">
      <c r="A92" s="11" t="s">
        <v>123</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7" spans="1:16" x14ac:dyDescent="0.3">
      <c r="A97" s="2" t="s">
        <v>124</v>
      </c>
      <c r="B97" s="2"/>
      <c r="C97" s="2"/>
      <c r="D97" s="2"/>
      <c r="E97" s="2"/>
      <c r="F97" s="2"/>
      <c r="G97" s="2"/>
      <c r="H97" s="2"/>
      <c r="I97" s="2"/>
      <c r="J97" s="2"/>
      <c r="K97" s="2"/>
      <c r="L97" s="2"/>
      <c r="M97" s="2"/>
      <c r="N97" s="2"/>
      <c r="O97" s="2"/>
      <c r="P97" s="2"/>
    </row>
    <row r="98" spans="1:16" x14ac:dyDescent="0.3">
      <c r="A98" s="2"/>
      <c r="B98" s="2"/>
      <c r="C98" s="2"/>
      <c r="D98" s="2"/>
      <c r="E98" s="2"/>
      <c r="F98" s="2"/>
      <c r="G98" s="2"/>
      <c r="H98" s="2"/>
      <c r="I98" s="2"/>
      <c r="J98" s="2"/>
      <c r="K98" s="2"/>
      <c r="L98" s="2"/>
      <c r="M98" s="2"/>
      <c r="N98" s="2"/>
      <c r="O98" s="2"/>
      <c r="P98" s="2"/>
    </row>
    <row r="99" spans="1:16" x14ac:dyDescent="0.3">
      <c r="A99" s="2" t="s">
        <v>92</v>
      </c>
      <c r="B99" s="21" t="s">
        <v>125</v>
      </c>
      <c r="C99" s="2"/>
      <c r="D99" s="2"/>
      <c r="E99" s="2"/>
      <c r="F99" s="2"/>
      <c r="G99" s="2"/>
      <c r="H99" s="2"/>
      <c r="I99" s="2"/>
      <c r="J99" s="2"/>
      <c r="K99" s="2"/>
      <c r="L99" s="2"/>
      <c r="M99" s="2"/>
      <c r="N99" s="2"/>
      <c r="O99" s="2"/>
      <c r="P99" s="2"/>
    </row>
    <row r="100" spans="1:16" x14ac:dyDescent="0.3">
      <c r="A100" s="2"/>
      <c r="B100" s="2"/>
      <c r="C100" s="2"/>
      <c r="D100" s="2"/>
      <c r="E100" s="2"/>
      <c r="F100" s="2"/>
      <c r="G100" s="2"/>
      <c r="H100" s="2"/>
      <c r="I100" s="2"/>
      <c r="J100" s="2"/>
      <c r="K100" s="2"/>
      <c r="L100" s="2"/>
      <c r="M100" s="2"/>
      <c r="N100" s="2"/>
      <c r="O100" s="2"/>
      <c r="P100" s="2"/>
    </row>
    <row r="101" spans="1:16" x14ac:dyDescent="0.3">
      <c r="A101" s="2"/>
      <c r="B101" s="2" t="s">
        <v>126</v>
      </c>
      <c r="C101" s="2" t="s">
        <v>127</v>
      </c>
      <c r="D101" s="2"/>
      <c r="E101" s="2"/>
      <c r="F101" s="2"/>
      <c r="G101" s="2"/>
      <c r="H101" s="2"/>
      <c r="I101" s="2"/>
      <c r="J101" s="2"/>
      <c r="K101" s="2"/>
      <c r="L101" s="2"/>
      <c r="M101" s="2"/>
      <c r="N101" s="2"/>
      <c r="O101" s="2"/>
      <c r="P101" s="2"/>
    </row>
    <row r="102" spans="1:16" x14ac:dyDescent="0.3">
      <c r="A102" s="2"/>
      <c r="B102" s="2" t="s">
        <v>128</v>
      </c>
      <c r="C102" s="2">
        <v>7</v>
      </c>
      <c r="D102" s="2"/>
      <c r="E102" s="2"/>
      <c r="F102" s="2"/>
      <c r="G102" s="2"/>
      <c r="H102" s="2"/>
      <c r="I102" s="2"/>
      <c r="J102" s="2"/>
      <c r="K102" s="2"/>
      <c r="L102" s="2"/>
      <c r="M102" s="2"/>
      <c r="N102" s="2"/>
      <c r="O102" s="2"/>
      <c r="P102" s="2"/>
    </row>
    <row r="103" spans="1:16" x14ac:dyDescent="0.3">
      <c r="A103" s="2"/>
      <c r="B103" s="2" t="s">
        <v>129</v>
      </c>
      <c r="C103" s="2">
        <v>10</v>
      </c>
      <c r="D103" s="2"/>
      <c r="E103" s="2"/>
      <c r="F103" s="2"/>
      <c r="G103" s="2"/>
      <c r="H103" s="2"/>
      <c r="I103" s="2"/>
      <c r="J103" s="2"/>
      <c r="K103" s="2"/>
      <c r="L103" s="2"/>
      <c r="M103" s="2"/>
      <c r="N103" s="2"/>
      <c r="O103" s="2"/>
      <c r="P103" s="2"/>
    </row>
    <row r="104" spans="1:16" x14ac:dyDescent="0.3">
      <c r="A104" s="2"/>
      <c r="B104" s="2" t="s">
        <v>130</v>
      </c>
      <c r="C104" s="2">
        <v>8</v>
      </c>
      <c r="D104" s="2"/>
      <c r="E104" s="2"/>
      <c r="F104" s="2"/>
      <c r="G104" s="2"/>
      <c r="H104" s="2"/>
      <c r="I104" s="2"/>
      <c r="J104" s="2"/>
      <c r="K104" s="2"/>
      <c r="L104" s="2"/>
      <c r="M104" s="2"/>
      <c r="N104" s="2"/>
      <c r="O104" s="2"/>
      <c r="P104" s="2"/>
    </row>
    <row r="105" spans="1:16" x14ac:dyDescent="0.3">
      <c r="A105" s="2"/>
      <c r="B105" s="2" t="s">
        <v>131</v>
      </c>
      <c r="C105" s="2">
        <v>12</v>
      </c>
      <c r="D105" s="2"/>
      <c r="E105" s="2"/>
      <c r="F105" s="2"/>
      <c r="G105" s="2"/>
      <c r="H105" s="2"/>
      <c r="I105" s="2"/>
      <c r="J105" s="2"/>
      <c r="K105" s="2"/>
      <c r="L105" s="2"/>
      <c r="M105" s="2"/>
      <c r="N105" s="2"/>
      <c r="O105" s="2"/>
      <c r="P105" s="2"/>
    </row>
    <row r="106" spans="1:16" x14ac:dyDescent="0.3">
      <c r="A106" s="2"/>
      <c r="B106" s="2" t="s">
        <v>132</v>
      </c>
      <c r="C106" s="2">
        <v>8</v>
      </c>
      <c r="D106" s="2"/>
      <c r="E106" s="2"/>
      <c r="F106" s="2"/>
      <c r="G106" s="2"/>
      <c r="H106" s="2"/>
      <c r="I106" s="2"/>
      <c r="J106" s="2"/>
      <c r="K106" s="2"/>
      <c r="L106" s="2"/>
      <c r="M106" s="2"/>
      <c r="N106" s="2"/>
      <c r="O106" s="2"/>
      <c r="P106" s="2"/>
    </row>
    <row r="107" spans="1:16" x14ac:dyDescent="0.3">
      <c r="A107" s="2"/>
      <c r="B107" s="2" t="s">
        <v>133</v>
      </c>
      <c r="C107" s="2">
        <v>4</v>
      </c>
      <c r="D107" s="2"/>
      <c r="E107" s="2"/>
      <c r="F107" s="2"/>
      <c r="G107" s="2"/>
      <c r="H107" s="2"/>
      <c r="I107" s="2"/>
      <c r="J107" s="2"/>
      <c r="K107" s="2"/>
      <c r="L107" s="2"/>
      <c r="M107" s="2"/>
      <c r="N107" s="2"/>
      <c r="O107" s="2"/>
      <c r="P107" s="2"/>
    </row>
    <row r="108" spans="1:16" x14ac:dyDescent="0.3">
      <c r="A108" s="2"/>
      <c r="B108" s="2" t="s">
        <v>134</v>
      </c>
      <c r="C108" s="2">
        <v>1</v>
      </c>
      <c r="D108" s="2"/>
      <c r="E108" s="2"/>
      <c r="F108" s="2"/>
      <c r="G108" s="2"/>
      <c r="H108" s="2"/>
      <c r="I108" s="2"/>
      <c r="J108" s="2"/>
      <c r="K108" s="2"/>
      <c r="L108" s="2"/>
      <c r="M108" s="2"/>
      <c r="N108" s="2"/>
      <c r="O108" s="2"/>
      <c r="P108" s="2"/>
    </row>
    <row r="109" spans="1:16" x14ac:dyDescent="0.3">
      <c r="A109" s="2"/>
      <c r="B109" s="2"/>
      <c r="C109" s="2"/>
      <c r="D109" s="2"/>
      <c r="E109" s="2"/>
      <c r="F109" s="2"/>
      <c r="G109" s="2"/>
      <c r="H109" s="2"/>
      <c r="I109" s="2"/>
      <c r="J109" s="2"/>
      <c r="K109" s="2"/>
      <c r="L109" s="2"/>
      <c r="M109" s="2"/>
      <c r="N109" s="2"/>
      <c r="O109" s="2"/>
      <c r="P109" s="2"/>
    </row>
    <row r="110" spans="1:16" x14ac:dyDescent="0.3">
      <c r="A110" s="2" t="s">
        <v>135</v>
      </c>
      <c r="B110" s="2"/>
      <c r="C110" s="2"/>
      <c r="D110" s="2"/>
      <c r="E110" s="2"/>
      <c r="F110" s="2"/>
      <c r="G110" s="2"/>
      <c r="H110" s="2"/>
      <c r="I110" s="2"/>
      <c r="J110" s="2"/>
      <c r="K110" s="2"/>
      <c r="L110" s="2"/>
      <c r="M110" s="2"/>
      <c r="N110" s="2"/>
      <c r="O110" s="2"/>
      <c r="P110" s="2"/>
    </row>
    <row r="111" spans="1:16" x14ac:dyDescent="0.3">
      <c r="A111" s="2"/>
      <c r="B111" s="2" t="s">
        <v>3</v>
      </c>
      <c r="C111" s="2">
        <v>39.36</v>
      </c>
      <c r="D111" s="2"/>
      <c r="E111" s="2"/>
      <c r="F111" s="2"/>
      <c r="G111" s="2"/>
      <c r="H111" s="2"/>
      <c r="I111" s="2"/>
      <c r="J111" s="2"/>
      <c r="K111" s="2"/>
      <c r="L111" s="2"/>
      <c r="M111" s="2"/>
      <c r="N111" s="2"/>
      <c r="O111" s="2"/>
      <c r="P111" s="2"/>
    </row>
    <row r="112" spans="1:16" x14ac:dyDescent="0.3">
      <c r="A112" s="2"/>
      <c r="B112" s="2" t="s">
        <v>84</v>
      </c>
      <c r="C112" s="2">
        <f>51/2</f>
        <v>25.5</v>
      </c>
      <c r="D112" s="2"/>
      <c r="E112" s="2"/>
      <c r="F112" s="2"/>
      <c r="G112" s="2"/>
      <c r="H112" s="2"/>
      <c r="I112" s="2"/>
      <c r="J112" s="2"/>
      <c r="K112" s="2"/>
      <c r="L112" s="2"/>
      <c r="M112" s="2"/>
      <c r="N112" s="2"/>
      <c r="O112" s="2"/>
      <c r="P112" s="2"/>
    </row>
    <row r="113" spans="1:16" x14ac:dyDescent="0.3">
      <c r="A113" s="2"/>
      <c r="B113" s="2" t="s">
        <v>95</v>
      </c>
      <c r="C113" s="2">
        <f>IFERROR(_xlfn.MODE.SNGL(C102:C108),"no mode")</f>
        <v>8</v>
      </c>
      <c r="D113" s="2"/>
      <c r="E113" s="2"/>
      <c r="F113" s="2"/>
      <c r="G113" s="2"/>
      <c r="H113" s="2"/>
      <c r="I113" s="2"/>
      <c r="J113" s="2"/>
      <c r="K113" s="2"/>
      <c r="L113" s="2"/>
      <c r="M113" s="2"/>
      <c r="N113" s="2"/>
      <c r="O113" s="2"/>
      <c r="P113" s="2"/>
    </row>
    <row r="114" spans="1:16" x14ac:dyDescent="0.3">
      <c r="A114" s="2"/>
      <c r="B114" s="2"/>
      <c r="C114" s="2"/>
      <c r="D114" s="2"/>
      <c r="E114" s="2"/>
      <c r="F114" s="2"/>
      <c r="G114" s="2"/>
      <c r="H114" s="2"/>
      <c r="I114" s="2"/>
      <c r="J114" s="2"/>
      <c r="K114" s="2"/>
      <c r="L114" s="2"/>
      <c r="M114" s="2"/>
      <c r="N114" s="2"/>
      <c r="O114" s="2"/>
      <c r="P114" s="2"/>
    </row>
    <row r="115" spans="1:16" x14ac:dyDescent="0.3">
      <c r="A115" s="22" t="s">
        <v>154</v>
      </c>
      <c r="B115" s="2"/>
      <c r="C115" s="2"/>
      <c r="D115" s="2"/>
      <c r="E115" s="2"/>
      <c r="F115" s="2"/>
      <c r="G115" s="2"/>
      <c r="H115" s="2"/>
      <c r="I115" s="2"/>
      <c r="J115" s="2"/>
      <c r="K115" s="2"/>
      <c r="L115" s="2"/>
      <c r="M115" s="2"/>
      <c r="N115" s="2"/>
      <c r="O115" s="2"/>
      <c r="P115" s="2"/>
    </row>
    <row r="116" spans="1:16" x14ac:dyDescent="0.3">
      <c r="A116" s="2"/>
      <c r="B116" s="2"/>
      <c r="C116" s="2"/>
      <c r="D116" s="2"/>
      <c r="E116" s="2"/>
      <c r="F116" s="2"/>
      <c r="G116" s="2"/>
      <c r="H116" s="2"/>
      <c r="I116" s="2"/>
      <c r="J116" s="2"/>
      <c r="K116" s="2"/>
      <c r="L116" s="2"/>
      <c r="M116" s="2"/>
      <c r="N116" s="2"/>
      <c r="O116" s="2"/>
      <c r="P116" s="2"/>
    </row>
    <row r="117" spans="1:16" x14ac:dyDescent="0.3">
      <c r="A117" s="2" t="s">
        <v>136</v>
      </c>
      <c r="B117" s="2" t="s">
        <v>137</v>
      </c>
      <c r="C117" s="21" t="s">
        <v>138</v>
      </c>
      <c r="D117" s="2"/>
      <c r="E117" s="2"/>
      <c r="F117" s="2"/>
      <c r="G117" s="2"/>
      <c r="H117" s="2"/>
      <c r="I117" s="2"/>
      <c r="J117" s="2"/>
      <c r="K117" s="2"/>
      <c r="L117" s="2"/>
      <c r="M117" s="2"/>
      <c r="N117" s="2"/>
      <c r="O117" s="2"/>
      <c r="P117" s="2"/>
    </row>
    <row r="118" spans="1:16" x14ac:dyDescent="0.3">
      <c r="A118" s="2"/>
      <c r="B118" s="2" t="s">
        <v>139</v>
      </c>
      <c r="C118" s="21" t="s">
        <v>142</v>
      </c>
      <c r="D118" s="2"/>
      <c r="E118" s="2"/>
      <c r="F118" s="2"/>
      <c r="G118" s="2"/>
      <c r="H118" s="2"/>
      <c r="I118" s="2"/>
      <c r="J118" s="2"/>
      <c r="K118" s="2"/>
      <c r="L118" s="2"/>
      <c r="M118" s="2"/>
      <c r="N118" s="2"/>
      <c r="O118" s="2"/>
      <c r="P118" s="2"/>
    </row>
    <row r="119" spans="1:16" x14ac:dyDescent="0.3">
      <c r="A119" s="2"/>
      <c r="B119" s="2" t="s">
        <v>140</v>
      </c>
      <c r="C119" s="2" t="s">
        <v>141</v>
      </c>
      <c r="D119" s="2"/>
      <c r="E119" s="2"/>
      <c r="F119" s="2"/>
      <c r="G119" s="2"/>
      <c r="H119" s="2"/>
      <c r="I119" s="2"/>
      <c r="J119" s="2"/>
      <c r="K119" s="2"/>
      <c r="L119" s="2"/>
      <c r="M119" s="2"/>
      <c r="N119" s="2"/>
      <c r="O119" s="2"/>
      <c r="P119" s="2"/>
    </row>
    <row r="120" spans="1:16" x14ac:dyDescent="0.3">
      <c r="A120" s="2"/>
      <c r="B120" s="2"/>
      <c r="C120" s="2"/>
      <c r="D120" s="2"/>
      <c r="E120" s="2"/>
      <c r="F120" s="2"/>
      <c r="G120" s="2"/>
      <c r="H120" s="2"/>
      <c r="I120" s="2"/>
      <c r="J120" s="2"/>
      <c r="K120" s="2"/>
      <c r="L120" s="2"/>
      <c r="M120" s="2"/>
      <c r="N120" s="2"/>
      <c r="O120" s="2"/>
      <c r="P120" s="2"/>
    </row>
    <row r="121" spans="1:16" x14ac:dyDescent="0.3">
      <c r="A121" s="2"/>
      <c r="B121" s="2"/>
      <c r="C121" s="2"/>
      <c r="D121" s="2"/>
      <c r="E121" s="2"/>
      <c r="F121" s="2"/>
      <c r="G121" s="2"/>
      <c r="H121" s="2"/>
      <c r="I121" s="2"/>
      <c r="J121" s="2"/>
      <c r="K121" s="2"/>
      <c r="L121" s="2"/>
      <c r="M121" s="2"/>
      <c r="N121" s="2"/>
      <c r="O121" s="2"/>
      <c r="P121" s="2"/>
    </row>
    <row r="122" spans="1:16" x14ac:dyDescent="0.3">
      <c r="A122" s="2"/>
      <c r="B122" s="2" t="s">
        <v>143</v>
      </c>
      <c r="C122" s="2"/>
      <c r="D122" s="2">
        <v>39.4</v>
      </c>
      <c r="E122" s="2"/>
      <c r="F122" s="2"/>
      <c r="G122" s="2"/>
      <c r="H122" s="2"/>
      <c r="I122" s="2"/>
      <c r="J122" s="2"/>
      <c r="K122" s="2"/>
      <c r="L122" s="2"/>
      <c r="M122" s="2"/>
      <c r="N122" s="2"/>
      <c r="O122" s="2"/>
      <c r="P122" s="2"/>
    </row>
    <row r="123" spans="1:16" x14ac:dyDescent="0.3">
      <c r="A123" s="2"/>
      <c r="B123" s="2" t="s">
        <v>144</v>
      </c>
      <c r="C123" s="2"/>
      <c r="D123" s="2">
        <v>32.5</v>
      </c>
      <c r="E123" s="2"/>
      <c r="F123" s="2"/>
      <c r="G123" s="2"/>
      <c r="H123" s="2"/>
      <c r="I123" s="2"/>
      <c r="J123" s="2"/>
      <c r="K123" s="2"/>
      <c r="L123" s="2"/>
      <c r="M123" s="2"/>
      <c r="N123" s="2"/>
      <c r="O123" s="2"/>
      <c r="P123" s="2"/>
    </row>
    <row r="124" spans="1:16" x14ac:dyDescent="0.3">
      <c r="A124" s="2"/>
      <c r="B124" s="2" t="s">
        <v>145</v>
      </c>
      <c r="C124" s="2"/>
      <c r="D124" s="2">
        <v>41</v>
      </c>
      <c r="E124" s="2"/>
      <c r="F124" s="2"/>
      <c r="G124" s="2"/>
      <c r="H124" s="2"/>
      <c r="I124" s="2"/>
      <c r="J124" s="2"/>
      <c r="K124" s="2"/>
      <c r="L124" s="2"/>
      <c r="M124" s="2"/>
      <c r="N124" s="2"/>
      <c r="O124" s="2"/>
      <c r="P124" s="2"/>
    </row>
    <row r="125" spans="1:16" x14ac:dyDescent="0.3">
      <c r="A125" s="2"/>
      <c r="B125" s="2"/>
      <c r="C125" s="2"/>
      <c r="D125" s="2"/>
      <c r="E125" s="2"/>
      <c r="F125" s="2"/>
      <c r="G125" s="2"/>
      <c r="H125" s="2"/>
      <c r="I125" s="2"/>
      <c r="J125" s="2"/>
      <c r="K125" s="2"/>
      <c r="L125" s="2"/>
      <c r="M125" s="2"/>
      <c r="N125" s="2"/>
      <c r="O125" s="2"/>
      <c r="P125" s="2"/>
    </row>
    <row r="126" spans="1:16" x14ac:dyDescent="0.3">
      <c r="A126" s="2"/>
      <c r="B126" s="2"/>
      <c r="C126" s="2"/>
      <c r="D126" s="2"/>
      <c r="E126" s="2"/>
      <c r="F126" s="2"/>
      <c r="G126" s="2"/>
      <c r="H126" s="2"/>
      <c r="I126" s="2"/>
      <c r="J126" s="2"/>
      <c r="K126" s="2"/>
      <c r="L126" s="2"/>
      <c r="M126" s="2"/>
      <c r="N126" s="2"/>
      <c r="O126" s="2"/>
      <c r="P126" s="2"/>
    </row>
    <row r="127" spans="1:16" x14ac:dyDescent="0.3">
      <c r="A127" s="2"/>
      <c r="B127" s="2"/>
      <c r="C127" s="2" t="s">
        <v>146</v>
      </c>
      <c r="D127" s="2"/>
      <c r="E127" s="2"/>
      <c r="F127" s="2"/>
      <c r="G127" s="2"/>
      <c r="H127" s="2"/>
      <c r="I127" s="2"/>
      <c r="J127" s="2"/>
      <c r="K127" s="2"/>
      <c r="L127" s="2"/>
      <c r="M127" s="2"/>
      <c r="N127" s="2"/>
      <c r="O127" s="2"/>
      <c r="P127" s="2"/>
    </row>
    <row r="128" spans="1:16" x14ac:dyDescent="0.3">
      <c r="A128" s="2"/>
      <c r="B128" s="2"/>
      <c r="C128" s="2" t="s">
        <v>147</v>
      </c>
      <c r="D128" s="2" t="s">
        <v>148</v>
      </c>
      <c r="E128" s="2">
        <f>45-35</f>
        <v>10</v>
      </c>
      <c r="F128" s="2"/>
      <c r="G128" s="2"/>
      <c r="H128" s="2"/>
      <c r="I128" s="2"/>
      <c r="J128" s="2"/>
      <c r="K128" s="2"/>
      <c r="L128" s="2"/>
      <c r="M128" s="2"/>
      <c r="N128" s="2"/>
      <c r="O128" s="2"/>
      <c r="P128" s="2"/>
    </row>
    <row r="129" spans="1:16" x14ac:dyDescent="0.3">
      <c r="A129" s="2"/>
      <c r="B129" s="2"/>
      <c r="C129" s="2" t="s">
        <v>149</v>
      </c>
      <c r="D129" s="2" t="s">
        <v>150</v>
      </c>
      <c r="E129" s="2">
        <f>37-28</f>
        <v>9</v>
      </c>
      <c r="F129" s="2"/>
      <c r="G129" s="2"/>
      <c r="H129" s="2"/>
      <c r="I129" s="2"/>
      <c r="J129" s="2"/>
      <c r="K129" s="2"/>
      <c r="L129" s="2"/>
      <c r="M129" s="2"/>
      <c r="N129" s="2"/>
      <c r="O129" s="2"/>
      <c r="P129" s="2"/>
    </row>
    <row r="130" spans="1:16" x14ac:dyDescent="0.3">
      <c r="A130" s="2"/>
      <c r="B130" s="2"/>
      <c r="C130" s="2" t="s">
        <v>151</v>
      </c>
      <c r="D130" s="2" t="s">
        <v>152</v>
      </c>
      <c r="E130" s="2">
        <f>45-37</f>
        <v>8</v>
      </c>
      <c r="F130" s="2"/>
      <c r="G130" s="2"/>
      <c r="H130" s="2"/>
      <c r="I130" s="2"/>
      <c r="J130" s="2"/>
      <c r="K130" s="2"/>
      <c r="L130" s="2"/>
      <c r="M130" s="2"/>
      <c r="N130" s="2"/>
      <c r="O130" s="2"/>
      <c r="P130" s="2"/>
    </row>
    <row r="131" spans="1:16" x14ac:dyDescent="0.3">
      <c r="A131" s="2"/>
      <c r="B131" s="2"/>
      <c r="C131" s="2"/>
      <c r="D131" s="2"/>
      <c r="E131" s="2"/>
      <c r="F131" s="2"/>
      <c r="G131" s="2"/>
      <c r="H131" s="2"/>
      <c r="I131" s="2"/>
      <c r="J131" s="2"/>
      <c r="K131" s="2"/>
      <c r="L131" s="2"/>
      <c r="M131" s="2"/>
      <c r="N131" s="2"/>
      <c r="O131" s="2"/>
      <c r="P131"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F190"/>
  <sheetViews>
    <sheetView topLeftCell="A174" zoomScale="70" zoomScaleNormal="70" workbookViewId="0">
      <selection activeCell="V192" sqref="V192"/>
    </sheetView>
  </sheetViews>
  <sheetFormatPr defaultRowHeight="14.4" x14ac:dyDescent="0.3"/>
  <cols>
    <col min="8" max="8" width="12.44140625" customWidth="1"/>
  </cols>
  <sheetData>
    <row r="2" spans="1:23" x14ac:dyDescent="0.3">
      <c r="B2" s="1"/>
      <c r="C2" s="1"/>
      <c r="D2" s="1"/>
      <c r="E2" s="1"/>
      <c r="F2" s="1"/>
      <c r="G2" s="1"/>
      <c r="H2" s="1"/>
      <c r="I2" s="1"/>
      <c r="J2" s="1"/>
    </row>
    <row r="3" spans="1:23" ht="23.4" x14ac:dyDescent="0.45">
      <c r="B3" s="1"/>
      <c r="C3" s="1"/>
      <c r="D3" s="23"/>
      <c r="E3" s="23" t="s">
        <v>155</v>
      </c>
      <c r="F3" s="23"/>
      <c r="G3" s="23"/>
      <c r="H3" s="1"/>
      <c r="I3" s="1"/>
      <c r="J3" s="1"/>
    </row>
    <row r="4" spans="1:23" x14ac:dyDescent="0.3">
      <c r="B4" s="1"/>
      <c r="C4" s="1"/>
      <c r="D4" s="1"/>
      <c r="E4" s="1"/>
      <c r="F4" s="1"/>
      <c r="G4" s="1"/>
      <c r="H4" s="1"/>
      <c r="I4" s="1"/>
      <c r="J4" s="1"/>
    </row>
    <row r="6" spans="1:23" x14ac:dyDescent="0.3">
      <c r="A6" s="3"/>
      <c r="B6" s="3" t="s">
        <v>26</v>
      </c>
      <c r="C6" s="3"/>
      <c r="D6" s="3"/>
      <c r="E6" s="3"/>
      <c r="F6" s="3"/>
      <c r="G6" s="3"/>
      <c r="H6" s="3"/>
      <c r="I6" s="3"/>
      <c r="J6" s="3"/>
      <c r="K6" s="3"/>
      <c r="L6" s="3"/>
      <c r="M6" s="3"/>
      <c r="N6" s="3"/>
      <c r="O6" s="3"/>
      <c r="P6" s="3"/>
      <c r="Q6" s="3"/>
      <c r="R6" s="3"/>
      <c r="S6" s="3"/>
      <c r="T6" s="3"/>
      <c r="U6" s="3"/>
      <c r="V6" s="3"/>
      <c r="W6" s="3"/>
    </row>
    <row r="7" spans="1:23" x14ac:dyDescent="0.3">
      <c r="A7" s="3"/>
      <c r="B7" s="3">
        <v>2.2999999999999998</v>
      </c>
      <c r="C7" s="3">
        <v>11.2</v>
      </c>
      <c r="D7" s="3">
        <v>45.7</v>
      </c>
      <c r="E7" s="3"/>
      <c r="F7" s="3"/>
      <c r="G7" s="3"/>
      <c r="H7" s="3"/>
      <c r="I7" s="3"/>
      <c r="J7" s="3"/>
      <c r="K7" s="3"/>
      <c r="L7" s="3"/>
      <c r="M7" s="3"/>
      <c r="N7" s="3"/>
      <c r="O7" s="3"/>
      <c r="P7" s="3"/>
      <c r="Q7" s="3"/>
      <c r="R7" s="3"/>
      <c r="S7" s="3"/>
      <c r="T7" s="3"/>
      <c r="U7" s="3"/>
      <c r="V7" s="3"/>
      <c r="W7" s="3"/>
    </row>
    <row r="8" spans="1:23" x14ac:dyDescent="0.3">
      <c r="A8" s="3"/>
      <c r="B8" s="3">
        <v>2.2999999999999998</v>
      </c>
      <c r="C8" s="3">
        <v>33.4</v>
      </c>
      <c r="D8" s="3">
        <v>78.900000000000006</v>
      </c>
      <c r="E8" s="3"/>
      <c r="F8" s="3"/>
      <c r="G8" s="3"/>
      <c r="H8" s="3"/>
      <c r="I8" s="3"/>
      <c r="J8" s="3"/>
      <c r="K8" s="3"/>
      <c r="L8" s="3"/>
      <c r="M8" s="3"/>
      <c r="N8" s="3"/>
      <c r="O8" s="3"/>
      <c r="P8" s="3"/>
      <c r="Q8" s="3"/>
      <c r="R8" s="3"/>
      <c r="S8" s="3"/>
      <c r="T8" s="3"/>
      <c r="U8" s="3"/>
      <c r="V8" s="3"/>
      <c r="W8" s="3"/>
    </row>
    <row r="9" spans="1:23" x14ac:dyDescent="0.3">
      <c r="A9" s="3"/>
      <c r="B9" s="3">
        <v>4.5</v>
      </c>
      <c r="C9" s="3">
        <v>55.6</v>
      </c>
      <c r="D9" s="3">
        <v>78.900000000000006</v>
      </c>
      <c r="E9" s="3"/>
      <c r="F9" s="3"/>
      <c r="G9" s="3"/>
      <c r="H9" s="3"/>
      <c r="I9" s="3"/>
      <c r="J9" s="3"/>
      <c r="K9" s="3"/>
      <c r="L9" s="3"/>
      <c r="M9" s="3"/>
      <c r="N9" s="3"/>
      <c r="O9" s="3"/>
      <c r="P9" s="3"/>
      <c r="Q9" s="3"/>
      <c r="R9" s="3"/>
      <c r="S9" s="3"/>
      <c r="T9" s="3"/>
      <c r="U9" s="3"/>
      <c r="V9" s="3"/>
      <c r="W9" s="3"/>
    </row>
    <row r="10" spans="1:23" x14ac:dyDescent="0.3">
      <c r="A10" s="3"/>
      <c r="B10" s="3">
        <v>6.7</v>
      </c>
      <c r="C10" s="3">
        <v>67.8</v>
      </c>
      <c r="D10" s="3">
        <v>45.7</v>
      </c>
      <c r="E10" s="3"/>
      <c r="F10" s="3"/>
      <c r="G10" s="24" t="s">
        <v>156</v>
      </c>
      <c r="H10" s="3"/>
      <c r="I10" s="3"/>
      <c r="J10" s="3"/>
      <c r="K10" s="3"/>
      <c r="L10" s="3"/>
      <c r="M10" s="3"/>
      <c r="N10" s="3"/>
      <c r="O10" s="3"/>
      <c r="P10" s="3"/>
      <c r="Q10" s="3"/>
      <c r="R10" s="3"/>
      <c r="S10" s="3"/>
      <c r="T10" s="3"/>
      <c r="U10" s="3"/>
      <c r="V10" s="3"/>
      <c r="W10" s="3"/>
    </row>
    <row r="11" spans="1:23" x14ac:dyDescent="0.3">
      <c r="A11" s="3"/>
      <c r="B11" s="3">
        <v>6.7</v>
      </c>
      <c r="C11" s="3">
        <v>35.6</v>
      </c>
      <c r="D11" s="3">
        <v>12.4</v>
      </c>
      <c r="E11" s="3"/>
      <c r="F11" s="3"/>
      <c r="G11" s="24" t="s">
        <v>157</v>
      </c>
      <c r="H11" s="3"/>
      <c r="I11" s="3"/>
      <c r="J11" s="3"/>
      <c r="K11" s="3"/>
      <c r="L11" s="3"/>
      <c r="M11" s="3"/>
      <c r="N11" s="3"/>
      <c r="O11" s="3"/>
      <c r="P11" s="3"/>
      <c r="Q11" s="3"/>
      <c r="R11" s="3"/>
      <c r="S11" s="3"/>
      <c r="T11" s="3"/>
      <c r="U11" s="3"/>
      <c r="V11" s="3"/>
      <c r="W11" s="3"/>
    </row>
    <row r="12" spans="1:23" x14ac:dyDescent="0.3">
      <c r="A12" s="3"/>
      <c r="B12" s="3">
        <v>7.8</v>
      </c>
      <c r="C12" s="3">
        <v>45.6</v>
      </c>
      <c r="D12" s="3">
        <v>56.4</v>
      </c>
      <c r="E12" s="3"/>
      <c r="F12" s="3"/>
      <c r="G12" s="3"/>
      <c r="H12" s="3"/>
      <c r="I12" s="25" t="s">
        <v>158</v>
      </c>
      <c r="J12" s="3"/>
      <c r="K12" s="3"/>
      <c r="L12" s="3"/>
      <c r="M12" s="3"/>
      <c r="N12" s="3"/>
      <c r="O12" s="3"/>
      <c r="P12" s="3"/>
      <c r="Q12" s="3"/>
      <c r="R12" s="3"/>
      <c r="S12" s="3"/>
      <c r="T12" s="3"/>
      <c r="U12" s="3"/>
      <c r="V12" s="3"/>
      <c r="W12" s="3"/>
    </row>
    <row r="13" spans="1:23" x14ac:dyDescent="0.3">
      <c r="A13" s="3"/>
      <c r="B13" s="3">
        <v>2.2999999999999998</v>
      </c>
      <c r="C13" s="3">
        <v>34.6</v>
      </c>
      <c r="D13" s="3">
        <v>56.7</v>
      </c>
      <c r="E13" s="3"/>
      <c r="F13" s="3"/>
      <c r="G13" s="25" t="s">
        <v>159</v>
      </c>
      <c r="H13" s="3"/>
      <c r="I13" s="25" t="s">
        <v>160</v>
      </c>
      <c r="J13" s="3"/>
      <c r="K13" s="3"/>
      <c r="L13" s="3"/>
      <c r="M13" s="3"/>
      <c r="N13" s="3"/>
      <c r="O13" s="3"/>
      <c r="P13" s="3"/>
      <c r="Q13" s="3"/>
      <c r="R13" s="3"/>
      <c r="S13" s="3"/>
      <c r="T13" s="3"/>
      <c r="U13" s="3"/>
      <c r="V13" s="3"/>
      <c r="W13" s="3"/>
    </row>
    <row r="14" spans="1:23" x14ac:dyDescent="0.3">
      <c r="A14" s="3"/>
      <c r="B14" s="3">
        <v>4.5</v>
      </c>
      <c r="C14" s="3">
        <v>56.7</v>
      </c>
      <c r="D14" s="3">
        <v>45.6</v>
      </c>
      <c r="E14" s="3"/>
      <c r="F14" s="3"/>
      <c r="G14" s="3"/>
      <c r="H14" s="3"/>
      <c r="I14" s="25" t="s">
        <v>161</v>
      </c>
      <c r="J14" s="3"/>
      <c r="K14" s="3"/>
      <c r="L14" s="3"/>
      <c r="M14" s="3"/>
      <c r="N14" s="3"/>
      <c r="O14" s="3"/>
      <c r="P14" s="3"/>
      <c r="Q14" s="3"/>
      <c r="R14" s="3"/>
      <c r="S14" s="3"/>
      <c r="T14" s="3"/>
      <c r="U14" s="3"/>
      <c r="V14" s="3"/>
      <c r="W14" s="3"/>
    </row>
    <row r="15" spans="1:23" x14ac:dyDescent="0.3">
      <c r="A15" s="3"/>
      <c r="B15" s="3">
        <v>7.8</v>
      </c>
      <c r="C15" s="3">
        <v>45.7</v>
      </c>
      <c r="D15" s="3">
        <v>34.6</v>
      </c>
      <c r="E15" s="3"/>
      <c r="F15" s="3"/>
      <c r="G15" s="3"/>
      <c r="H15" s="3"/>
      <c r="I15" s="3"/>
      <c r="J15" s="3"/>
      <c r="K15" s="3"/>
      <c r="L15" s="3"/>
      <c r="M15" s="3"/>
      <c r="N15" s="3"/>
      <c r="O15" s="3"/>
      <c r="P15" s="3"/>
      <c r="Q15" s="3"/>
      <c r="R15" s="3"/>
      <c r="S15" s="3"/>
      <c r="T15" s="3"/>
      <c r="U15" s="3"/>
      <c r="V15" s="3"/>
      <c r="W15" s="3"/>
    </row>
    <row r="16" spans="1:23" x14ac:dyDescent="0.3">
      <c r="A16" s="3"/>
      <c r="B16" s="3">
        <v>4.2</v>
      </c>
      <c r="C16" s="3">
        <v>12.4</v>
      </c>
      <c r="D16" s="3">
        <v>34.450000000000003</v>
      </c>
      <c r="E16" s="3"/>
      <c r="F16" s="3"/>
      <c r="G16" s="3" t="s">
        <v>162</v>
      </c>
      <c r="H16" s="3"/>
      <c r="I16" s="3"/>
      <c r="J16" s="3"/>
      <c r="K16" s="3"/>
      <c r="L16" s="3"/>
      <c r="M16" s="3"/>
      <c r="N16" s="3"/>
      <c r="O16" s="3"/>
      <c r="P16" s="3"/>
      <c r="Q16" s="3"/>
      <c r="R16" s="3"/>
      <c r="S16" s="3"/>
      <c r="T16" s="3"/>
      <c r="U16" s="3"/>
      <c r="V16" s="3"/>
      <c r="W16" s="3"/>
    </row>
    <row r="17" spans="1:23" x14ac:dyDescent="0.3">
      <c r="A17" s="3"/>
      <c r="B17" s="3">
        <v>1.2</v>
      </c>
      <c r="C17" s="3">
        <v>34.5</v>
      </c>
      <c r="D17" s="3">
        <v>12</v>
      </c>
      <c r="E17" s="3"/>
      <c r="F17" s="3"/>
      <c r="G17" s="3" t="s">
        <v>163</v>
      </c>
      <c r="H17" s="3" t="s">
        <v>45</v>
      </c>
      <c r="I17" s="25" t="s">
        <v>3</v>
      </c>
      <c r="J17" s="3"/>
      <c r="K17" s="3">
        <v>0.38800000000000001</v>
      </c>
      <c r="L17" s="3"/>
      <c r="M17" s="3"/>
      <c r="N17" s="3"/>
      <c r="O17" s="3"/>
      <c r="P17" s="3"/>
      <c r="Q17" s="3"/>
      <c r="R17" s="3"/>
      <c r="S17" s="3"/>
      <c r="T17" s="3"/>
      <c r="U17" s="3"/>
      <c r="V17" s="3"/>
      <c r="W17" s="3"/>
    </row>
    <row r="18" spans="1:23" x14ac:dyDescent="0.3">
      <c r="A18" s="3"/>
      <c r="B18" s="3">
        <v>7.7</v>
      </c>
      <c r="C18" s="3">
        <v>78.8</v>
      </c>
      <c r="D18" s="3">
        <v>34.549999999999997</v>
      </c>
      <c r="E18" s="3"/>
      <c r="F18" s="3"/>
      <c r="G18" s="3"/>
      <c r="H18" s="3"/>
      <c r="I18" s="25" t="s">
        <v>164</v>
      </c>
      <c r="J18" s="3"/>
      <c r="K18" s="3">
        <v>1.4930000000000001</v>
      </c>
      <c r="L18" s="3"/>
      <c r="M18" s="3"/>
      <c r="N18" s="3"/>
      <c r="O18" s="3"/>
      <c r="P18" s="3"/>
      <c r="Q18" s="3"/>
      <c r="R18" s="3"/>
      <c r="S18" s="3"/>
      <c r="T18" s="3"/>
      <c r="U18" s="3"/>
      <c r="V18" s="3"/>
      <c r="W18" s="3"/>
    </row>
    <row r="19" spans="1:23" x14ac:dyDescent="0.3">
      <c r="A19" s="3"/>
      <c r="B19" s="3">
        <v>5.6</v>
      </c>
      <c r="C19" s="3">
        <v>56.7</v>
      </c>
      <c r="D19" s="3">
        <v>56.66</v>
      </c>
      <c r="E19" s="3"/>
      <c r="F19" s="3"/>
      <c r="G19" s="3"/>
      <c r="H19" s="3"/>
      <c r="I19" s="25" t="s">
        <v>50</v>
      </c>
      <c r="J19" s="3"/>
      <c r="K19" s="3">
        <v>23.453499999999998</v>
      </c>
      <c r="L19" s="3"/>
      <c r="M19" s="3"/>
      <c r="N19" s="3"/>
      <c r="O19" s="3"/>
      <c r="P19" s="3"/>
      <c r="Q19" s="3"/>
      <c r="R19" s="3"/>
      <c r="S19" s="3"/>
      <c r="T19" s="3"/>
      <c r="U19" s="3"/>
      <c r="V19" s="3"/>
      <c r="W19" s="3"/>
    </row>
    <row r="20" spans="1:23" x14ac:dyDescent="0.3">
      <c r="A20" s="3"/>
      <c r="B20" s="3"/>
      <c r="C20" s="3"/>
      <c r="D20" s="3"/>
      <c r="E20" s="3"/>
      <c r="F20" s="3"/>
      <c r="G20" s="3"/>
      <c r="H20" s="3"/>
      <c r="I20" s="25" t="s">
        <v>165</v>
      </c>
      <c r="J20" s="3"/>
      <c r="K20" s="3">
        <v>23.564</v>
      </c>
      <c r="L20" s="3"/>
      <c r="M20" s="3"/>
      <c r="N20" s="3"/>
      <c r="O20" s="3"/>
      <c r="P20" s="3"/>
      <c r="Q20" s="3"/>
      <c r="R20" s="3"/>
      <c r="S20" s="3"/>
      <c r="T20" s="3"/>
      <c r="U20" s="3"/>
      <c r="V20" s="3"/>
      <c r="W20" s="3"/>
    </row>
    <row r="21" spans="1:23" x14ac:dyDescent="0.3">
      <c r="A21" s="3"/>
      <c r="B21" s="3"/>
      <c r="C21" s="3"/>
      <c r="D21" s="3"/>
      <c r="E21" s="3"/>
      <c r="F21" s="3"/>
      <c r="G21" s="3"/>
      <c r="H21" s="3"/>
      <c r="I21" s="25" t="s">
        <v>166</v>
      </c>
      <c r="J21" s="3"/>
      <c r="K21" s="3">
        <v>56.343299999999999</v>
      </c>
      <c r="L21" s="3"/>
      <c r="M21" s="3"/>
      <c r="N21" s="3"/>
      <c r="O21" s="3"/>
      <c r="P21" s="3"/>
      <c r="Q21" s="3"/>
      <c r="R21" s="3"/>
      <c r="S21" s="3"/>
      <c r="T21" s="3"/>
      <c r="U21" s="3"/>
      <c r="V21" s="3"/>
      <c r="W21" s="3"/>
    </row>
    <row r="22" spans="1:23" x14ac:dyDescent="0.3">
      <c r="A22" s="3"/>
      <c r="B22" s="3"/>
      <c r="C22" s="3"/>
      <c r="D22" s="3"/>
      <c r="E22" s="3"/>
      <c r="F22" s="3"/>
      <c r="G22" s="3"/>
      <c r="H22" s="3"/>
      <c r="I22" s="25" t="s">
        <v>167</v>
      </c>
      <c r="J22" s="3"/>
      <c r="K22" s="3">
        <v>0.32300000000000001</v>
      </c>
      <c r="L22" s="3"/>
      <c r="M22" s="3"/>
      <c r="N22" s="3"/>
      <c r="O22" s="3"/>
      <c r="P22" s="3"/>
      <c r="Q22" s="3"/>
      <c r="R22" s="3"/>
      <c r="S22" s="3"/>
      <c r="T22" s="3"/>
      <c r="U22" s="3"/>
      <c r="V22" s="3"/>
      <c r="W22" s="3"/>
    </row>
    <row r="23" spans="1:23" x14ac:dyDescent="0.3">
      <c r="A23" s="3"/>
      <c r="B23" s="3"/>
      <c r="C23" s="3" t="s">
        <v>168</v>
      </c>
      <c r="D23" s="3"/>
      <c r="E23" s="3"/>
      <c r="F23" s="3"/>
      <c r="G23" s="3"/>
      <c r="H23" s="3"/>
      <c r="I23" s="3"/>
      <c r="J23" s="3"/>
      <c r="K23" s="3"/>
      <c r="L23" s="3"/>
      <c r="M23" s="3"/>
      <c r="N23" s="3"/>
      <c r="O23" s="3"/>
      <c r="P23" s="3"/>
      <c r="Q23" s="3"/>
      <c r="R23" s="3"/>
      <c r="S23" s="3"/>
      <c r="T23" s="3"/>
      <c r="U23" s="3"/>
      <c r="V23" s="3"/>
      <c r="W23" s="3"/>
    </row>
    <row r="24" spans="1:23" x14ac:dyDescent="0.3">
      <c r="A24" s="3"/>
      <c r="B24" s="3"/>
      <c r="C24" s="26" t="s">
        <v>169</v>
      </c>
      <c r="D24" s="3"/>
      <c r="E24" s="3"/>
      <c r="F24" s="3"/>
      <c r="G24" s="3"/>
      <c r="H24" s="3"/>
      <c r="I24" s="3"/>
      <c r="J24" s="3"/>
      <c r="K24" s="3"/>
      <c r="L24" s="3"/>
      <c r="M24" s="3"/>
      <c r="N24" s="3"/>
      <c r="O24" s="3"/>
      <c r="P24" s="3"/>
      <c r="Q24" s="3"/>
      <c r="R24" s="3"/>
      <c r="S24" s="3"/>
      <c r="T24" s="3"/>
      <c r="U24" s="3"/>
      <c r="V24" s="3"/>
      <c r="W24" s="3"/>
    </row>
    <row r="25" spans="1:23" x14ac:dyDescent="0.3">
      <c r="A25" s="3"/>
      <c r="B25" s="3"/>
      <c r="C25" s="26"/>
      <c r="D25" s="3"/>
      <c r="E25" s="3"/>
      <c r="F25" s="3"/>
      <c r="G25" s="3"/>
      <c r="H25" s="3"/>
      <c r="I25" s="3"/>
      <c r="J25" s="3"/>
      <c r="K25" s="3"/>
      <c r="L25" s="3"/>
      <c r="M25" s="3"/>
      <c r="N25" s="3"/>
      <c r="O25" s="3"/>
      <c r="P25" s="3"/>
      <c r="Q25" s="3"/>
      <c r="R25" s="3"/>
      <c r="S25" s="3"/>
      <c r="T25" s="3"/>
      <c r="U25" s="3"/>
      <c r="V25" s="3"/>
      <c r="W25" s="3"/>
    </row>
    <row r="26" spans="1:23" x14ac:dyDescent="0.3">
      <c r="A26" s="3"/>
      <c r="B26" s="3"/>
      <c r="C26" s="26" t="s">
        <v>170</v>
      </c>
      <c r="D26" s="3"/>
      <c r="E26" s="3"/>
      <c r="F26" s="3"/>
      <c r="G26" s="3"/>
      <c r="H26" s="3"/>
      <c r="I26" s="3"/>
      <c r="J26" s="3"/>
      <c r="K26" s="3"/>
      <c r="L26" s="3"/>
      <c r="M26" s="3"/>
      <c r="N26" s="3"/>
      <c r="O26" s="3"/>
      <c r="P26" s="3"/>
      <c r="Q26" s="3"/>
      <c r="R26" s="3"/>
      <c r="S26" s="3"/>
      <c r="T26" s="3"/>
      <c r="U26" s="3"/>
      <c r="V26" s="3"/>
      <c r="W26" s="3"/>
    </row>
    <row r="27" spans="1:23" x14ac:dyDescent="0.3">
      <c r="A27" s="3"/>
      <c r="B27" s="3"/>
      <c r="C27" s="26" t="s">
        <v>171</v>
      </c>
      <c r="D27" s="3"/>
      <c r="E27" s="3"/>
      <c r="F27" s="3"/>
      <c r="G27" s="3"/>
      <c r="H27" s="3"/>
      <c r="I27" s="3"/>
      <c r="J27" s="3"/>
      <c r="K27" s="3"/>
      <c r="L27" s="3"/>
      <c r="M27" s="3"/>
      <c r="N27" s="3"/>
      <c r="O27" s="3"/>
      <c r="P27" s="3"/>
      <c r="Q27" s="3"/>
      <c r="R27" s="3"/>
      <c r="S27" s="3"/>
      <c r="T27" s="3"/>
      <c r="U27" s="3"/>
      <c r="V27" s="3"/>
      <c r="W27" s="3"/>
    </row>
    <row r="28" spans="1:23" x14ac:dyDescent="0.3">
      <c r="A28" s="3"/>
      <c r="B28" s="3"/>
      <c r="C28" s="26" t="s">
        <v>172</v>
      </c>
      <c r="D28" s="3"/>
      <c r="E28" s="3"/>
      <c r="F28" s="3"/>
      <c r="G28" s="3"/>
      <c r="H28" s="3"/>
      <c r="I28" s="3"/>
      <c r="J28" s="3"/>
      <c r="K28" s="3"/>
      <c r="L28" s="3"/>
      <c r="M28" s="3"/>
      <c r="N28" s="3"/>
      <c r="O28" s="3"/>
      <c r="P28" s="3"/>
      <c r="Q28" s="3"/>
      <c r="R28" s="3"/>
      <c r="S28" s="3"/>
      <c r="T28" s="3"/>
      <c r="U28" s="3"/>
      <c r="V28" s="3"/>
      <c r="W28" s="3"/>
    </row>
    <row r="29" spans="1:23" x14ac:dyDescent="0.3">
      <c r="A29" s="3"/>
      <c r="B29" s="3"/>
      <c r="C29" s="26" t="s">
        <v>173</v>
      </c>
      <c r="D29" s="3"/>
      <c r="E29" s="3"/>
      <c r="F29" s="3"/>
      <c r="G29" s="3"/>
      <c r="H29" s="3"/>
      <c r="I29" s="3"/>
      <c r="J29" s="3"/>
      <c r="K29" s="3"/>
      <c r="L29" s="3"/>
      <c r="M29" s="3"/>
      <c r="N29" s="3"/>
      <c r="O29" s="3"/>
      <c r="P29" s="3"/>
      <c r="Q29" s="3"/>
      <c r="R29" s="3"/>
      <c r="S29" s="3"/>
      <c r="T29" s="3"/>
      <c r="U29" s="3"/>
      <c r="V29" s="3"/>
      <c r="W29" s="3"/>
    </row>
    <row r="30" spans="1:23" x14ac:dyDescent="0.3">
      <c r="A30" s="3"/>
      <c r="B30" s="3"/>
      <c r="C30" s="26"/>
      <c r="D30" s="3"/>
      <c r="E30" s="3"/>
      <c r="F30" s="3"/>
      <c r="G30" s="3"/>
      <c r="H30" s="3"/>
      <c r="I30" s="3"/>
      <c r="J30" s="3"/>
      <c r="K30" s="3"/>
      <c r="L30" s="3"/>
      <c r="M30" s="3"/>
      <c r="N30" s="3"/>
      <c r="O30" s="3"/>
      <c r="P30" s="3"/>
      <c r="Q30" s="3"/>
      <c r="R30" s="3"/>
      <c r="S30" s="3"/>
      <c r="T30" s="3"/>
      <c r="U30" s="3"/>
      <c r="V30" s="3"/>
      <c r="W30" s="3"/>
    </row>
    <row r="31" spans="1:23" x14ac:dyDescent="0.3">
      <c r="A31" s="3"/>
      <c r="B31" s="3"/>
      <c r="C31" s="26"/>
      <c r="D31" s="3"/>
      <c r="E31" s="3"/>
      <c r="F31" s="3"/>
      <c r="G31" s="3"/>
      <c r="H31" s="3"/>
      <c r="I31" s="3"/>
      <c r="J31" s="3"/>
      <c r="K31" s="3"/>
      <c r="L31" s="3"/>
      <c r="M31" s="3"/>
      <c r="N31" s="3"/>
      <c r="O31" s="3"/>
      <c r="P31" s="3"/>
      <c r="Q31" s="3"/>
      <c r="R31" s="3"/>
      <c r="S31" s="3"/>
      <c r="T31" s="3"/>
      <c r="U31" s="3"/>
      <c r="V31" s="3"/>
      <c r="W31" s="3"/>
    </row>
    <row r="32" spans="1:23" x14ac:dyDescent="0.3">
      <c r="A32" s="3"/>
      <c r="B32" s="3"/>
      <c r="C32" s="26" t="s">
        <v>174</v>
      </c>
      <c r="D32" s="3"/>
      <c r="E32" s="3"/>
      <c r="F32" s="3"/>
      <c r="G32" s="3"/>
      <c r="H32" s="3"/>
      <c r="I32" s="3"/>
      <c r="J32" s="3"/>
      <c r="K32" s="3"/>
      <c r="L32" s="3"/>
      <c r="M32" s="3"/>
      <c r="N32" s="3"/>
      <c r="O32" s="3"/>
      <c r="P32" s="3"/>
      <c r="Q32" s="3"/>
      <c r="R32" s="3"/>
      <c r="S32" s="3"/>
      <c r="T32" s="3"/>
      <c r="U32" s="3"/>
      <c r="V32" s="3"/>
      <c r="W32" s="3"/>
    </row>
    <row r="33" spans="1:47" x14ac:dyDescent="0.3">
      <c r="A33" s="3"/>
      <c r="B33" s="3"/>
      <c r="C33" s="3"/>
      <c r="D33" s="3"/>
      <c r="E33" s="3"/>
      <c r="F33" s="3"/>
      <c r="G33" s="3"/>
      <c r="H33" s="3"/>
      <c r="I33" s="3"/>
      <c r="J33" s="3"/>
      <c r="K33" s="3"/>
      <c r="L33" s="3"/>
      <c r="M33" s="3"/>
      <c r="N33" s="3"/>
      <c r="O33" s="3"/>
      <c r="P33" s="3"/>
      <c r="Q33" s="3"/>
      <c r="R33" s="3"/>
      <c r="S33" s="3"/>
      <c r="T33" s="3"/>
      <c r="U33" s="3"/>
      <c r="V33" s="3"/>
      <c r="W33" s="3"/>
    </row>
    <row r="34" spans="1:47" x14ac:dyDescent="0.3">
      <c r="A34" s="3"/>
      <c r="B34" s="3"/>
      <c r="C34" s="3"/>
      <c r="D34" s="3" t="s">
        <v>175</v>
      </c>
      <c r="E34" s="3"/>
      <c r="F34" s="3"/>
      <c r="G34" s="3"/>
      <c r="H34" s="3"/>
      <c r="I34" s="3"/>
      <c r="J34" s="3"/>
      <c r="K34" s="3"/>
      <c r="L34" s="3"/>
      <c r="M34" s="3"/>
      <c r="N34" s="3"/>
      <c r="O34" s="3"/>
      <c r="P34" s="3"/>
      <c r="Q34" s="3"/>
      <c r="R34" s="3"/>
      <c r="S34" s="3"/>
      <c r="T34" s="3"/>
      <c r="U34" s="3"/>
      <c r="V34" s="3"/>
      <c r="W34" s="3"/>
    </row>
    <row r="35" spans="1:47" x14ac:dyDescent="0.3">
      <c r="A35" s="3"/>
      <c r="B35" s="3"/>
      <c r="C35" s="3"/>
      <c r="D35" s="3"/>
      <c r="E35" s="3"/>
      <c r="F35" s="3">
        <v>3.2888799999999998</v>
      </c>
      <c r="G35" s="3"/>
      <c r="H35" s="3"/>
      <c r="I35" s="3"/>
      <c r="J35" s="3"/>
      <c r="K35" s="3"/>
      <c r="L35" s="3"/>
      <c r="M35" s="3"/>
      <c r="N35" s="3"/>
      <c r="O35" s="3"/>
      <c r="P35" s="3"/>
      <c r="Q35" s="3"/>
      <c r="R35" s="3"/>
      <c r="S35" s="3"/>
      <c r="T35" s="3"/>
      <c r="U35" s="3"/>
      <c r="V35" s="3"/>
      <c r="W35" s="3"/>
    </row>
    <row r="37" spans="1:47" x14ac:dyDescent="0.3">
      <c r="A37" s="2" t="s">
        <v>176</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x14ac:dyDescent="0.3">
      <c r="A38" s="2"/>
      <c r="B38" s="2"/>
      <c r="C38" s="2" t="s">
        <v>177</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x14ac:dyDescent="0.3">
      <c r="A39" s="2"/>
      <c r="B39" s="2"/>
      <c r="C39" s="2" t="s">
        <v>73</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x14ac:dyDescent="0.3">
      <c r="A41" s="2"/>
      <c r="B41" s="2"/>
      <c r="C41" s="2" t="s">
        <v>178</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x14ac:dyDescent="0.3">
      <c r="A43" s="2"/>
      <c r="B43" s="2"/>
      <c r="C43" s="2"/>
      <c r="D43" s="27" t="s">
        <v>156</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x14ac:dyDescent="0.3">
      <c r="A44" s="2"/>
      <c r="B44" s="2"/>
      <c r="C44" s="2"/>
      <c r="D44" s="27" t="s">
        <v>157</v>
      </c>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x14ac:dyDescent="0.3">
      <c r="A45" s="2"/>
      <c r="B45" s="2"/>
      <c r="C45" s="2"/>
      <c r="D45" s="2"/>
      <c r="E45" s="2"/>
      <c r="F45" s="21" t="s">
        <v>158</v>
      </c>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x14ac:dyDescent="0.3">
      <c r="A46" s="2"/>
      <c r="B46" s="2"/>
      <c r="C46" s="2"/>
      <c r="D46" s="21" t="s">
        <v>159</v>
      </c>
      <c r="E46" s="2"/>
      <c r="F46" s="21" t="s">
        <v>160</v>
      </c>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x14ac:dyDescent="0.3">
      <c r="A47" s="2"/>
      <c r="B47" s="2"/>
      <c r="C47" s="2"/>
      <c r="D47" s="2"/>
      <c r="E47" s="2"/>
      <c r="F47" s="21" t="s">
        <v>161</v>
      </c>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x14ac:dyDescent="0.3">
      <c r="A49" s="2"/>
      <c r="B49" s="2"/>
      <c r="C49" s="2"/>
      <c r="D49" s="2" t="s">
        <v>162</v>
      </c>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x14ac:dyDescent="0.3">
      <c r="A50" s="2"/>
      <c r="B50" s="2"/>
      <c r="C50" s="2"/>
      <c r="D50" s="2" t="s">
        <v>163</v>
      </c>
      <c r="E50" s="2" t="s">
        <v>45</v>
      </c>
      <c r="F50" s="21" t="s">
        <v>3</v>
      </c>
      <c r="G50" s="2"/>
      <c r="H50" s="2" t="s">
        <v>179</v>
      </c>
      <c r="I50" s="2">
        <v>3.2589999999999999</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x14ac:dyDescent="0.3">
      <c r="A51" s="2"/>
      <c r="B51" s="2"/>
      <c r="C51" s="2"/>
      <c r="D51" s="2"/>
      <c r="E51" s="2"/>
      <c r="F51" s="21" t="s">
        <v>164</v>
      </c>
      <c r="G51" s="2"/>
      <c r="H51" s="2" t="s">
        <v>184</v>
      </c>
      <c r="I51" s="2">
        <v>0.62100100000000003</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x14ac:dyDescent="0.3">
      <c r="A52" s="2"/>
      <c r="B52" s="2"/>
      <c r="C52" s="2"/>
      <c r="D52" s="2"/>
      <c r="E52" s="2"/>
      <c r="F52" s="21" t="s">
        <v>50</v>
      </c>
      <c r="G52" s="2"/>
      <c r="H52" s="2">
        <v>0.62100100000000003</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x14ac:dyDescent="0.3">
      <c r="A53" s="2"/>
      <c r="B53" s="2"/>
      <c r="C53" s="2"/>
      <c r="D53" s="2"/>
      <c r="E53" s="2"/>
      <c r="F53" s="21" t="s">
        <v>165</v>
      </c>
      <c r="G53" s="2"/>
      <c r="H53" s="2">
        <v>0.62100100000000003</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x14ac:dyDescent="0.3">
      <c r="A54" s="2"/>
      <c r="B54" s="2"/>
      <c r="C54" s="2"/>
      <c r="D54" s="2"/>
      <c r="E54" s="2"/>
      <c r="F54" s="21" t="s">
        <v>166</v>
      </c>
      <c r="G54" s="2"/>
      <c r="H54" s="2">
        <v>0.78798000000000001</v>
      </c>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x14ac:dyDescent="0.3">
      <c r="A55" s="2"/>
      <c r="B55" s="2"/>
      <c r="C55" s="2"/>
      <c r="D55" s="2"/>
      <c r="E55" s="2"/>
      <c r="F55" s="21" t="s">
        <v>167</v>
      </c>
      <c r="G55" s="2"/>
      <c r="H55" s="2">
        <v>0.32590000000000002</v>
      </c>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x14ac:dyDescent="0.3">
      <c r="A56" s="2"/>
      <c r="B56" s="2"/>
      <c r="C56" s="2"/>
      <c r="D56" s="2"/>
      <c r="E56" s="2"/>
      <c r="F56" s="2" t="s">
        <v>84</v>
      </c>
      <c r="G56" s="2" t="s">
        <v>180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x14ac:dyDescent="0.3">
      <c r="A57" s="2"/>
      <c r="B57" s="2"/>
      <c r="C57" s="2"/>
      <c r="D57" s="2"/>
      <c r="E57" s="2"/>
      <c r="F57" s="2" t="s">
        <v>181</v>
      </c>
      <c r="G57" s="2"/>
      <c r="H57" s="2" t="s">
        <v>182</v>
      </c>
      <c r="I57" s="2" t="s">
        <v>183</v>
      </c>
      <c r="J57" s="2">
        <v>2.9</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x14ac:dyDescent="0.3">
      <c r="A60" s="2"/>
      <c r="B60" s="2" t="s">
        <v>185</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3">
      <c r="A61" s="2"/>
      <c r="B61" s="2"/>
      <c r="C61" s="22" t="s">
        <v>169</v>
      </c>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3">
      <c r="A62" s="2"/>
      <c r="B62" s="2"/>
      <c r="C62" s="2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x14ac:dyDescent="0.3">
      <c r="A63" s="2"/>
      <c r="B63" s="2"/>
      <c r="C63" s="22" t="s">
        <v>170</v>
      </c>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x14ac:dyDescent="0.3">
      <c r="A64" s="2"/>
      <c r="B64" s="2"/>
      <c r="C64" s="22" t="s">
        <v>171</v>
      </c>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x14ac:dyDescent="0.3">
      <c r="A65" s="2"/>
      <c r="B65" s="2"/>
      <c r="C65" s="22" t="s">
        <v>172</v>
      </c>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x14ac:dyDescent="0.3">
      <c r="A66" s="2"/>
      <c r="B66" s="2"/>
      <c r="C66" s="22" t="s">
        <v>173</v>
      </c>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x14ac:dyDescent="0.3">
      <c r="A67" s="2"/>
      <c r="B67" s="2"/>
      <c r="C67" s="2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x14ac:dyDescent="0.3">
      <c r="A68" s="2"/>
      <c r="B68" s="21" t="s">
        <v>186</v>
      </c>
      <c r="C68" s="2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x14ac:dyDescent="0.3">
      <c r="A69" s="2"/>
      <c r="B69" s="2"/>
      <c r="C69" s="22"/>
      <c r="D69" s="2" t="s">
        <v>187</v>
      </c>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3">
      <c r="A70" s="2"/>
      <c r="B70" s="2"/>
      <c r="C70" s="2"/>
      <c r="D70" s="2">
        <v>2.907</v>
      </c>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x14ac:dyDescent="0.3">
      <c r="A71" s="2"/>
      <c r="B71" s="2"/>
      <c r="C71" s="2"/>
      <c r="D71" s="2"/>
      <c r="E71" s="2"/>
      <c r="F71" s="2"/>
      <c r="G71" s="2"/>
      <c r="H71" s="2"/>
      <c r="I71" s="2"/>
      <c r="J71" s="2"/>
      <c r="K71" s="2"/>
      <c r="L71" s="2"/>
      <c r="M71" s="2" t="s">
        <v>159</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3" spans="1:47" x14ac:dyDescent="0.3">
      <c r="A73" s="3"/>
      <c r="B73" s="3" t="s">
        <v>188</v>
      </c>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47" x14ac:dyDescent="0.3">
      <c r="A74" s="3" t="s">
        <v>191</v>
      </c>
      <c r="B74" s="3" t="s">
        <v>189</v>
      </c>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47"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47" x14ac:dyDescent="0.3">
      <c r="A76" s="3"/>
      <c r="B76" s="24" t="s">
        <v>244</v>
      </c>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47" x14ac:dyDescent="0.3">
      <c r="A77" s="3"/>
      <c r="B77" s="24" t="s">
        <v>190</v>
      </c>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47" x14ac:dyDescent="0.3">
      <c r="A78" s="3"/>
      <c r="B78" s="3"/>
      <c r="C78" s="3"/>
      <c r="D78" s="25" t="s">
        <v>158</v>
      </c>
      <c r="E78" s="3"/>
      <c r="F78" s="3"/>
      <c r="G78" s="3"/>
      <c r="H78" s="3"/>
      <c r="I78" s="3"/>
      <c r="J78" s="3"/>
      <c r="K78" s="3"/>
      <c r="L78" s="3"/>
      <c r="M78" s="3"/>
      <c r="N78" s="3"/>
      <c r="O78" s="3"/>
      <c r="P78" s="3"/>
      <c r="Q78" s="3"/>
      <c r="R78" s="3"/>
      <c r="S78" s="3"/>
      <c r="T78" s="3"/>
      <c r="U78" s="3"/>
      <c r="V78" s="3"/>
      <c r="W78" s="3"/>
      <c r="X78" s="3"/>
      <c r="Y78" s="3"/>
      <c r="Z78" s="3"/>
      <c r="AA78" s="3"/>
      <c r="AB78" s="3"/>
      <c r="AC78" s="3"/>
    </row>
    <row r="79" spans="1:47" x14ac:dyDescent="0.3">
      <c r="A79" s="3"/>
      <c r="B79" s="25" t="s">
        <v>159</v>
      </c>
      <c r="C79" s="3"/>
      <c r="D79" s="25" t="s">
        <v>160</v>
      </c>
      <c r="E79" s="3"/>
      <c r="F79" s="3"/>
      <c r="G79" s="3"/>
      <c r="H79" s="3"/>
      <c r="I79" s="3"/>
      <c r="J79" s="3"/>
      <c r="K79" s="3"/>
      <c r="L79" s="3"/>
      <c r="M79" s="3"/>
      <c r="N79" s="3"/>
      <c r="O79" s="3"/>
      <c r="P79" s="3"/>
      <c r="Q79" s="3"/>
      <c r="R79" s="3"/>
      <c r="S79" s="3"/>
      <c r="T79" s="3"/>
      <c r="U79" s="3"/>
      <c r="V79" s="3"/>
      <c r="W79" s="3"/>
      <c r="X79" s="3"/>
      <c r="Y79" s="3"/>
      <c r="Z79" s="3"/>
      <c r="AA79" s="3"/>
      <c r="AB79" s="3"/>
      <c r="AC79" s="3"/>
    </row>
    <row r="80" spans="1:47" x14ac:dyDescent="0.3">
      <c r="A80" s="3"/>
      <c r="B80" s="3"/>
      <c r="C80" s="3"/>
      <c r="D80" s="25" t="s">
        <v>161</v>
      </c>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3">
      <c r="A82" s="3"/>
      <c r="B82" s="3"/>
      <c r="C82" s="25" t="s">
        <v>3</v>
      </c>
      <c r="D82" s="3"/>
      <c r="E82" s="3" t="s">
        <v>192</v>
      </c>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3">
      <c r="A83" s="3"/>
      <c r="B83" s="3"/>
      <c r="C83" s="25" t="s">
        <v>164</v>
      </c>
      <c r="D83" s="3"/>
      <c r="E83" s="3">
        <v>0.184335</v>
      </c>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3">
      <c r="A84" s="3"/>
      <c r="B84" s="3"/>
      <c r="C84" s="25" t="s">
        <v>50</v>
      </c>
      <c r="D84" s="3"/>
      <c r="E84" s="3">
        <v>3.4009270000000001E-2</v>
      </c>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3">
      <c r="A85" s="3"/>
      <c r="B85" s="3"/>
      <c r="C85" s="25" t="s">
        <v>165</v>
      </c>
      <c r="D85" s="3"/>
      <c r="E85" s="3">
        <v>3.4009270000000001E-2</v>
      </c>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3">
      <c r="A86" s="3"/>
      <c r="B86" s="3"/>
      <c r="C86" s="25" t="s">
        <v>166</v>
      </c>
      <c r="D86" s="3"/>
      <c r="E86" s="3">
        <v>0.184335</v>
      </c>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3">
      <c r="A87" s="3"/>
      <c r="B87" s="3"/>
      <c r="C87" s="25" t="s">
        <v>167</v>
      </c>
      <c r="D87" s="3"/>
      <c r="E87" s="3">
        <v>-4.8824151679999996</v>
      </c>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3">
      <c r="A88" s="3"/>
      <c r="B88" s="3"/>
      <c r="C88" s="3" t="s">
        <v>84</v>
      </c>
      <c r="D88" s="3" t="s">
        <v>193</v>
      </c>
      <c r="E88" s="3">
        <v>3</v>
      </c>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3">
      <c r="A89" s="3"/>
      <c r="B89" s="3"/>
      <c r="C89" s="3" t="s">
        <v>181</v>
      </c>
      <c r="D89" s="3"/>
      <c r="E89" s="3" t="s">
        <v>182</v>
      </c>
      <c r="F89" s="3" t="s">
        <v>183</v>
      </c>
      <c r="G89" s="3">
        <v>2.9</v>
      </c>
      <c r="H89" s="3"/>
      <c r="I89" s="3"/>
      <c r="J89" s="3"/>
      <c r="K89" s="3"/>
      <c r="L89" s="3"/>
      <c r="M89" s="3"/>
      <c r="N89" s="3"/>
      <c r="O89" s="3"/>
      <c r="P89" s="3"/>
      <c r="Q89" s="3"/>
      <c r="R89" s="3"/>
      <c r="S89" s="3"/>
      <c r="T89" s="3"/>
      <c r="U89" s="3"/>
      <c r="V89" s="3"/>
      <c r="W89" s="3"/>
      <c r="X89" s="3"/>
      <c r="Y89" s="3"/>
      <c r="Z89" s="3"/>
      <c r="AA89" s="3"/>
      <c r="AB89" s="3"/>
      <c r="AC89" s="3"/>
    </row>
    <row r="90" spans="1:29"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x14ac:dyDescent="0.3">
      <c r="A93" s="3" t="s">
        <v>194</v>
      </c>
      <c r="B93" s="3" t="s">
        <v>73</v>
      </c>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x14ac:dyDescent="0.3">
      <c r="A94" s="3"/>
      <c r="B94" s="3"/>
      <c r="C94" s="3" t="s">
        <v>168</v>
      </c>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x14ac:dyDescent="0.3">
      <c r="A95" s="3"/>
      <c r="B95" s="3"/>
      <c r="C95" s="26" t="s">
        <v>169</v>
      </c>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x14ac:dyDescent="0.3">
      <c r="A96" s="3"/>
      <c r="B96" s="3"/>
      <c r="C96" s="26"/>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46" x14ac:dyDescent="0.3">
      <c r="A97" s="3"/>
      <c r="B97" s="3"/>
      <c r="C97" s="26" t="s">
        <v>170</v>
      </c>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46" x14ac:dyDescent="0.3">
      <c r="A98" s="3"/>
      <c r="B98" s="3"/>
      <c r="C98" s="26" t="s">
        <v>171</v>
      </c>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46" x14ac:dyDescent="0.3">
      <c r="A99" s="3"/>
      <c r="B99" s="3"/>
      <c r="C99" s="26" t="s">
        <v>172</v>
      </c>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46" x14ac:dyDescent="0.3">
      <c r="A100" s="3"/>
      <c r="B100" s="3"/>
      <c r="C100" s="26" t="s">
        <v>173</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46" x14ac:dyDescent="0.3">
      <c r="A101" s="3"/>
      <c r="B101" s="3"/>
      <c r="C101" s="26"/>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46" x14ac:dyDescent="0.3">
      <c r="A102" s="3"/>
      <c r="B102" s="3" t="s">
        <v>195</v>
      </c>
      <c r="C102" s="3" t="s">
        <v>186</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46" x14ac:dyDescent="0.3">
      <c r="A103" s="3"/>
      <c r="B103" s="3"/>
      <c r="C103" s="26"/>
      <c r="D103" s="3" t="s">
        <v>196</v>
      </c>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46" x14ac:dyDescent="0.3">
      <c r="A104" s="3"/>
      <c r="B104" s="3"/>
      <c r="C104" s="3"/>
      <c r="D104" s="3" t="s">
        <v>197</v>
      </c>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46"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46" x14ac:dyDescent="0.3">
      <c r="J106" t="s">
        <v>159</v>
      </c>
    </row>
    <row r="107" spans="1:46" x14ac:dyDescent="0.3">
      <c r="A107" s="1" t="s">
        <v>198</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1:46" x14ac:dyDescent="0.3">
      <c r="A108" s="1"/>
      <c r="B108" s="1" t="s">
        <v>199</v>
      </c>
      <c r="C108" s="1" t="s">
        <v>200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1:46" x14ac:dyDescent="0.3">
      <c r="A109" s="1"/>
      <c r="B109" s="1"/>
      <c r="C109" s="1" t="s">
        <v>159</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1:46" x14ac:dyDescent="0.3">
      <c r="A110" s="1"/>
      <c r="B110" s="17" t="s">
        <v>201</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1:46" x14ac:dyDescent="0.3">
      <c r="A111" s="1"/>
      <c r="B111" s="1"/>
      <c r="C111" s="1"/>
      <c r="D111" s="17" t="s">
        <v>202</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1:46" x14ac:dyDescent="0.3">
      <c r="A112" s="1"/>
      <c r="B112" s="17"/>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1:46" x14ac:dyDescent="0.3">
      <c r="A113" s="1"/>
      <c r="B113" s="17" t="s">
        <v>203</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1:46" x14ac:dyDescent="0.3">
      <c r="A114" s="1"/>
      <c r="B114" s="17" t="s">
        <v>204</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1:46" x14ac:dyDescent="0.3">
      <c r="A115" s="1"/>
      <c r="B115" s="17" t="s">
        <v>205</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1:46" x14ac:dyDescent="0.3">
      <c r="A116" s="1"/>
      <c r="B116" s="17"/>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1:4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1:46" x14ac:dyDescent="0.3">
      <c r="A118" s="1"/>
      <c r="B118" s="1"/>
      <c r="C118" s="1" t="s">
        <v>206</v>
      </c>
      <c r="D118" s="1" t="s">
        <v>207</v>
      </c>
      <c r="E118" s="1"/>
      <c r="F118" s="1"/>
      <c r="G118" s="1"/>
      <c r="H118" s="1">
        <v>284.2</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1:46" x14ac:dyDescent="0.3">
      <c r="A119" s="1"/>
      <c r="B119" s="1"/>
      <c r="C119" s="1" t="s">
        <v>84</v>
      </c>
      <c r="D119" s="1" t="s">
        <v>208</v>
      </c>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1:46" x14ac:dyDescent="0.3">
      <c r="A120" s="1"/>
      <c r="B120" s="1"/>
      <c r="C120" s="1"/>
      <c r="D120" s="1" t="s">
        <v>209</v>
      </c>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1:46" x14ac:dyDescent="0.3">
      <c r="A121" s="1"/>
      <c r="B121" s="1"/>
      <c r="C121" s="1"/>
      <c r="D121" s="1" t="s">
        <v>210</v>
      </c>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1:46" x14ac:dyDescent="0.3">
      <c r="A122" s="1"/>
      <c r="B122" s="1"/>
      <c r="C122" s="1"/>
      <c r="D122" s="1" t="s">
        <v>211</v>
      </c>
      <c r="E122" s="1"/>
      <c r="F122" s="1"/>
      <c r="G122" s="1"/>
      <c r="H122" s="1">
        <v>290</v>
      </c>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1:46" x14ac:dyDescent="0.3">
      <c r="A123" s="1" t="s">
        <v>212</v>
      </c>
      <c r="B123" s="1"/>
      <c r="C123" s="1"/>
      <c r="D123" s="1"/>
      <c r="E123" s="1"/>
      <c r="F123" s="1"/>
      <c r="G123" s="1"/>
      <c r="H123" s="1">
        <v>79800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1:46" x14ac:dyDescent="0.3">
      <c r="A124" s="1" t="s">
        <v>213</v>
      </c>
      <c r="B124" s="1"/>
      <c r="C124" s="1"/>
      <c r="D124" s="1"/>
      <c r="E124" s="1"/>
      <c r="F124" s="1"/>
      <c r="G124" s="1"/>
      <c r="H124" s="1">
        <v>28.25</v>
      </c>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1:4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1:46" x14ac:dyDescent="0.3">
      <c r="A126" s="1"/>
      <c r="B126" s="1" t="s">
        <v>214</v>
      </c>
      <c r="C126" s="1" t="s">
        <v>73</v>
      </c>
      <c r="D126" s="17" t="s">
        <v>215</v>
      </c>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1:46" x14ac:dyDescent="0.3">
      <c r="A127" s="1"/>
      <c r="B127" s="1"/>
      <c r="C127" s="1"/>
      <c r="D127" s="1" t="s">
        <v>216</v>
      </c>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1:46" x14ac:dyDescent="0.3">
      <c r="A128" s="1"/>
      <c r="B128" s="1"/>
      <c r="C128" s="1"/>
      <c r="D128" s="1">
        <v>-6.22</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1:4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1:4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1:46" x14ac:dyDescent="0.3">
      <c r="A131" s="1"/>
      <c r="B131" s="1" t="s">
        <v>185</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1:46" x14ac:dyDescent="0.3">
      <c r="A132" s="1"/>
      <c r="B132" s="1"/>
      <c r="C132" s="28" t="s">
        <v>169</v>
      </c>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1:46" x14ac:dyDescent="0.3">
      <c r="A133" s="1"/>
      <c r="B133" s="1"/>
      <c r="C133" s="28"/>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1:46" x14ac:dyDescent="0.3">
      <c r="A134" s="1"/>
      <c r="B134" s="1"/>
      <c r="C134" s="28" t="s">
        <v>170</v>
      </c>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1:46" x14ac:dyDescent="0.3">
      <c r="A135" s="1"/>
      <c r="B135" s="1"/>
      <c r="C135" s="28" t="s">
        <v>171</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1:46" x14ac:dyDescent="0.3">
      <c r="A136" s="1"/>
      <c r="B136" s="1"/>
      <c r="C136" s="28" t="s">
        <v>172</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1:46" x14ac:dyDescent="0.3">
      <c r="A137" s="1"/>
      <c r="B137" s="1"/>
      <c r="C137" s="28" t="s">
        <v>173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1:46" x14ac:dyDescent="0.3">
      <c r="A138" s="1"/>
      <c r="B138" s="1"/>
      <c r="C138" s="28"/>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1:46" x14ac:dyDescent="0.3">
      <c r="A139" s="1"/>
      <c r="B139" s="17" t="s">
        <v>217</v>
      </c>
      <c r="C139" s="28"/>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1:46" x14ac:dyDescent="0.3">
      <c r="A140" s="1"/>
      <c r="B140" s="1" t="s">
        <v>218</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1:46" x14ac:dyDescent="0.3">
      <c r="A141" s="1"/>
      <c r="B141" s="1" t="s">
        <v>219</v>
      </c>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1:46" x14ac:dyDescent="0.3">
      <c r="A142" s="1"/>
      <c r="B142" s="1" t="s">
        <v>220</v>
      </c>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46" x14ac:dyDescent="0.3">
      <c r="B143">
        <v>4.54</v>
      </c>
    </row>
    <row r="146" spans="1:84" x14ac:dyDescent="0.3">
      <c r="A146" s="2" t="s">
        <v>221</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row>
    <row r="147" spans="1:84" x14ac:dyDescent="0.3">
      <c r="A147" s="2" t="s">
        <v>223</v>
      </c>
      <c r="B147" s="2" t="s">
        <v>222</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row>
    <row r="148" spans="1:84"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row>
    <row r="149" spans="1:84"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row>
    <row r="150" spans="1:84" x14ac:dyDescent="0.3">
      <c r="A150" s="2"/>
      <c r="B150" s="2"/>
      <c r="C150" s="27" t="s">
        <v>244</v>
      </c>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row>
    <row r="151" spans="1:84" x14ac:dyDescent="0.3">
      <c r="A151" s="2"/>
      <c r="B151" s="2"/>
      <c r="C151" s="27" t="s">
        <v>190</v>
      </c>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row>
    <row r="152" spans="1:84" x14ac:dyDescent="0.3">
      <c r="A152" s="2"/>
      <c r="B152" s="2"/>
      <c r="C152" s="2"/>
      <c r="D152" s="2"/>
      <c r="E152" s="21" t="s">
        <v>158</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row>
    <row r="153" spans="1:84" x14ac:dyDescent="0.3">
      <c r="A153" s="2"/>
      <c r="B153" s="2"/>
      <c r="C153" s="21" t="s">
        <v>159</v>
      </c>
      <c r="D153" s="2"/>
      <c r="E153" s="21" t="s">
        <v>160</v>
      </c>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row>
    <row r="154" spans="1:84" x14ac:dyDescent="0.3">
      <c r="A154" s="2"/>
      <c r="B154" s="2"/>
      <c r="C154" s="2"/>
      <c r="D154" s="2"/>
      <c r="E154" s="21" t="s">
        <v>161</v>
      </c>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row>
    <row r="155" spans="1:84"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row>
    <row r="156" spans="1:84" x14ac:dyDescent="0.3">
      <c r="A156" s="2"/>
      <c r="B156" s="2"/>
      <c r="C156" s="2"/>
      <c r="D156" s="21" t="s">
        <v>3</v>
      </c>
      <c r="E156" s="2"/>
      <c r="F156" s="2"/>
      <c r="G156" s="2" t="s">
        <v>224</v>
      </c>
      <c r="H156" s="2">
        <v>18.12</v>
      </c>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row>
    <row r="157" spans="1:84" x14ac:dyDescent="0.3">
      <c r="A157" s="2"/>
      <c r="B157" s="2"/>
      <c r="C157" s="2"/>
      <c r="D157" s="21" t="s">
        <v>164</v>
      </c>
      <c r="E157" s="2"/>
      <c r="F157" s="2"/>
      <c r="G157" s="2"/>
      <c r="H157" s="2">
        <v>32.453000000000003</v>
      </c>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row>
    <row r="158" spans="1:84" x14ac:dyDescent="0.3">
      <c r="A158" s="2"/>
      <c r="B158" s="2"/>
      <c r="C158" s="2"/>
      <c r="D158" s="21" t="s">
        <v>50</v>
      </c>
      <c r="E158" s="2"/>
      <c r="F158" s="2"/>
      <c r="G158" s="2"/>
      <c r="H158" s="2">
        <v>21.164000000000001</v>
      </c>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row>
    <row r="159" spans="1:84" x14ac:dyDescent="0.3">
      <c r="A159" s="2"/>
      <c r="B159" s="2"/>
      <c r="C159" s="2"/>
      <c r="D159" s="21" t="s">
        <v>165</v>
      </c>
      <c r="E159" s="2"/>
      <c r="F159" s="2"/>
      <c r="G159" s="2"/>
      <c r="H159" s="2">
        <v>21.164000000000001</v>
      </c>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row>
    <row r="160" spans="1:84" x14ac:dyDescent="0.3">
      <c r="A160" s="2"/>
      <c r="B160" s="2"/>
      <c r="C160" s="2"/>
      <c r="D160" s="21" t="s">
        <v>166</v>
      </c>
      <c r="E160" s="2"/>
      <c r="F160" s="2"/>
      <c r="G160" s="2"/>
      <c r="H160" s="2">
        <v>21.164000000000001</v>
      </c>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row>
    <row r="161" spans="1:84" x14ac:dyDescent="0.3">
      <c r="A161" s="2"/>
      <c r="B161" s="2"/>
      <c r="C161" s="2"/>
      <c r="D161" s="21"/>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row>
    <row r="162" spans="1:84" x14ac:dyDescent="0.3">
      <c r="A162" s="2"/>
      <c r="B162" s="2"/>
      <c r="C162" s="2"/>
      <c r="D162" s="21" t="s">
        <v>225</v>
      </c>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row>
    <row r="163" spans="1:84" x14ac:dyDescent="0.3">
      <c r="A163" s="2"/>
      <c r="B163" s="2"/>
      <c r="C163" s="2"/>
      <c r="D163" s="21" t="s">
        <v>226</v>
      </c>
      <c r="E163" s="2"/>
      <c r="F163" s="21" t="s">
        <v>227</v>
      </c>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row>
    <row r="164" spans="1:84" x14ac:dyDescent="0.3">
      <c r="A164" s="2"/>
      <c r="B164" s="2"/>
      <c r="C164" s="2"/>
      <c r="D164" s="2"/>
      <c r="E164" s="2"/>
      <c r="F164" s="2"/>
      <c r="G164" s="21">
        <f xml:space="preserve"> 0.4117</f>
        <v>0.41170000000000001</v>
      </c>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row>
    <row r="165" spans="1:84"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row>
    <row r="166" spans="1:84" x14ac:dyDescent="0.3">
      <c r="A166" s="2"/>
      <c r="B166" s="2"/>
      <c r="C166" s="21" t="s">
        <v>228</v>
      </c>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row>
    <row r="167" spans="1:84" x14ac:dyDescent="0.3">
      <c r="A167" s="2"/>
      <c r="B167" s="2"/>
      <c r="C167" s="2"/>
      <c r="D167" s="21" t="s">
        <v>229</v>
      </c>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row>
    <row r="168" spans="1:84" x14ac:dyDescent="0.3">
      <c r="A168" s="2"/>
      <c r="B168" s="2"/>
      <c r="C168" s="22" t="s">
        <v>73</v>
      </c>
      <c r="D168" s="22" t="s">
        <v>245</v>
      </c>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row>
    <row r="169" spans="1:84" x14ac:dyDescent="0.3">
      <c r="A169" s="2"/>
      <c r="B169" s="2"/>
      <c r="C169" s="2"/>
      <c r="D169" s="2"/>
      <c r="E169" s="22" t="s">
        <v>230</v>
      </c>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row>
    <row r="170" spans="1:84" x14ac:dyDescent="0.3">
      <c r="A170" s="2"/>
      <c r="B170" s="2"/>
      <c r="C170" s="2"/>
      <c r="D170" s="2"/>
      <c r="E170" s="2"/>
      <c r="F170" s="22" t="s">
        <v>231</v>
      </c>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row>
    <row r="171" spans="1:84" x14ac:dyDescent="0.3">
      <c r="A171" s="2"/>
      <c r="B171" s="2"/>
      <c r="C171" s="2"/>
      <c r="D171" s="2"/>
      <c r="E171" s="2"/>
      <c r="F171" s="22" t="s">
        <v>232</v>
      </c>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row>
    <row r="172" spans="1:84" x14ac:dyDescent="0.3">
      <c r="A172" s="2"/>
      <c r="B172" s="2"/>
      <c r="C172" s="22" t="s">
        <v>233</v>
      </c>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row>
    <row r="173" spans="1:84" x14ac:dyDescent="0.3">
      <c r="A173" s="2"/>
      <c r="B173" s="2"/>
      <c r="C173" s="2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row>
    <row r="174" spans="1:84" x14ac:dyDescent="0.3">
      <c r="A174" s="2"/>
      <c r="B174" s="2"/>
      <c r="C174" s="2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row>
    <row r="175" spans="1:84" x14ac:dyDescent="0.3">
      <c r="A175" s="2"/>
      <c r="B175" s="2"/>
      <c r="C175" s="29" t="s">
        <v>246</v>
      </c>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row>
    <row r="176" spans="1:84" x14ac:dyDescent="0.3">
      <c r="A176" s="2"/>
      <c r="B176" s="2"/>
      <c r="C176" s="29" t="s">
        <v>247</v>
      </c>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row>
    <row r="177" spans="1:84" x14ac:dyDescent="0.3">
      <c r="A177" s="2"/>
      <c r="B177" s="2"/>
      <c r="C177" s="27" t="s">
        <v>248</v>
      </c>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row>
    <row r="178" spans="1:84" x14ac:dyDescent="0.3">
      <c r="A178" s="2"/>
      <c r="B178" s="2"/>
      <c r="C178" s="2"/>
      <c r="D178" s="2"/>
      <c r="E178" s="2"/>
      <c r="F178" s="2"/>
      <c r="G178" s="21" t="s">
        <v>234</v>
      </c>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row>
    <row r="179" spans="1:84" x14ac:dyDescent="0.3">
      <c r="A179" s="2"/>
      <c r="B179" s="2"/>
      <c r="C179" s="2"/>
      <c r="D179" s="2"/>
      <c r="E179" s="2"/>
      <c r="F179" s="2"/>
      <c r="G179" s="21" t="s">
        <v>235</v>
      </c>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row>
    <row r="180" spans="1:84" x14ac:dyDescent="0.3">
      <c r="A180" s="2"/>
      <c r="B180" s="2"/>
      <c r="C180" s="2"/>
      <c r="D180" s="2"/>
      <c r="E180" s="2"/>
      <c r="F180" s="2"/>
      <c r="G180" s="21" t="s">
        <v>236</v>
      </c>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row>
    <row r="181" spans="1:84" x14ac:dyDescent="0.3">
      <c r="A181" s="2"/>
      <c r="B181" s="2"/>
      <c r="C181" s="2"/>
      <c r="D181" s="2"/>
      <c r="E181" s="2"/>
      <c r="F181" s="2"/>
      <c r="G181" s="21" t="s">
        <v>237</v>
      </c>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row>
    <row r="182" spans="1:84" x14ac:dyDescent="0.3">
      <c r="A182" s="2"/>
      <c r="B182" s="2"/>
      <c r="C182" s="21"/>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row>
    <row r="183" spans="1:84" x14ac:dyDescent="0.3">
      <c r="A183" s="2"/>
      <c r="B183" s="2"/>
      <c r="C183" s="2"/>
      <c r="D183" s="2"/>
      <c r="E183" s="2"/>
      <c r="F183" s="21" t="s">
        <v>238</v>
      </c>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row>
    <row r="184" spans="1:84" x14ac:dyDescent="0.3">
      <c r="A184" s="2"/>
      <c r="B184" s="2"/>
      <c r="C184" s="2"/>
      <c r="D184" s="21" t="s">
        <v>239</v>
      </c>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row>
    <row r="185" spans="1:84" x14ac:dyDescent="0.3">
      <c r="A185" s="2"/>
      <c r="B185" s="2"/>
      <c r="C185" s="2"/>
      <c r="D185" s="2"/>
      <c r="E185" s="21" t="s">
        <v>240</v>
      </c>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row>
    <row r="186" spans="1:84" x14ac:dyDescent="0.3">
      <c r="A186" s="2"/>
      <c r="B186" s="2"/>
      <c r="C186" s="2"/>
      <c r="D186" s="2"/>
      <c r="E186" s="21" t="s">
        <v>241</v>
      </c>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row>
    <row r="187" spans="1:84" x14ac:dyDescent="0.3">
      <c r="A187" s="2"/>
      <c r="B187" s="2"/>
      <c r="C187" s="2"/>
      <c r="D187" s="2"/>
      <c r="E187" s="21" t="s">
        <v>242</v>
      </c>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row>
    <row r="188" spans="1:84" x14ac:dyDescent="0.3">
      <c r="A188" s="2"/>
      <c r="B188" s="2"/>
      <c r="C188" s="2"/>
      <c r="D188" s="2"/>
      <c r="E188" s="2" t="s">
        <v>243</v>
      </c>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row>
    <row r="189" spans="1:84"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row>
    <row r="190" spans="1:84"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1"/>
  <sheetViews>
    <sheetView topLeftCell="C176" zoomScale="70" zoomScaleNormal="70" workbookViewId="0">
      <selection activeCell="Y183" sqref="Y183"/>
    </sheetView>
  </sheetViews>
  <sheetFormatPr defaultRowHeight="14.4" x14ac:dyDescent="0.3"/>
  <cols>
    <col min="4" max="4" width="11.109375" bestFit="1" customWidth="1"/>
    <col min="5" max="5" width="17.33203125" customWidth="1"/>
    <col min="6" max="6" width="28.33203125" customWidth="1"/>
    <col min="8" max="8" width="23.33203125" customWidth="1"/>
    <col min="9" max="9" width="23.21875" customWidth="1"/>
  </cols>
  <sheetData>
    <row r="1" spans="1:92" x14ac:dyDescent="0.3">
      <c r="C1" s="3"/>
      <c r="D1" s="3"/>
      <c r="E1" s="3"/>
      <c r="F1" s="3"/>
      <c r="G1" s="3"/>
      <c r="H1" s="3"/>
      <c r="I1" s="3"/>
      <c r="J1" s="3"/>
      <c r="K1" s="3"/>
      <c r="L1" s="3"/>
      <c r="M1" s="3"/>
      <c r="N1" s="3"/>
    </row>
    <row r="2" spans="1:92" x14ac:dyDescent="0.3">
      <c r="C2" s="3"/>
      <c r="D2" s="3"/>
      <c r="E2" s="9"/>
      <c r="F2" s="9"/>
      <c r="G2" s="9"/>
      <c r="H2" s="9" t="s">
        <v>249</v>
      </c>
      <c r="I2" s="9"/>
      <c r="J2" s="9"/>
      <c r="K2" s="9"/>
      <c r="L2" s="3"/>
      <c r="M2" s="3"/>
      <c r="N2" s="3"/>
    </row>
    <row r="3" spans="1:92" x14ac:dyDescent="0.3">
      <c r="C3" s="3"/>
      <c r="D3" s="3"/>
      <c r="E3" s="3"/>
      <c r="F3" s="3"/>
      <c r="G3" s="3"/>
      <c r="H3" s="3"/>
      <c r="I3" s="3"/>
      <c r="J3" s="3"/>
      <c r="K3" s="3"/>
      <c r="L3" s="3"/>
      <c r="M3" s="3"/>
      <c r="N3" s="3"/>
    </row>
    <row r="4" spans="1:92" x14ac:dyDescent="0.3">
      <c r="A4" s="31" t="s">
        <v>250</v>
      </c>
    </row>
    <row r="5" spans="1:92" x14ac:dyDescent="0.3">
      <c r="A5" s="30"/>
      <c r="B5" s="7"/>
      <c r="C5" s="7" t="s">
        <v>251</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row>
    <row r="8" spans="1:92" x14ac:dyDescent="0.3">
      <c r="C8" t="s">
        <v>252</v>
      </c>
    </row>
    <row r="11" spans="1:92" x14ac:dyDescent="0.3">
      <c r="C11" t="s">
        <v>26</v>
      </c>
    </row>
    <row r="12" spans="1:92" x14ac:dyDescent="0.3">
      <c r="C12">
        <v>45</v>
      </c>
    </row>
    <row r="13" spans="1:92" x14ac:dyDescent="0.3">
      <c r="C13">
        <v>67</v>
      </c>
    </row>
    <row r="14" spans="1:92" x14ac:dyDescent="0.3">
      <c r="C14">
        <v>34</v>
      </c>
    </row>
    <row r="15" spans="1:92" ht="15" thickBot="1" x14ac:dyDescent="0.35">
      <c r="C15">
        <v>46</v>
      </c>
    </row>
    <row r="16" spans="1:92" x14ac:dyDescent="0.3">
      <c r="C16">
        <v>45</v>
      </c>
      <c r="E16" s="34" t="s">
        <v>26</v>
      </c>
      <c r="F16" s="34"/>
    </row>
    <row r="17" spans="3:6" x14ac:dyDescent="0.3">
      <c r="C17">
        <v>34</v>
      </c>
      <c r="E17" s="32"/>
      <c r="F17" s="32"/>
    </row>
    <row r="18" spans="3:6" x14ac:dyDescent="0.3">
      <c r="C18">
        <v>88</v>
      </c>
      <c r="E18" s="32" t="s">
        <v>253</v>
      </c>
      <c r="F18" s="32">
        <v>50.4</v>
      </c>
    </row>
    <row r="19" spans="3:6" x14ac:dyDescent="0.3">
      <c r="C19">
        <v>88</v>
      </c>
      <c r="E19" s="32" t="s">
        <v>254</v>
      </c>
      <c r="F19" s="32">
        <v>3.9563160863093221</v>
      </c>
    </row>
    <row r="20" spans="3:6" x14ac:dyDescent="0.3">
      <c r="C20">
        <v>55</v>
      </c>
      <c r="E20" s="32" t="s">
        <v>255</v>
      </c>
      <c r="F20" s="32">
        <v>45</v>
      </c>
    </row>
    <row r="21" spans="3:6" x14ac:dyDescent="0.3">
      <c r="C21">
        <v>55</v>
      </c>
      <c r="E21" s="32" t="s">
        <v>256</v>
      </c>
      <c r="F21" s="32">
        <v>33</v>
      </c>
    </row>
    <row r="22" spans="3:6" x14ac:dyDescent="0.3">
      <c r="C22">
        <v>33</v>
      </c>
      <c r="E22" s="32" t="s">
        <v>257</v>
      </c>
      <c r="F22" s="32">
        <v>23.405881613766375</v>
      </c>
    </row>
    <row r="23" spans="3:6" x14ac:dyDescent="0.3">
      <c r="C23">
        <v>56</v>
      </c>
      <c r="E23" s="32" t="s">
        <v>258</v>
      </c>
      <c r="F23" s="32">
        <v>547.83529411764687</v>
      </c>
    </row>
    <row r="24" spans="3:6" x14ac:dyDescent="0.3">
      <c r="C24">
        <v>22</v>
      </c>
      <c r="E24" s="32" t="s">
        <v>259</v>
      </c>
      <c r="F24" s="32">
        <v>-0.62528098733781601</v>
      </c>
    </row>
    <row r="25" spans="3:6" x14ac:dyDescent="0.3">
      <c r="C25">
        <v>44</v>
      </c>
      <c r="E25" s="32" t="s">
        <v>260</v>
      </c>
      <c r="F25" s="32">
        <v>0.59696668925005103</v>
      </c>
    </row>
    <row r="26" spans="3:6" x14ac:dyDescent="0.3">
      <c r="C26">
        <v>55</v>
      </c>
      <c r="E26" s="32" t="s">
        <v>261</v>
      </c>
      <c r="F26" s="32">
        <v>78</v>
      </c>
    </row>
    <row r="27" spans="3:6" x14ac:dyDescent="0.3">
      <c r="C27">
        <v>77</v>
      </c>
      <c r="E27" s="32" t="s">
        <v>262</v>
      </c>
      <c r="F27" s="32">
        <v>21</v>
      </c>
    </row>
    <row r="28" spans="3:6" x14ac:dyDescent="0.3">
      <c r="C28">
        <v>88</v>
      </c>
      <c r="E28" s="32" t="s">
        <v>263</v>
      </c>
      <c r="F28" s="32">
        <v>99</v>
      </c>
    </row>
    <row r="29" spans="3:6" x14ac:dyDescent="0.3">
      <c r="C29">
        <v>99</v>
      </c>
      <c r="E29" s="32" t="s">
        <v>264</v>
      </c>
      <c r="F29" s="32">
        <v>1764</v>
      </c>
    </row>
    <row r="30" spans="3:6" x14ac:dyDescent="0.3">
      <c r="C30">
        <v>22</v>
      </c>
      <c r="E30" s="32" t="s">
        <v>265</v>
      </c>
      <c r="F30" s="32">
        <v>35</v>
      </c>
    </row>
    <row r="31" spans="3:6" x14ac:dyDescent="0.3">
      <c r="C31">
        <v>34</v>
      </c>
      <c r="E31" s="32" t="s">
        <v>266</v>
      </c>
      <c r="F31" s="32">
        <v>99</v>
      </c>
    </row>
    <row r="32" spans="3:6" ht="15" thickBot="1" x14ac:dyDescent="0.35">
      <c r="C32">
        <v>24</v>
      </c>
      <c r="E32" s="33" t="s">
        <v>267</v>
      </c>
      <c r="F32" s="33">
        <v>21</v>
      </c>
    </row>
    <row r="33" spans="2:6" x14ac:dyDescent="0.3">
      <c r="C33">
        <v>45</v>
      </c>
    </row>
    <row r="34" spans="2:6" x14ac:dyDescent="0.3">
      <c r="C34">
        <v>67</v>
      </c>
      <c r="E34" t="s">
        <v>272</v>
      </c>
    </row>
    <row r="35" spans="2:6" x14ac:dyDescent="0.3">
      <c r="C35">
        <v>53</v>
      </c>
      <c r="E35" t="s">
        <v>268</v>
      </c>
      <c r="F35">
        <f>_xlfn.QUARTILE.INC(C12:C46,1)</f>
        <v>33</v>
      </c>
    </row>
    <row r="36" spans="2:6" x14ac:dyDescent="0.3">
      <c r="C36">
        <v>67</v>
      </c>
      <c r="E36" t="s">
        <v>269</v>
      </c>
      <c r="F36">
        <f>_xlfn.QUARTILE.INC(C13:C47,2)</f>
        <v>45.5</v>
      </c>
    </row>
    <row r="37" spans="2:6" x14ac:dyDescent="0.3">
      <c r="C37">
        <v>23</v>
      </c>
      <c r="E37" t="s">
        <v>270</v>
      </c>
      <c r="F37">
        <f>_xlfn.QUARTILE.INC(C12:C46,3)</f>
        <v>66.5</v>
      </c>
    </row>
    <row r="38" spans="2:6" x14ac:dyDescent="0.3">
      <c r="C38">
        <v>66</v>
      </c>
      <c r="E38" t="s">
        <v>271</v>
      </c>
      <c r="F38">
        <f>_xlfn.QUARTILE.INC(C12:C46,)</f>
        <v>21</v>
      </c>
    </row>
    <row r="39" spans="2:6" x14ac:dyDescent="0.3">
      <c r="C39">
        <v>99</v>
      </c>
    </row>
    <row r="40" spans="2:6" x14ac:dyDescent="0.3">
      <c r="C40">
        <v>23</v>
      </c>
    </row>
    <row r="41" spans="2:6" x14ac:dyDescent="0.3">
      <c r="C41">
        <v>21</v>
      </c>
    </row>
    <row r="42" spans="2:6" x14ac:dyDescent="0.3">
      <c r="C42">
        <v>66</v>
      </c>
    </row>
    <row r="43" spans="2:6" x14ac:dyDescent="0.3">
      <c r="C43">
        <v>33</v>
      </c>
    </row>
    <row r="44" spans="2:6" x14ac:dyDescent="0.3">
      <c r="C44">
        <v>33</v>
      </c>
    </row>
    <row r="45" spans="2:6" x14ac:dyDescent="0.3">
      <c r="C45">
        <v>33</v>
      </c>
    </row>
    <row r="46" spans="2:6" x14ac:dyDescent="0.3">
      <c r="C46">
        <v>24</v>
      </c>
    </row>
    <row r="48" spans="2:6" x14ac:dyDescent="0.3">
      <c r="B48" t="s">
        <v>273</v>
      </c>
    </row>
    <row r="49" spans="1:97" x14ac:dyDescent="0.3">
      <c r="B49" t="s">
        <v>101</v>
      </c>
      <c r="C49">
        <f>_xlfn.PERCENTILE.INC(C12:C46,0.25)</f>
        <v>33</v>
      </c>
      <c r="E49" t="s">
        <v>276</v>
      </c>
      <c r="F49" s="4" t="s">
        <v>277</v>
      </c>
      <c r="G49" s="4"/>
      <c r="H49" s="4"/>
      <c r="I49" s="4"/>
    </row>
    <row r="50" spans="1:97" x14ac:dyDescent="0.3">
      <c r="B50" t="s">
        <v>274</v>
      </c>
      <c r="C50">
        <f>_xlfn.PERCENTILE.INC(C12:C46,0.1)</f>
        <v>23</v>
      </c>
    </row>
    <row r="51" spans="1:97" x14ac:dyDescent="0.3">
      <c r="B51" t="s">
        <v>103</v>
      </c>
      <c r="C51">
        <f>_xlfn.PERCENTILE.INC(C12:C46,0.75)</f>
        <v>66.5</v>
      </c>
    </row>
    <row r="52" spans="1:97" x14ac:dyDescent="0.3">
      <c r="B52" t="s">
        <v>275</v>
      </c>
      <c r="C52">
        <f>_xlfn.PERCENTILE.INC(C12:C46,0.9)</f>
        <v>88</v>
      </c>
    </row>
    <row r="54" spans="1:97" x14ac:dyDescent="0.3">
      <c r="A54" s="4"/>
      <c r="B54" s="4"/>
      <c r="C54" s="4"/>
      <c r="D54" s="4"/>
      <c r="E54" s="4"/>
      <c r="F54" s="4"/>
      <c r="G54" s="4"/>
      <c r="H54" s="4"/>
      <c r="I54" s="4"/>
      <c r="J54" s="4"/>
      <c r="K54" s="4"/>
      <c r="L54" s="4"/>
      <c r="M54" s="4"/>
      <c r="N54" s="4"/>
      <c r="O54" s="4"/>
      <c r="P54" s="4"/>
      <c r="Q54" s="4"/>
      <c r="R54" s="4"/>
      <c r="S54" s="4"/>
    </row>
    <row r="56" spans="1:97" x14ac:dyDescent="0.3">
      <c r="A56" s="4" t="s">
        <v>278</v>
      </c>
      <c r="B56" s="4"/>
    </row>
    <row r="58" spans="1:97" x14ac:dyDescent="0.3">
      <c r="B58" s="2" t="s">
        <v>279</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row>
    <row r="59" spans="1:97" x14ac:dyDescent="0.3">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row>
    <row r="61" spans="1:97" x14ac:dyDescent="0.3">
      <c r="C61" t="s">
        <v>280</v>
      </c>
    </row>
    <row r="62" spans="1:97" x14ac:dyDescent="0.3">
      <c r="C62">
        <v>55</v>
      </c>
    </row>
    <row r="63" spans="1:97" x14ac:dyDescent="0.3">
      <c r="C63">
        <v>67</v>
      </c>
    </row>
    <row r="64" spans="1:97" x14ac:dyDescent="0.3">
      <c r="C64">
        <v>45</v>
      </c>
    </row>
    <row r="65" spans="3:6" x14ac:dyDescent="0.3">
      <c r="C65">
        <v>353</v>
      </c>
    </row>
    <row r="66" spans="3:6" x14ac:dyDescent="0.3">
      <c r="C66">
        <v>55</v>
      </c>
    </row>
    <row r="67" spans="3:6" x14ac:dyDescent="0.3">
      <c r="C67">
        <v>234</v>
      </c>
    </row>
    <row r="68" spans="3:6" x14ac:dyDescent="0.3">
      <c r="C68">
        <v>234</v>
      </c>
    </row>
    <row r="69" spans="3:6" x14ac:dyDescent="0.3">
      <c r="C69">
        <v>234</v>
      </c>
    </row>
    <row r="70" spans="3:6" x14ac:dyDescent="0.3">
      <c r="C70">
        <v>345</v>
      </c>
    </row>
    <row r="71" spans="3:6" x14ac:dyDescent="0.3">
      <c r="C71">
        <v>87</v>
      </c>
    </row>
    <row r="72" spans="3:6" x14ac:dyDescent="0.3">
      <c r="C72">
        <v>87</v>
      </c>
    </row>
    <row r="73" spans="3:6" x14ac:dyDescent="0.3">
      <c r="C73">
        <v>122</v>
      </c>
    </row>
    <row r="74" spans="3:6" x14ac:dyDescent="0.3">
      <c r="C74">
        <v>456</v>
      </c>
    </row>
    <row r="75" spans="3:6" x14ac:dyDescent="0.3">
      <c r="C75">
        <v>466</v>
      </c>
    </row>
    <row r="76" spans="3:6" x14ac:dyDescent="0.3">
      <c r="C76">
        <v>789</v>
      </c>
    </row>
    <row r="77" spans="3:6" ht="15" thickBot="1" x14ac:dyDescent="0.35">
      <c r="C77">
        <v>678</v>
      </c>
    </row>
    <row r="78" spans="3:6" x14ac:dyDescent="0.3">
      <c r="C78">
        <v>456</v>
      </c>
      <c r="E78" s="34" t="s">
        <v>280</v>
      </c>
      <c r="F78" s="34"/>
    </row>
    <row r="79" spans="3:6" x14ac:dyDescent="0.3">
      <c r="C79">
        <v>543</v>
      </c>
      <c r="E79" s="32"/>
      <c r="F79" s="32"/>
    </row>
    <row r="80" spans="3:6" x14ac:dyDescent="0.3">
      <c r="C80">
        <v>676</v>
      </c>
      <c r="E80" s="32" t="s">
        <v>253</v>
      </c>
      <c r="F80" s="32">
        <v>398.80851063829789</v>
      </c>
    </row>
    <row r="81" spans="3:7" x14ac:dyDescent="0.3">
      <c r="C81">
        <v>678</v>
      </c>
      <c r="E81" s="32" t="s">
        <v>254</v>
      </c>
      <c r="F81" s="32">
        <v>32.56542036302907</v>
      </c>
    </row>
    <row r="82" spans="3:7" x14ac:dyDescent="0.3">
      <c r="C82">
        <v>543</v>
      </c>
      <c r="E82" s="32" t="s">
        <v>255</v>
      </c>
      <c r="F82" s="32">
        <v>346</v>
      </c>
    </row>
    <row r="83" spans="3:7" x14ac:dyDescent="0.3">
      <c r="C83">
        <v>356</v>
      </c>
      <c r="E83" s="32" t="s">
        <v>256</v>
      </c>
      <c r="F83" s="32">
        <v>345</v>
      </c>
    </row>
    <row r="84" spans="3:7" x14ac:dyDescent="0.3">
      <c r="C84">
        <v>334</v>
      </c>
      <c r="E84" s="32" t="s">
        <v>257</v>
      </c>
      <c r="F84" s="32">
        <v>223.25727392579407</v>
      </c>
    </row>
    <row r="85" spans="3:7" x14ac:dyDescent="0.3">
      <c r="C85">
        <v>890</v>
      </c>
      <c r="E85" s="32" t="s">
        <v>258</v>
      </c>
      <c r="F85" s="32">
        <v>49843.810360777054</v>
      </c>
    </row>
    <row r="86" spans="3:7" x14ac:dyDescent="0.3">
      <c r="C86">
        <v>567</v>
      </c>
      <c r="E86" s="32" t="s">
        <v>259</v>
      </c>
      <c r="F86" s="32">
        <v>-0.32583735753541365</v>
      </c>
    </row>
    <row r="87" spans="3:7" x14ac:dyDescent="0.3">
      <c r="C87">
        <v>356</v>
      </c>
      <c r="E87" s="32" t="s">
        <v>260</v>
      </c>
      <c r="F87" s="32">
        <v>0.40267289362111419</v>
      </c>
    </row>
    <row r="88" spans="3:7" x14ac:dyDescent="0.3">
      <c r="C88">
        <v>456</v>
      </c>
      <c r="E88" s="32" t="s">
        <v>261</v>
      </c>
      <c r="F88" s="32">
        <v>852</v>
      </c>
    </row>
    <row r="89" spans="3:7" x14ac:dyDescent="0.3">
      <c r="C89">
        <v>234</v>
      </c>
      <c r="E89" s="32" t="s">
        <v>262</v>
      </c>
      <c r="F89" s="32">
        <v>45</v>
      </c>
    </row>
    <row r="90" spans="3:7" x14ac:dyDescent="0.3">
      <c r="C90">
        <v>897</v>
      </c>
      <c r="E90" s="32" t="s">
        <v>263</v>
      </c>
      <c r="F90" s="32">
        <v>897</v>
      </c>
    </row>
    <row r="91" spans="3:7" x14ac:dyDescent="0.3">
      <c r="C91">
        <v>345</v>
      </c>
      <c r="E91" s="32" t="s">
        <v>264</v>
      </c>
      <c r="F91" s="32">
        <v>18744</v>
      </c>
    </row>
    <row r="92" spans="3:7" x14ac:dyDescent="0.3">
      <c r="C92">
        <v>345</v>
      </c>
      <c r="E92" s="32" t="s">
        <v>265</v>
      </c>
      <c r="F92" s="32">
        <v>47</v>
      </c>
    </row>
    <row r="93" spans="3:7" x14ac:dyDescent="0.3">
      <c r="C93">
        <v>346</v>
      </c>
      <c r="E93" s="32" t="s">
        <v>266</v>
      </c>
      <c r="F93" s="32">
        <v>897</v>
      </c>
    </row>
    <row r="94" spans="3:7" ht="15" thickBot="1" x14ac:dyDescent="0.35">
      <c r="C94">
        <v>346</v>
      </c>
      <c r="E94" s="33" t="s">
        <v>267</v>
      </c>
      <c r="F94" s="33">
        <v>45</v>
      </c>
    </row>
    <row r="95" spans="3:7" x14ac:dyDescent="0.3">
      <c r="C95">
        <v>790</v>
      </c>
    </row>
    <row r="96" spans="3:7" x14ac:dyDescent="0.3">
      <c r="C96">
        <v>676</v>
      </c>
      <c r="F96" t="s">
        <v>3</v>
      </c>
      <c r="G96" s="36">
        <v>398.80510600000002</v>
      </c>
    </row>
    <row r="97" spans="3:14" x14ac:dyDescent="0.3">
      <c r="C97">
        <v>566</v>
      </c>
      <c r="F97" t="s">
        <v>84</v>
      </c>
      <c r="G97" s="36">
        <v>346</v>
      </c>
    </row>
    <row r="98" spans="3:14" x14ac:dyDescent="0.3">
      <c r="C98">
        <v>345</v>
      </c>
      <c r="F98" t="s">
        <v>281</v>
      </c>
      <c r="G98" s="36">
        <v>223.2572739</v>
      </c>
    </row>
    <row r="99" spans="3:14" x14ac:dyDescent="0.3">
      <c r="C99">
        <v>456</v>
      </c>
      <c r="G99" s="36"/>
    </row>
    <row r="100" spans="3:14" x14ac:dyDescent="0.3">
      <c r="C100">
        <v>245</v>
      </c>
      <c r="E100" s="4" t="s">
        <v>282</v>
      </c>
      <c r="F100" s="4" t="s">
        <v>283</v>
      </c>
      <c r="G100" s="36"/>
      <c r="H100" s="4"/>
      <c r="I100" s="4"/>
      <c r="J100" s="4"/>
      <c r="K100" s="4"/>
      <c r="L100" s="4"/>
      <c r="M100" s="4"/>
      <c r="N100" s="4"/>
    </row>
    <row r="101" spans="3:14" x14ac:dyDescent="0.3">
      <c r="C101">
        <v>345</v>
      </c>
      <c r="G101" s="36"/>
    </row>
    <row r="102" spans="3:14" x14ac:dyDescent="0.3">
      <c r="C102">
        <v>355</v>
      </c>
      <c r="F102" t="s">
        <v>268</v>
      </c>
      <c r="G102" s="36">
        <f>_xlfn.QUARTILE.INC(C62:C108,1)</f>
        <v>239.5</v>
      </c>
    </row>
    <row r="103" spans="3:14" x14ac:dyDescent="0.3">
      <c r="C103">
        <v>345</v>
      </c>
      <c r="F103" t="s">
        <v>269</v>
      </c>
      <c r="G103" s="36">
        <f>_xlfn.QUARTILE.INC(C62:C108,2)</f>
        <v>346</v>
      </c>
      <c r="M103" t="s">
        <v>289</v>
      </c>
    </row>
    <row r="104" spans="3:14" x14ac:dyDescent="0.3">
      <c r="C104">
        <v>345</v>
      </c>
      <c r="F104" t="s">
        <v>270</v>
      </c>
      <c r="G104" s="36">
        <f>_xlfn.QUARTILE.INC(C62:C108,3)</f>
        <v>543</v>
      </c>
    </row>
    <row r="105" spans="3:14" x14ac:dyDescent="0.3">
      <c r="C105">
        <v>344</v>
      </c>
      <c r="F105" t="s">
        <v>284</v>
      </c>
      <c r="G105" s="36">
        <f>_xlfn.QUARTILE.INC(C62:C108,4)</f>
        <v>897</v>
      </c>
    </row>
    <row r="106" spans="3:14" x14ac:dyDescent="0.3">
      <c r="C106">
        <v>123</v>
      </c>
      <c r="G106" s="36"/>
    </row>
    <row r="107" spans="3:14" x14ac:dyDescent="0.3">
      <c r="C107">
        <v>678</v>
      </c>
      <c r="G107" s="36"/>
    </row>
    <row r="108" spans="3:14" x14ac:dyDescent="0.3">
      <c r="C108">
        <v>456</v>
      </c>
      <c r="E108" s="4" t="s">
        <v>285</v>
      </c>
      <c r="F108" s="4" t="s">
        <v>286</v>
      </c>
      <c r="G108" s="36"/>
      <c r="H108" s="4"/>
      <c r="I108" s="4"/>
      <c r="J108" s="4"/>
      <c r="K108" s="4"/>
      <c r="L108" s="4"/>
      <c r="M108" s="4"/>
      <c r="N108" s="4"/>
    </row>
    <row r="109" spans="3:14" x14ac:dyDescent="0.3">
      <c r="F109" t="s">
        <v>287</v>
      </c>
      <c r="G109" s="36">
        <f>_xlfn.PERCENTILE.INC(C62:C108,0.25)</f>
        <v>239.5</v>
      </c>
    </row>
    <row r="110" spans="3:14" x14ac:dyDescent="0.3">
      <c r="F110" t="s">
        <v>102</v>
      </c>
      <c r="G110" s="36">
        <f>_xlfn.PERCENTILE.INC(C62:C108,0.5)</f>
        <v>346</v>
      </c>
    </row>
    <row r="111" spans="3:14" x14ac:dyDescent="0.3">
      <c r="F111" t="s">
        <v>288</v>
      </c>
      <c r="G111" s="36">
        <f>_xlfn.PERCENTILE.INC(C62:C108,0.76)</f>
        <v>543</v>
      </c>
    </row>
    <row r="112" spans="3:14" x14ac:dyDescent="0.3">
      <c r="F112" t="s">
        <v>275</v>
      </c>
      <c r="G112" s="36">
        <f>_xlfn.PERCENTILE.INC(C62:C108,0.9)</f>
        <v>678</v>
      </c>
    </row>
    <row r="113" spans="1:24" x14ac:dyDescent="0.3">
      <c r="F113" t="s">
        <v>290</v>
      </c>
      <c r="G113" s="36">
        <f>_xlfn.PERCENTILE.INC(C62:C108,0.99)</f>
        <v>893.78</v>
      </c>
    </row>
    <row r="116" spans="1:24" x14ac:dyDescent="0.3">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row>
    <row r="118" spans="1:24" x14ac:dyDescent="0.3">
      <c r="B118" t="s">
        <v>291</v>
      </c>
      <c r="D118" t="s">
        <v>292</v>
      </c>
    </row>
    <row r="121" spans="1:24" x14ac:dyDescent="0.3">
      <c r="D121" t="s">
        <v>293</v>
      </c>
    </row>
    <row r="122" spans="1:24" x14ac:dyDescent="0.3">
      <c r="D122">
        <v>34</v>
      </c>
    </row>
    <row r="123" spans="1:24" x14ac:dyDescent="0.3">
      <c r="D123">
        <v>64</v>
      </c>
    </row>
    <row r="124" spans="1:24" x14ac:dyDescent="0.3">
      <c r="D124">
        <v>65</v>
      </c>
    </row>
    <row r="125" spans="1:24" x14ac:dyDescent="0.3">
      <c r="D125">
        <v>45</v>
      </c>
    </row>
    <row r="126" spans="1:24" ht="15" thickBot="1" x14ac:dyDescent="0.35">
      <c r="D126">
        <v>90</v>
      </c>
    </row>
    <row r="127" spans="1:24" x14ac:dyDescent="0.3">
      <c r="D127">
        <v>45</v>
      </c>
      <c r="E127" s="34" t="s">
        <v>293</v>
      </c>
      <c r="F127" s="34"/>
    </row>
    <row r="128" spans="1:24" x14ac:dyDescent="0.3">
      <c r="D128">
        <v>67</v>
      </c>
      <c r="E128" s="32"/>
      <c r="F128" s="32"/>
    </row>
    <row r="129" spans="4:9" x14ac:dyDescent="0.3">
      <c r="D129">
        <v>89</v>
      </c>
      <c r="E129" s="32" t="s">
        <v>253</v>
      </c>
      <c r="F129" s="32">
        <v>179.96296296296296</v>
      </c>
    </row>
    <row r="130" spans="4:9" x14ac:dyDescent="0.3">
      <c r="D130">
        <v>45</v>
      </c>
      <c r="E130" s="32" t="s">
        <v>254</v>
      </c>
      <c r="F130" s="32">
        <v>30.039619342339851</v>
      </c>
    </row>
    <row r="131" spans="4:9" x14ac:dyDescent="0.3">
      <c r="D131">
        <v>56</v>
      </c>
      <c r="E131" s="32" t="s">
        <v>255</v>
      </c>
      <c r="F131" s="32">
        <v>66.5</v>
      </c>
    </row>
    <row r="132" spans="4:9" x14ac:dyDescent="0.3">
      <c r="D132">
        <v>34</v>
      </c>
      <c r="E132" s="32" t="s">
        <v>256</v>
      </c>
      <c r="F132" s="32">
        <v>45</v>
      </c>
    </row>
    <row r="133" spans="4:9" x14ac:dyDescent="0.3">
      <c r="D133">
        <v>56</v>
      </c>
      <c r="E133" s="32" t="s">
        <v>257</v>
      </c>
      <c r="F133" s="32">
        <v>220.74521836851787</v>
      </c>
    </row>
    <row r="134" spans="4:9" x14ac:dyDescent="0.3">
      <c r="D134">
        <v>78</v>
      </c>
      <c r="E134" s="32" t="s">
        <v>258</v>
      </c>
      <c r="F134" s="32">
        <v>48728.451432564638</v>
      </c>
    </row>
    <row r="135" spans="4:9" x14ac:dyDescent="0.3">
      <c r="D135">
        <v>89</v>
      </c>
      <c r="E135" s="32" t="s">
        <v>259</v>
      </c>
      <c r="F135" s="32">
        <v>1.2767279731864369</v>
      </c>
    </row>
    <row r="136" spans="4:9" x14ac:dyDescent="0.3">
      <c r="D136">
        <v>65</v>
      </c>
      <c r="E136" s="32" t="s">
        <v>260</v>
      </c>
      <c r="F136" s="32">
        <v>1.5789953059112247</v>
      </c>
    </row>
    <row r="137" spans="4:9" x14ac:dyDescent="0.3">
      <c r="D137">
        <v>43</v>
      </c>
      <c r="E137" s="32" t="s">
        <v>261</v>
      </c>
      <c r="F137" s="32">
        <v>777</v>
      </c>
    </row>
    <row r="138" spans="4:9" x14ac:dyDescent="0.3">
      <c r="D138">
        <v>12</v>
      </c>
      <c r="E138" s="32" t="s">
        <v>262</v>
      </c>
      <c r="F138" s="32">
        <v>12</v>
      </c>
    </row>
    <row r="139" spans="4:9" x14ac:dyDescent="0.3">
      <c r="D139">
        <v>45</v>
      </c>
      <c r="E139" s="32" t="s">
        <v>263</v>
      </c>
      <c r="F139" s="32">
        <v>789</v>
      </c>
      <c r="H139" s="39" t="s">
        <v>253</v>
      </c>
      <c r="I139" s="37">
        <v>179.96296296296296</v>
      </c>
    </row>
    <row r="140" spans="4:9" x14ac:dyDescent="0.3">
      <c r="D140">
        <v>56</v>
      </c>
      <c r="E140" s="32" t="s">
        <v>264</v>
      </c>
      <c r="F140" s="32">
        <v>9718</v>
      </c>
      <c r="H140" s="39" t="s">
        <v>254</v>
      </c>
      <c r="I140" s="37">
        <v>30.0396193423399</v>
      </c>
    </row>
    <row r="141" spans="4:9" x14ac:dyDescent="0.3">
      <c r="D141">
        <v>78</v>
      </c>
      <c r="E141" s="32" t="s">
        <v>265</v>
      </c>
      <c r="F141" s="32">
        <v>54</v>
      </c>
      <c r="H141" s="39" t="s">
        <v>255</v>
      </c>
      <c r="I141" s="37">
        <v>66.5</v>
      </c>
    </row>
    <row r="142" spans="4:9" x14ac:dyDescent="0.3">
      <c r="D142">
        <v>76</v>
      </c>
      <c r="E142" s="32" t="s">
        <v>266</v>
      </c>
      <c r="F142" s="32">
        <v>789</v>
      </c>
      <c r="H142" s="39" t="s">
        <v>301</v>
      </c>
      <c r="I142" s="37">
        <v>54</v>
      </c>
    </row>
    <row r="143" spans="4:9" ht="15" thickBot="1" x14ac:dyDescent="0.35">
      <c r="D143">
        <v>43</v>
      </c>
      <c r="E143" s="33" t="s">
        <v>267</v>
      </c>
      <c r="F143" s="33">
        <v>12</v>
      </c>
      <c r="H143" s="39" t="s">
        <v>257</v>
      </c>
      <c r="I143" s="37">
        <v>220.74521836851787</v>
      </c>
    </row>
    <row r="144" spans="4:9" x14ac:dyDescent="0.3">
      <c r="D144">
        <v>89</v>
      </c>
      <c r="H144" s="38"/>
      <c r="I144" s="36"/>
    </row>
    <row r="145" spans="4:22" x14ac:dyDescent="0.3">
      <c r="D145">
        <v>99</v>
      </c>
      <c r="E145" t="s">
        <v>295</v>
      </c>
      <c r="F145" t="s">
        <v>294</v>
      </c>
      <c r="I145" s="36"/>
    </row>
    <row r="146" spans="4:22" x14ac:dyDescent="0.3">
      <c r="D146">
        <v>88</v>
      </c>
      <c r="F146" s="38" t="s">
        <v>296</v>
      </c>
      <c r="G146" s="36">
        <f>_xlfn.QUARTILE.INC(D122:D175,1)</f>
        <v>47</v>
      </c>
      <c r="H146">
        <f>_xlfn.PERCENTILE.INC(D122:D175,0.25)</f>
        <v>47</v>
      </c>
      <c r="I146" s="36"/>
    </row>
    <row r="147" spans="4:22" x14ac:dyDescent="0.3">
      <c r="D147">
        <v>77</v>
      </c>
      <c r="F147" s="38" t="s">
        <v>297</v>
      </c>
      <c r="G147" s="36">
        <f>_xlfn.QUARTILE.INC(D122:D175,2)</f>
        <v>66.5</v>
      </c>
      <c r="H147">
        <f>_xlfn.QUARTILE.INC(D122:D175,0.25)</f>
        <v>12</v>
      </c>
      <c r="I147" s="36"/>
    </row>
    <row r="148" spans="4:22" x14ac:dyDescent="0.3">
      <c r="D148">
        <v>66</v>
      </c>
      <c r="F148" s="38" t="s">
        <v>298</v>
      </c>
      <c r="G148" s="36">
        <f>_xlfn.QUARTILE.INC(D122:D175,3)</f>
        <v>283.5</v>
      </c>
      <c r="H148">
        <f>_xlfn.QUARTILE.INC(D122:D175,0.5)</f>
        <v>12</v>
      </c>
      <c r="I148" s="36"/>
    </row>
    <row r="149" spans="4:22" x14ac:dyDescent="0.3">
      <c r="D149">
        <v>67</v>
      </c>
      <c r="F149" s="38" t="s">
        <v>299</v>
      </c>
      <c r="G149" s="36">
        <f>_xlfn.QUARTILE.INC(D122:D175,4)</f>
        <v>789</v>
      </c>
      <c r="H149">
        <f>_xlfn.QUARTILE.INC(D122:D175,0.75)</f>
        <v>12</v>
      </c>
      <c r="I149" s="36"/>
    </row>
    <row r="150" spans="4:22" x14ac:dyDescent="0.3">
      <c r="D150">
        <v>45</v>
      </c>
      <c r="F150" s="38" t="s">
        <v>300</v>
      </c>
      <c r="G150" s="36">
        <f>_xlfn.QUARTILE.INC(D122:D175,0)</f>
        <v>12</v>
      </c>
      <c r="H150">
        <f>_xlfn.QUARTILE.INC(D122:D175,4)</f>
        <v>789</v>
      </c>
      <c r="I150" s="36"/>
    </row>
    <row r="151" spans="4:22" x14ac:dyDescent="0.3">
      <c r="D151">
        <v>54</v>
      </c>
      <c r="G151" s="36"/>
      <c r="I151" s="36"/>
    </row>
    <row r="152" spans="4:22" x14ac:dyDescent="0.3">
      <c r="D152">
        <v>53</v>
      </c>
      <c r="G152" s="36"/>
    </row>
    <row r="153" spans="4:22" x14ac:dyDescent="0.3">
      <c r="D153">
        <v>34</v>
      </c>
      <c r="G153" s="36"/>
    </row>
    <row r="154" spans="4:22" x14ac:dyDescent="0.3">
      <c r="D154">
        <v>67</v>
      </c>
      <c r="E154" t="s">
        <v>302</v>
      </c>
      <c r="F154" t="s">
        <v>303</v>
      </c>
      <c r="G154" s="36"/>
    </row>
    <row r="155" spans="4:22" x14ac:dyDescent="0.3">
      <c r="D155">
        <v>65</v>
      </c>
      <c r="F155" s="38" t="s">
        <v>304</v>
      </c>
      <c r="G155" s="36">
        <f>_xlfn.PERCENTILE.INC(D138:D175,0.3)</f>
        <v>56</v>
      </c>
    </row>
    <row r="156" spans="4:22" x14ac:dyDescent="0.3">
      <c r="D156">
        <v>64</v>
      </c>
      <c r="F156" s="38" t="s">
        <v>305</v>
      </c>
      <c r="G156" s="36">
        <f>_xlfn.PERCENTILE.INC(D104:D175,0.5)</f>
        <v>66.5</v>
      </c>
    </row>
    <row r="157" spans="4:22" x14ac:dyDescent="0.3">
      <c r="D157">
        <v>54</v>
      </c>
      <c r="F157" s="38" t="s">
        <v>306</v>
      </c>
      <c r="G157" s="36">
        <f>_xlfn.PERCENTILE.INC(D122:D175,0.25)</f>
        <v>47</v>
      </c>
    </row>
    <row r="158" spans="4:22" x14ac:dyDescent="0.3">
      <c r="D158">
        <v>45</v>
      </c>
    </row>
    <row r="159" spans="4:22" x14ac:dyDescent="0.3">
      <c r="D159">
        <v>56</v>
      </c>
      <c r="E159" s="36"/>
      <c r="F159" s="36"/>
      <c r="G159" s="36"/>
      <c r="H159" s="36"/>
      <c r="I159" s="36"/>
      <c r="J159" s="36"/>
      <c r="K159" s="36"/>
      <c r="L159" s="36"/>
      <c r="M159" s="36"/>
      <c r="N159" s="36"/>
      <c r="O159" s="36"/>
      <c r="P159" s="36"/>
      <c r="Q159" s="36"/>
      <c r="R159" s="36"/>
      <c r="S159" s="36"/>
      <c r="T159" s="36"/>
      <c r="U159" s="36"/>
      <c r="V159" s="36"/>
    </row>
    <row r="160" spans="4:22" x14ac:dyDescent="0.3">
      <c r="D160">
        <v>45</v>
      </c>
    </row>
    <row r="161" spans="2:29" x14ac:dyDescent="0.3">
      <c r="D161">
        <v>35</v>
      </c>
    </row>
    <row r="162" spans="2:29" x14ac:dyDescent="0.3">
      <c r="D162">
        <v>456</v>
      </c>
    </row>
    <row r="163" spans="2:29" x14ac:dyDescent="0.3">
      <c r="D163">
        <v>567</v>
      </c>
    </row>
    <row r="164" spans="2:29" x14ac:dyDescent="0.3">
      <c r="D164">
        <v>446</v>
      </c>
    </row>
    <row r="165" spans="2:29" x14ac:dyDescent="0.3">
      <c r="D165">
        <v>456</v>
      </c>
    </row>
    <row r="166" spans="2:29" x14ac:dyDescent="0.3">
      <c r="D166">
        <v>789</v>
      </c>
    </row>
    <row r="167" spans="2:29" x14ac:dyDescent="0.3">
      <c r="D167">
        <v>567</v>
      </c>
    </row>
    <row r="168" spans="2:29" x14ac:dyDescent="0.3">
      <c r="D168">
        <v>345</v>
      </c>
    </row>
    <row r="169" spans="2:29" x14ac:dyDescent="0.3">
      <c r="D169">
        <v>567</v>
      </c>
    </row>
    <row r="170" spans="2:29" x14ac:dyDescent="0.3">
      <c r="D170">
        <v>456</v>
      </c>
    </row>
    <row r="171" spans="2:29" x14ac:dyDescent="0.3">
      <c r="D171">
        <v>345</v>
      </c>
    </row>
    <row r="172" spans="2:29" x14ac:dyDescent="0.3">
      <c r="D172">
        <v>789</v>
      </c>
    </row>
    <row r="173" spans="2:29" x14ac:dyDescent="0.3">
      <c r="D173">
        <v>445</v>
      </c>
    </row>
    <row r="174" spans="2:29" x14ac:dyDescent="0.3">
      <c r="D174">
        <v>345</v>
      </c>
    </row>
    <row r="175" spans="2:29" x14ac:dyDescent="0.3">
      <c r="D175">
        <v>767</v>
      </c>
    </row>
    <row r="176" spans="2:29" x14ac:dyDescent="0.3">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spans="1:6" x14ac:dyDescent="0.3">
      <c r="A177" t="s">
        <v>308</v>
      </c>
      <c r="B177" t="s">
        <v>309</v>
      </c>
    </row>
    <row r="178" spans="1:6" x14ac:dyDescent="0.3">
      <c r="D178" t="s">
        <v>307</v>
      </c>
    </row>
    <row r="179" spans="1:6" x14ac:dyDescent="0.3">
      <c r="D179">
        <v>1.2</v>
      </c>
    </row>
    <row r="180" spans="1:6" x14ac:dyDescent="0.3">
      <c r="D180">
        <v>2.2999999999999998</v>
      </c>
      <c r="E180" s="41" t="s">
        <v>310</v>
      </c>
      <c r="F180" s="41"/>
    </row>
    <row r="181" spans="1:6" x14ac:dyDescent="0.3">
      <c r="D181">
        <v>34</v>
      </c>
      <c r="E181" s="42"/>
      <c r="F181" s="42"/>
    </row>
    <row r="182" spans="1:6" x14ac:dyDescent="0.3">
      <c r="D182">
        <v>67</v>
      </c>
      <c r="E182" s="42" t="s">
        <v>253</v>
      </c>
      <c r="F182" s="42">
        <v>118.03993103448278</v>
      </c>
    </row>
    <row r="183" spans="1:6" x14ac:dyDescent="0.3">
      <c r="D183">
        <v>7.78</v>
      </c>
      <c r="E183" s="42" t="s">
        <v>254</v>
      </c>
      <c r="F183" s="42">
        <v>79.251437624634036</v>
      </c>
    </row>
    <row r="184" spans="1:6" x14ac:dyDescent="0.3">
      <c r="D184">
        <v>5.6</v>
      </c>
      <c r="E184" s="42" t="s">
        <v>255</v>
      </c>
      <c r="F184" s="42">
        <v>45.25</v>
      </c>
    </row>
    <row r="185" spans="1:6" x14ac:dyDescent="0.3">
      <c r="D185">
        <v>4.54</v>
      </c>
      <c r="E185" s="42" t="s">
        <v>256</v>
      </c>
      <c r="F185" s="42">
        <v>5.6</v>
      </c>
    </row>
    <row r="186" spans="1:6" x14ac:dyDescent="0.3">
      <c r="D186">
        <v>5.6</v>
      </c>
      <c r="E186" s="42" t="s">
        <v>257</v>
      </c>
      <c r="F186" s="42">
        <v>426.78205281099451</v>
      </c>
    </row>
    <row r="187" spans="1:6" x14ac:dyDescent="0.3">
      <c r="D187">
        <v>4.5</v>
      </c>
      <c r="E187" s="42" t="s">
        <v>258</v>
      </c>
      <c r="F187" s="42">
        <v>182142.92060156653</v>
      </c>
    </row>
    <row r="188" spans="1:6" x14ac:dyDescent="0.3">
      <c r="D188">
        <v>45.67</v>
      </c>
      <c r="E188" s="42" t="s">
        <v>259</v>
      </c>
      <c r="F188" s="42">
        <v>28.763683479592498</v>
      </c>
    </row>
    <row r="189" spans="1:6" x14ac:dyDescent="0.3">
      <c r="D189">
        <v>78.87</v>
      </c>
      <c r="E189" s="42" t="s">
        <v>260</v>
      </c>
      <c r="F189" s="42">
        <v>5.3533289646298101</v>
      </c>
    </row>
    <row r="190" spans="1:6" x14ac:dyDescent="0.3">
      <c r="D190">
        <v>78.98</v>
      </c>
      <c r="E190" s="42" t="s">
        <v>261</v>
      </c>
      <c r="F190" s="42">
        <v>2331.8000000000002</v>
      </c>
    </row>
    <row r="191" spans="1:6" x14ac:dyDescent="0.3">
      <c r="D191">
        <v>67.78</v>
      </c>
      <c r="E191" s="42" t="s">
        <v>262</v>
      </c>
      <c r="F191" s="42">
        <v>1.2</v>
      </c>
    </row>
    <row r="192" spans="1:6" x14ac:dyDescent="0.3">
      <c r="D192">
        <v>56.56</v>
      </c>
      <c r="E192" s="42" t="s">
        <v>263</v>
      </c>
      <c r="F192" s="42">
        <v>2333</v>
      </c>
    </row>
    <row r="193" spans="4:7" x14ac:dyDescent="0.3">
      <c r="D193">
        <v>2333</v>
      </c>
      <c r="E193" s="42" t="s">
        <v>264</v>
      </c>
      <c r="F193" s="42">
        <v>3423.1580000000004</v>
      </c>
    </row>
    <row r="194" spans="4:7" x14ac:dyDescent="0.3">
      <c r="D194">
        <v>23.45</v>
      </c>
      <c r="E194" s="42" t="s">
        <v>265</v>
      </c>
      <c r="F194" s="42">
        <v>29</v>
      </c>
    </row>
    <row r="195" spans="4:7" x14ac:dyDescent="0.3">
      <c r="D195">
        <v>34.56</v>
      </c>
      <c r="E195" s="42" t="s">
        <v>266</v>
      </c>
      <c r="F195" s="42">
        <v>2333</v>
      </c>
    </row>
    <row r="196" spans="4:7" x14ac:dyDescent="0.3">
      <c r="D196">
        <v>45.67</v>
      </c>
      <c r="E196" s="42" t="s">
        <v>267</v>
      </c>
      <c r="F196" s="42">
        <v>1.2</v>
      </c>
    </row>
    <row r="197" spans="4:7" x14ac:dyDescent="0.3">
      <c r="D197">
        <v>34.78</v>
      </c>
    </row>
    <row r="198" spans="4:7" x14ac:dyDescent="0.3">
      <c r="D198">
        <v>34.57</v>
      </c>
    </row>
    <row r="199" spans="4:7" x14ac:dyDescent="0.3">
      <c r="D199">
        <v>35.89</v>
      </c>
    </row>
    <row r="200" spans="4:7" x14ac:dyDescent="0.3">
      <c r="D200">
        <v>12.57</v>
      </c>
    </row>
    <row r="201" spans="4:7" x14ac:dyDescent="0.3">
      <c r="D201">
        <v>45.78</v>
      </c>
    </row>
    <row r="202" spans="4:7" x14ac:dyDescent="0.3">
      <c r="D202">
        <v>67.89</v>
      </c>
      <c r="F202" t="s">
        <v>8</v>
      </c>
      <c r="G202">
        <v>118.03999</v>
      </c>
    </row>
    <row r="203" spans="4:7" x14ac:dyDescent="0.3">
      <c r="D203">
        <v>46.777999999999999</v>
      </c>
      <c r="F203" t="s">
        <v>11</v>
      </c>
      <c r="G203">
        <v>45.25</v>
      </c>
    </row>
    <row r="204" spans="4:7" x14ac:dyDescent="0.3">
      <c r="D204">
        <v>78.52</v>
      </c>
      <c r="F204" t="s">
        <v>311</v>
      </c>
      <c r="G204">
        <v>79.251000000000005</v>
      </c>
    </row>
    <row r="205" spans="4:7" x14ac:dyDescent="0.3">
      <c r="D205">
        <v>45.25</v>
      </c>
      <c r="F205" t="s">
        <v>312</v>
      </c>
      <c r="G205">
        <v>426.78205800000001</v>
      </c>
    </row>
    <row r="206" spans="4:7" x14ac:dyDescent="0.3">
      <c r="D206">
        <v>78.55</v>
      </c>
      <c r="F206" t="s">
        <v>313</v>
      </c>
      <c r="G206">
        <v>29</v>
      </c>
    </row>
    <row r="207" spans="4:7" x14ac:dyDescent="0.3">
      <c r="D207">
        <v>45.52</v>
      </c>
    </row>
    <row r="209" spans="5:9" x14ac:dyDescent="0.3">
      <c r="E209" t="s">
        <v>314</v>
      </c>
      <c r="F209" t="s">
        <v>315</v>
      </c>
    </row>
    <row r="211" spans="5:9" x14ac:dyDescent="0.3">
      <c r="F211" t="s">
        <v>316</v>
      </c>
      <c r="G211">
        <f>_xlfn.QUARTILE.INC(D179:D207,1)</f>
        <v>12.57</v>
      </c>
    </row>
    <row r="212" spans="5:9" x14ac:dyDescent="0.3">
      <c r="F212" t="s">
        <v>317</v>
      </c>
      <c r="G212">
        <f>_xlfn.QUARTILE.INC(D179:D207,2)</f>
        <v>45.25</v>
      </c>
    </row>
    <row r="213" spans="5:9" x14ac:dyDescent="0.3">
      <c r="F213" t="s">
        <v>318</v>
      </c>
      <c r="G213">
        <f>_xlfn.QUARTILE.INC(D179:D207,3)</f>
        <v>67</v>
      </c>
    </row>
    <row r="214" spans="5:9" x14ac:dyDescent="0.3">
      <c r="F214" t="s">
        <v>20</v>
      </c>
      <c r="G214">
        <f>_xlfn.QUARTILE.INC(D179:D207,4)</f>
        <v>2333</v>
      </c>
    </row>
    <row r="215" spans="5:9" x14ac:dyDescent="0.3">
      <c r="F215" t="s">
        <v>36</v>
      </c>
      <c r="G215">
        <f>_xlfn.QUARTILE.INC(D179:D207,0)</f>
        <v>1.2</v>
      </c>
    </row>
    <row r="217" spans="5:9" x14ac:dyDescent="0.3">
      <c r="E217" t="s">
        <v>319</v>
      </c>
      <c r="F217" t="s">
        <v>320</v>
      </c>
    </row>
    <row r="219" spans="5:9" x14ac:dyDescent="0.3">
      <c r="F219" t="s">
        <v>321</v>
      </c>
      <c r="I219">
        <f>_xlfn.PERCENTILE.INC(D179:D207,0.25)</f>
        <v>12.57</v>
      </c>
    </row>
    <row r="220" spans="5:9" x14ac:dyDescent="0.3">
      <c r="F220" t="s">
        <v>322</v>
      </c>
      <c r="I220">
        <f>_xlfn.PERCENTILE.INC(D179:D207,0.5)</f>
        <v>45.25</v>
      </c>
    </row>
    <row r="221" spans="5:9" x14ac:dyDescent="0.3">
      <c r="F221" t="s">
        <v>323</v>
      </c>
      <c r="I221">
        <f>_xlfn.PERCENTILE.INC(D179:D207,0.79)</f>
        <v>67.793199999999999</v>
      </c>
    </row>
    <row r="222" spans="5:9" x14ac:dyDescent="0.3">
      <c r="F222" t="s">
        <v>325</v>
      </c>
      <c r="I222">
        <f>_xlfn.PERCENTILE.INC(D179:D207,0.91)</f>
        <v>78.703599999999994</v>
      </c>
    </row>
    <row r="223" spans="5:9" x14ac:dyDescent="0.3">
      <c r="F223" t="s">
        <v>324</v>
      </c>
      <c r="I223">
        <f>_xlfn.PERCENTILE.INC(D179:D207,0.95)</f>
        <v>78.936000000000007</v>
      </c>
    </row>
    <row r="226" spans="5:10" x14ac:dyDescent="0.3">
      <c r="E226" s="1" t="s">
        <v>326</v>
      </c>
      <c r="F226" s="1" t="s">
        <v>327</v>
      </c>
      <c r="G226" s="1" t="s">
        <v>328</v>
      </c>
      <c r="H226" s="1" t="s">
        <v>329</v>
      </c>
      <c r="I226" s="1" t="s">
        <v>330</v>
      </c>
      <c r="J226" s="1"/>
    </row>
    <row r="227" spans="5:10" x14ac:dyDescent="0.3">
      <c r="E227" s="1">
        <f>_xlfn.PERCENTILE.INC(D179:D207,0.25)</f>
        <v>12.57</v>
      </c>
      <c r="F227" s="1" t="b">
        <f>G227=_xlfn.PERCENTILE.INC(D179:D207,0.5)</f>
        <v>0</v>
      </c>
      <c r="G227" s="1">
        <f>_xlfn.PERCENTILE.INC(D179:D207,0.79)</f>
        <v>67.793199999999999</v>
      </c>
      <c r="H227" s="1">
        <f>_xlfn.PERCENTILE.INC(D179:D207,0.95)</f>
        <v>78.936000000000007</v>
      </c>
      <c r="I227" s="1">
        <f>_xlfn.PERCENTILE.INC(D179:D207,0.5)</f>
        <v>45.25</v>
      </c>
      <c r="J227" s="1"/>
    </row>
    <row r="228" spans="5:10" x14ac:dyDescent="0.3">
      <c r="E228" t="e">
        <f>_xlfn.PERCENTILE.INC(#REF!,0.5)</f>
        <v>#REF!</v>
      </c>
    </row>
    <row r="229" spans="5:10" x14ac:dyDescent="0.3">
      <c r="E229" t="e">
        <f>_xlfn.PERCENTILE.INC(#REF!,0.79)</f>
        <v>#REF!</v>
      </c>
    </row>
    <row r="230" spans="5:10" x14ac:dyDescent="0.3">
      <c r="E230" t="e">
        <f>_xlfn.PERCENTILE.INC(#REF!,0.91)</f>
        <v>#REF!</v>
      </c>
    </row>
    <row r="231" spans="5:10" x14ac:dyDescent="0.3">
      <c r="E231" t="e">
        <f>_xlfn.PERCENTILE.INC(#REF!,0.95)</f>
        <v>#REF!</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Y141"/>
  <sheetViews>
    <sheetView topLeftCell="K135" zoomScale="40" zoomScaleNormal="40" workbookViewId="0">
      <selection activeCell="K205" sqref="K205"/>
    </sheetView>
  </sheetViews>
  <sheetFormatPr defaultRowHeight="14.4" x14ac:dyDescent="0.3"/>
  <cols>
    <col min="3" max="3" width="25.109375" customWidth="1"/>
    <col min="4" max="4" width="22.21875" customWidth="1"/>
    <col min="5" max="5" width="17" customWidth="1"/>
    <col min="6" max="6" width="34.33203125" customWidth="1"/>
    <col min="7" max="7" width="24.88671875" customWidth="1"/>
    <col min="8" max="8" width="29.88671875" customWidth="1"/>
    <col min="9" max="9" width="21.88671875" customWidth="1"/>
    <col min="10" max="10" width="23" customWidth="1"/>
    <col min="11" max="11" width="20.21875" customWidth="1"/>
  </cols>
  <sheetData>
    <row r="3" spans="2:51" x14ac:dyDescent="0.3">
      <c r="B3" t="s">
        <v>331</v>
      </c>
    </row>
    <row r="4" spans="2:51" x14ac:dyDescent="0.3">
      <c r="C4" s="1" t="s">
        <v>332</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2:51" x14ac:dyDescent="0.3">
      <c r="C5" s="1" t="s">
        <v>333</v>
      </c>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8" spans="2:51" x14ac:dyDescent="0.3">
      <c r="C8" t="s">
        <v>334</v>
      </c>
      <c r="D8" t="s">
        <v>335</v>
      </c>
    </row>
    <row r="9" spans="2:51" ht="15" thickBot="1" x14ac:dyDescent="0.35">
      <c r="C9">
        <v>10</v>
      </c>
      <c r="D9">
        <v>50</v>
      </c>
      <c r="H9" t="s">
        <v>340</v>
      </c>
      <c r="K9" t="s">
        <v>335</v>
      </c>
    </row>
    <row r="10" spans="2:51" x14ac:dyDescent="0.3">
      <c r="C10">
        <v>12</v>
      </c>
      <c r="D10">
        <v>55</v>
      </c>
      <c r="H10" s="34" t="s">
        <v>310</v>
      </c>
      <c r="I10" s="34"/>
      <c r="K10" s="34" t="s">
        <v>310</v>
      </c>
      <c r="L10" s="34"/>
    </row>
    <row r="11" spans="2:51" x14ac:dyDescent="0.3">
      <c r="C11">
        <v>15</v>
      </c>
      <c r="D11">
        <v>60</v>
      </c>
      <c r="H11" s="32"/>
      <c r="I11" s="32"/>
      <c r="K11" s="32"/>
      <c r="L11" s="32"/>
    </row>
    <row r="12" spans="2:51" x14ac:dyDescent="0.3">
      <c r="C12">
        <v>18</v>
      </c>
      <c r="D12">
        <v>70</v>
      </c>
      <c r="H12" s="32" t="s">
        <v>253</v>
      </c>
      <c r="I12" s="43">
        <v>23.75</v>
      </c>
      <c r="K12" s="32" t="s">
        <v>253</v>
      </c>
      <c r="L12" s="43">
        <v>110.08333333333333</v>
      </c>
    </row>
    <row r="13" spans="2:51" x14ac:dyDescent="0.3">
      <c r="C13">
        <v>20</v>
      </c>
      <c r="D13">
        <v>75</v>
      </c>
      <c r="H13" s="32" t="s">
        <v>254</v>
      </c>
      <c r="I13" s="32">
        <v>2.625991876098122</v>
      </c>
      <c r="K13" s="32" t="s">
        <v>254</v>
      </c>
      <c r="L13" s="32">
        <v>31.940393902177579</v>
      </c>
    </row>
    <row r="14" spans="2:51" x14ac:dyDescent="0.3">
      <c r="C14">
        <v>22</v>
      </c>
      <c r="D14">
        <v>80</v>
      </c>
      <c r="H14" s="32" t="s">
        <v>255</v>
      </c>
      <c r="I14" s="32">
        <v>23.5</v>
      </c>
      <c r="K14" s="32" t="s">
        <v>255</v>
      </c>
      <c r="L14" s="32">
        <v>82.5</v>
      </c>
    </row>
    <row r="15" spans="2:51" x14ac:dyDescent="0.3">
      <c r="C15">
        <v>25</v>
      </c>
      <c r="D15">
        <v>85</v>
      </c>
      <c r="H15" s="32" t="s">
        <v>256</v>
      </c>
      <c r="I15" s="32" t="e">
        <v>#N/A</v>
      </c>
      <c r="K15" s="32" t="s">
        <v>256</v>
      </c>
      <c r="L15" s="32" t="e">
        <v>#N/A</v>
      </c>
    </row>
    <row r="16" spans="2:51" x14ac:dyDescent="0.3">
      <c r="C16">
        <v>28</v>
      </c>
      <c r="D16">
        <v>90</v>
      </c>
      <c r="H16" s="32" t="s">
        <v>257</v>
      </c>
      <c r="I16" s="32">
        <v>9.0967026993301268</v>
      </c>
      <c r="K16" s="32" t="s">
        <v>257</v>
      </c>
      <c r="L16" s="32">
        <v>110.64477010466943</v>
      </c>
    </row>
    <row r="17" spans="3:12" x14ac:dyDescent="0.3">
      <c r="C17">
        <v>30</v>
      </c>
      <c r="D17">
        <v>94</v>
      </c>
      <c r="H17" s="32" t="s">
        <v>258</v>
      </c>
      <c r="I17" s="32">
        <v>82.75</v>
      </c>
      <c r="K17" s="32" t="s">
        <v>258</v>
      </c>
      <c r="L17" s="32">
        <v>12242.26515151515</v>
      </c>
    </row>
    <row r="18" spans="3:12" x14ac:dyDescent="0.3">
      <c r="C18">
        <v>32</v>
      </c>
      <c r="D18">
        <v>100</v>
      </c>
      <c r="H18" s="32" t="s">
        <v>259</v>
      </c>
      <c r="I18" s="32">
        <v>-1.1405591405700948</v>
      </c>
      <c r="K18" s="32" t="s">
        <v>259</v>
      </c>
      <c r="L18" s="32">
        <v>11.231328948697346</v>
      </c>
    </row>
    <row r="19" spans="3:12" x14ac:dyDescent="0.3">
      <c r="C19">
        <v>35</v>
      </c>
      <c r="D19">
        <v>105</v>
      </c>
      <c r="H19" s="32" t="s">
        <v>260</v>
      </c>
      <c r="I19" s="32">
        <v>8.9670949656142241E-3</v>
      </c>
      <c r="K19" s="32" t="s">
        <v>260</v>
      </c>
      <c r="L19" s="32">
        <v>3.3083151889653641</v>
      </c>
    </row>
    <row r="20" spans="3:12" x14ac:dyDescent="0.3">
      <c r="C20">
        <v>38</v>
      </c>
      <c r="D20">
        <v>457</v>
      </c>
      <c r="H20" s="32" t="s">
        <v>261</v>
      </c>
      <c r="I20" s="32">
        <v>28</v>
      </c>
      <c r="K20" s="32" t="s">
        <v>261</v>
      </c>
      <c r="L20" s="32">
        <v>407</v>
      </c>
    </row>
    <row r="21" spans="3:12" x14ac:dyDescent="0.3">
      <c r="H21" s="32" t="s">
        <v>262</v>
      </c>
      <c r="I21" s="32">
        <v>10</v>
      </c>
      <c r="K21" s="32" t="s">
        <v>262</v>
      </c>
      <c r="L21" s="32">
        <v>50</v>
      </c>
    </row>
    <row r="22" spans="3:12" x14ac:dyDescent="0.3">
      <c r="C22" t="s">
        <v>336</v>
      </c>
      <c r="H22" s="32" t="s">
        <v>263</v>
      </c>
      <c r="I22" s="32">
        <v>38</v>
      </c>
      <c r="K22" s="32" t="s">
        <v>263</v>
      </c>
      <c r="L22" s="32">
        <v>457</v>
      </c>
    </row>
    <row r="23" spans="3:12" x14ac:dyDescent="0.3">
      <c r="C23" t="s">
        <v>337</v>
      </c>
      <c r="H23" s="32" t="s">
        <v>264</v>
      </c>
      <c r="I23" s="32">
        <v>285</v>
      </c>
      <c r="K23" s="32" t="s">
        <v>264</v>
      </c>
      <c r="L23" s="32">
        <v>1321</v>
      </c>
    </row>
    <row r="24" spans="3:12" x14ac:dyDescent="0.3">
      <c r="C24" t="s">
        <v>338</v>
      </c>
      <c r="H24" s="32" t="s">
        <v>265</v>
      </c>
      <c r="I24" s="32">
        <v>12</v>
      </c>
      <c r="K24" s="32" t="s">
        <v>265</v>
      </c>
      <c r="L24" s="32">
        <v>12</v>
      </c>
    </row>
    <row r="25" spans="3:12" x14ac:dyDescent="0.3">
      <c r="C25" t="s">
        <v>339</v>
      </c>
      <c r="H25" s="32" t="s">
        <v>266</v>
      </c>
      <c r="I25" s="32">
        <v>38</v>
      </c>
      <c r="K25" s="32" t="s">
        <v>266</v>
      </c>
      <c r="L25" s="32">
        <v>457</v>
      </c>
    </row>
    <row r="26" spans="3:12" ht="15" thickBot="1" x14ac:dyDescent="0.35">
      <c r="H26" s="33" t="s">
        <v>267</v>
      </c>
      <c r="I26" s="33">
        <v>10</v>
      </c>
      <c r="K26" s="33" t="s">
        <v>267</v>
      </c>
      <c r="L26" s="33">
        <v>50</v>
      </c>
    </row>
    <row r="28" spans="3:12" ht="15" thickBot="1" x14ac:dyDescent="0.35">
      <c r="F28" s="50" t="s">
        <v>341</v>
      </c>
      <c r="G28" s="50"/>
      <c r="H28" s="50"/>
    </row>
    <row r="29" spans="3:12" x14ac:dyDescent="0.3">
      <c r="F29" s="47"/>
      <c r="G29" s="47" t="s">
        <v>334</v>
      </c>
      <c r="H29" s="47" t="s">
        <v>335</v>
      </c>
    </row>
    <row r="30" spans="3:12" x14ac:dyDescent="0.3">
      <c r="F30" s="48" t="s">
        <v>334</v>
      </c>
      <c r="G30" s="48">
        <v>1</v>
      </c>
      <c r="H30" s="48"/>
    </row>
    <row r="31" spans="3:12" ht="15" thickBot="1" x14ac:dyDescent="0.35">
      <c r="F31" s="49" t="s">
        <v>335</v>
      </c>
      <c r="G31" s="49">
        <v>0.62432663047611436</v>
      </c>
      <c r="H31" s="49">
        <v>1</v>
      </c>
    </row>
    <row r="32" spans="3:12" x14ac:dyDescent="0.3">
      <c r="C32" t="s">
        <v>349</v>
      </c>
      <c r="F32" s="50"/>
      <c r="G32" s="50"/>
      <c r="H32" s="50"/>
    </row>
    <row r="33" spans="3:8" x14ac:dyDescent="0.3">
      <c r="C33" t="s">
        <v>350</v>
      </c>
      <c r="F33" s="50"/>
      <c r="G33" s="50"/>
      <c r="H33" s="50"/>
    </row>
    <row r="34" spans="3:8" ht="15" thickBot="1" x14ac:dyDescent="0.35">
      <c r="F34" s="50" t="s">
        <v>342</v>
      </c>
      <c r="G34" s="50"/>
      <c r="H34" s="50"/>
    </row>
    <row r="35" spans="3:8" x14ac:dyDescent="0.3">
      <c r="F35" s="47"/>
      <c r="G35" s="47" t="s">
        <v>334</v>
      </c>
      <c r="H35" s="47" t="s">
        <v>335</v>
      </c>
    </row>
    <row r="36" spans="3:8" x14ac:dyDescent="0.3">
      <c r="F36" s="48" t="s">
        <v>334</v>
      </c>
      <c r="G36" s="48">
        <f>VARP('CORELATION AND COVRAINCE'!$C$9:$C$20)</f>
        <v>75.854166666666671</v>
      </c>
      <c r="H36" s="48"/>
    </row>
    <row r="37" spans="3:8" ht="15" thickBot="1" x14ac:dyDescent="0.35">
      <c r="F37" s="49" t="s">
        <v>335</v>
      </c>
      <c r="G37" s="49">
        <v>576.02083333333337</v>
      </c>
      <c r="H37" s="49">
        <f>VARP('CORELATION AND COVRAINCE'!$D$9:$D$20)</f>
        <v>11222.076388888889</v>
      </c>
    </row>
    <row r="53" spans="1:13" x14ac:dyDescent="0.3">
      <c r="B53" t="s">
        <v>73</v>
      </c>
    </row>
    <row r="57" spans="1:13" x14ac:dyDescent="0.3">
      <c r="A57" s="4"/>
      <c r="B57" s="4"/>
      <c r="C57" s="4"/>
      <c r="D57" s="4"/>
      <c r="E57" s="4"/>
      <c r="F57" s="4"/>
      <c r="G57" s="4"/>
      <c r="H57" s="4"/>
      <c r="I57" s="4"/>
      <c r="J57" s="4"/>
      <c r="K57" s="4"/>
      <c r="L57" s="4"/>
      <c r="M57" s="4"/>
    </row>
    <row r="59" spans="1:13" x14ac:dyDescent="0.3">
      <c r="C59" t="s">
        <v>343</v>
      </c>
    </row>
    <row r="60" spans="1:13" x14ac:dyDescent="0.3">
      <c r="C60" t="s">
        <v>344</v>
      </c>
    </row>
    <row r="62" spans="1:13" x14ac:dyDescent="0.3">
      <c r="C62" t="s">
        <v>345</v>
      </c>
    </row>
    <row r="66" spans="3:8" x14ac:dyDescent="0.3">
      <c r="C66" t="s">
        <v>346</v>
      </c>
      <c r="D66" t="s">
        <v>347</v>
      </c>
    </row>
    <row r="67" spans="3:8" x14ac:dyDescent="0.3">
      <c r="C67">
        <v>45</v>
      </c>
      <c r="D67">
        <v>123</v>
      </c>
    </row>
    <row r="68" spans="3:8" x14ac:dyDescent="0.3">
      <c r="C68">
        <v>47</v>
      </c>
      <c r="D68">
        <v>456</v>
      </c>
    </row>
    <row r="69" spans="3:8" x14ac:dyDescent="0.3">
      <c r="C69">
        <v>23</v>
      </c>
      <c r="D69">
        <v>678</v>
      </c>
    </row>
    <row r="70" spans="3:8" x14ac:dyDescent="0.3">
      <c r="C70">
        <v>24</v>
      </c>
      <c r="D70">
        <v>45</v>
      </c>
    </row>
    <row r="71" spans="3:8" x14ac:dyDescent="0.3">
      <c r="C71">
        <v>45</v>
      </c>
      <c r="D71">
        <v>234</v>
      </c>
    </row>
    <row r="72" spans="3:8" x14ac:dyDescent="0.3">
      <c r="C72">
        <v>56</v>
      </c>
      <c r="D72">
        <v>567</v>
      </c>
    </row>
    <row r="73" spans="3:8" ht="15" thickBot="1" x14ac:dyDescent="0.35">
      <c r="C73">
        <v>89</v>
      </c>
      <c r="D73">
        <v>677</v>
      </c>
    </row>
    <row r="74" spans="3:8" x14ac:dyDescent="0.3">
      <c r="C74">
        <v>34</v>
      </c>
      <c r="D74">
        <v>567</v>
      </c>
      <c r="F74" s="47"/>
      <c r="G74" s="47" t="s">
        <v>346</v>
      </c>
      <c r="H74" s="47" t="s">
        <v>351</v>
      </c>
    </row>
    <row r="75" spans="3:8" x14ac:dyDescent="0.3">
      <c r="C75">
        <v>12</v>
      </c>
      <c r="D75">
        <v>98</v>
      </c>
      <c r="F75" s="48" t="s">
        <v>346</v>
      </c>
      <c r="G75" s="48">
        <v>1</v>
      </c>
      <c r="H75" s="48"/>
    </row>
    <row r="76" spans="3:8" ht="15" thickBot="1" x14ac:dyDescent="0.35">
      <c r="C76">
        <v>56</v>
      </c>
      <c r="D76">
        <v>876</v>
      </c>
      <c r="F76" s="49" t="s">
        <v>351</v>
      </c>
      <c r="G76" s="49">
        <v>0.50468787451593289</v>
      </c>
      <c r="H76" s="49">
        <v>1</v>
      </c>
    </row>
    <row r="77" spans="3:8" x14ac:dyDescent="0.3">
      <c r="C77">
        <v>89</v>
      </c>
      <c r="D77">
        <v>876</v>
      </c>
    </row>
    <row r="78" spans="3:8" ht="15" thickBot="1" x14ac:dyDescent="0.35">
      <c r="C78">
        <v>45</v>
      </c>
      <c r="D78">
        <v>765</v>
      </c>
      <c r="F78" s="4" t="s">
        <v>352</v>
      </c>
      <c r="G78" s="4"/>
      <c r="H78" s="4"/>
    </row>
    <row r="79" spans="3:8" x14ac:dyDescent="0.3">
      <c r="C79">
        <v>34</v>
      </c>
      <c r="D79">
        <v>457</v>
      </c>
      <c r="F79" s="44"/>
      <c r="G79" s="44" t="s">
        <v>346</v>
      </c>
      <c r="H79" s="44" t="s">
        <v>351</v>
      </c>
    </row>
    <row r="80" spans="3:8" x14ac:dyDescent="0.3">
      <c r="C80">
        <v>89</v>
      </c>
      <c r="D80">
        <v>876</v>
      </c>
      <c r="F80" s="45" t="s">
        <v>346</v>
      </c>
      <c r="G80" s="45">
        <f>VARP('CORELATION AND COVRAINCE'!$C$67:$C$98)</f>
        <v>586.7177734375</v>
      </c>
      <c r="H80" s="45"/>
    </row>
    <row r="81" spans="3:8" ht="15" thickBot="1" x14ac:dyDescent="0.35">
      <c r="C81">
        <v>34</v>
      </c>
      <c r="D81">
        <v>123</v>
      </c>
      <c r="F81" s="46" t="s">
        <v>351</v>
      </c>
      <c r="G81" s="46">
        <v>3104.7138671875</v>
      </c>
      <c r="H81" s="46">
        <f>VARP('CORELATION AND COVRAINCE'!$D$67:$D$98)</f>
        <v>64501.2568359375</v>
      </c>
    </row>
    <row r="82" spans="3:8" x14ac:dyDescent="0.3">
      <c r="C82">
        <v>89</v>
      </c>
      <c r="D82">
        <v>789</v>
      </c>
      <c r="F82" s="35"/>
      <c r="G82" s="35"/>
    </row>
    <row r="83" spans="3:8" ht="15" thickBot="1" x14ac:dyDescent="0.35">
      <c r="C83">
        <v>76</v>
      </c>
      <c r="D83">
        <v>567</v>
      </c>
      <c r="F83" s="33"/>
      <c r="G83" s="33"/>
    </row>
    <row r="84" spans="3:8" x14ac:dyDescent="0.3">
      <c r="C84">
        <v>34</v>
      </c>
      <c r="D84">
        <v>678</v>
      </c>
    </row>
    <row r="85" spans="3:8" x14ac:dyDescent="0.3">
      <c r="C85">
        <v>44</v>
      </c>
      <c r="D85">
        <v>567</v>
      </c>
    </row>
    <row r="86" spans="3:8" x14ac:dyDescent="0.3">
      <c r="C86">
        <v>33</v>
      </c>
      <c r="D86">
        <v>346</v>
      </c>
    </row>
    <row r="87" spans="3:8" x14ac:dyDescent="0.3">
      <c r="C87">
        <v>87</v>
      </c>
      <c r="D87">
        <v>678</v>
      </c>
    </row>
    <row r="88" spans="3:8" x14ac:dyDescent="0.3">
      <c r="C88">
        <v>78</v>
      </c>
      <c r="D88">
        <v>897</v>
      </c>
    </row>
    <row r="89" spans="3:8" x14ac:dyDescent="0.3">
      <c r="C89">
        <v>56</v>
      </c>
      <c r="D89">
        <v>467</v>
      </c>
    </row>
    <row r="90" spans="3:8" x14ac:dyDescent="0.3">
      <c r="C90">
        <v>29</v>
      </c>
      <c r="D90">
        <v>356</v>
      </c>
    </row>
    <row r="91" spans="3:8" x14ac:dyDescent="0.3">
      <c r="C91">
        <v>43</v>
      </c>
      <c r="D91">
        <v>456</v>
      </c>
    </row>
    <row r="92" spans="3:8" x14ac:dyDescent="0.3">
      <c r="C92">
        <v>44</v>
      </c>
      <c r="D92">
        <v>456</v>
      </c>
    </row>
    <row r="93" spans="3:8" x14ac:dyDescent="0.3">
      <c r="C93">
        <v>12</v>
      </c>
      <c r="D93">
        <v>456</v>
      </c>
    </row>
    <row r="94" spans="3:8" x14ac:dyDescent="0.3">
      <c r="C94">
        <v>11</v>
      </c>
      <c r="D94">
        <v>789</v>
      </c>
    </row>
    <row r="95" spans="3:8" x14ac:dyDescent="0.3">
      <c r="C95">
        <v>88</v>
      </c>
      <c r="D95">
        <v>890</v>
      </c>
    </row>
    <row r="96" spans="3:8" x14ac:dyDescent="0.3">
      <c r="C96">
        <v>66</v>
      </c>
      <c r="D96">
        <v>100</v>
      </c>
    </row>
    <row r="97" spans="1:23" x14ac:dyDescent="0.3">
      <c r="C97">
        <v>55</v>
      </c>
      <c r="D97">
        <v>677</v>
      </c>
    </row>
    <row r="98" spans="1:23" x14ac:dyDescent="0.3">
      <c r="C98">
        <v>34</v>
      </c>
      <c r="D98">
        <v>666</v>
      </c>
    </row>
    <row r="101" spans="1:23" x14ac:dyDescent="0.3">
      <c r="A101" s="50"/>
      <c r="B101" s="50"/>
      <c r="C101" s="50"/>
      <c r="D101" s="50"/>
      <c r="E101" s="50"/>
      <c r="F101" s="50"/>
      <c r="G101" s="50"/>
      <c r="H101" s="50"/>
      <c r="I101" s="50"/>
      <c r="J101" s="50"/>
      <c r="K101" s="50"/>
      <c r="L101" s="50"/>
      <c r="M101" s="50"/>
      <c r="N101" s="50"/>
      <c r="O101" s="50"/>
      <c r="P101" s="50"/>
      <c r="Q101" s="50"/>
      <c r="R101" s="50"/>
      <c r="S101" s="50"/>
      <c r="T101" s="50"/>
      <c r="U101" s="50"/>
      <c r="V101" s="50"/>
      <c r="W101" s="50"/>
    </row>
    <row r="106" spans="1:23" x14ac:dyDescent="0.3">
      <c r="E106" t="s">
        <v>353</v>
      </c>
      <c r="F106" t="s">
        <v>354</v>
      </c>
    </row>
    <row r="109" spans="1:23" x14ac:dyDescent="0.3">
      <c r="F109" t="s">
        <v>355</v>
      </c>
      <c r="G109" t="s">
        <v>356</v>
      </c>
    </row>
    <row r="110" spans="1:23" x14ac:dyDescent="0.3">
      <c r="F110">
        <v>12</v>
      </c>
      <c r="G110">
        <v>78</v>
      </c>
    </row>
    <row r="111" spans="1:23" x14ac:dyDescent="0.3">
      <c r="F111">
        <v>12</v>
      </c>
      <c r="G111">
        <v>67</v>
      </c>
    </row>
    <row r="112" spans="1:23" x14ac:dyDescent="0.3">
      <c r="F112">
        <v>14</v>
      </c>
      <c r="G112">
        <v>89</v>
      </c>
    </row>
    <row r="113" spans="6:11" x14ac:dyDescent="0.3">
      <c r="F113">
        <v>13</v>
      </c>
      <c r="G113">
        <v>67</v>
      </c>
    </row>
    <row r="114" spans="6:11" x14ac:dyDescent="0.3">
      <c r="F114">
        <v>16</v>
      </c>
      <c r="G114">
        <v>44</v>
      </c>
    </row>
    <row r="115" spans="6:11" ht="15" thickBot="1" x14ac:dyDescent="0.35">
      <c r="F115">
        <v>22</v>
      </c>
      <c r="G115">
        <v>33</v>
      </c>
      <c r="H115" s="50" t="s">
        <v>348</v>
      </c>
      <c r="I115" s="50"/>
      <c r="J115" s="50"/>
      <c r="K115" s="50"/>
    </row>
    <row r="116" spans="6:11" x14ac:dyDescent="0.3">
      <c r="F116">
        <v>34</v>
      </c>
      <c r="G116">
        <v>44</v>
      </c>
      <c r="H116" s="35"/>
      <c r="I116" s="35" t="s">
        <v>355</v>
      </c>
      <c r="J116" s="35" t="s">
        <v>356</v>
      </c>
      <c r="K116" s="50"/>
    </row>
    <row r="117" spans="6:11" x14ac:dyDescent="0.3">
      <c r="F117">
        <v>56</v>
      </c>
      <c r="G117">
        <v>55</v>
      </c>
      <c r="H117" s="32" t="s">
        <v>355</v>
      </c>
      <c r="I117" s="32">
        <v>1</v>
      </c>
      <c r="J117" s="32"/>
      <c r="K117" s="50"/>
    </row>
    <row r="118" spans="6:11" ht="15" thickBot="1" x14ac:dyDescent="0.35">
      <c r="F118">
        <v>76</v>
      </c>
      <c r="G118">
        <v>66</v>
      </c>
      <c r="H118" s="33" t="s">
        <v>356</v>
      </c>
      <c r="I118" s="33">
        <v>4.8089824016960887E-2</v>
      </c>
      <c r="J118" s="33">
        <v>1</v>
      </c>
      <c r="K118" s="50"/>
    </row>
    <row r="119" spans="6:11" x14ac:dyDescent="0.3">
      <c r="F119">
        <v>55</v>
      </c>
      <c r="G119">
        <v>77</v>
      </c>
      <c r="H119" s="50"/>
      <c r="I119" s="50"/>
      <c r="J119" s="50"/>
      <c r="K119" s="50"/>
    </row>
    <row r="120" spans="6:11" x14ac:dyDescent="0.3">
      <c r="F120">
        <v>45</v>
      </c>
      <c r="G120">
        <v>88</v>
      </c>
      <c r="H120" s="50"/>
      <c r="I120" s="50"/>
      <c r="J120" s="50"/>
      <c r="K120" s="50"/>
    </row>
    <row r="121" spans="6:11" x14ac:dyDescent="0.3">
      <c r="F121">
        <v>24</v>
      </c>
      <c r="G121">
        <v>99</v>
      </c>
      <c r="H121" s="50"/>
      <c r="I121" s="50"/>
      <c r="J121" s="50"/>
      <c r="K121" s="50"/>
    </row>
    <row r="122" spans="6:11" ht="15" thickBot="1" x14ac:dyDescent="0.35">
      <c r="F122">
        <v>78</v>
      </c>
      <c r="G122">
        <v>88</v>
      </c>
      <c r="H122" s="50" t="s">
        <v>357</v>
      </c>
      <c r="I122" s="50"/>
      <c r="J122" s="50"/>
      <c r="K122" s="50"/>
    </row>
    <row r="123" spans="6:11" x14ac:dyDescent="0.3">
      <c r="F123">
        <v>77</v>
      </c>
      <c r="G123">
        <v>78</v>
      </c>
      <c r="H123" s="35"/>
      <c r="I123" s="35" t="s">
        <v>355</v>
      </c>
      <c r="J123" s="35" t="s">
        <v>356</v>
      </c>
      <c r="K123" s="50"/>
    </row>
    <row r="124" spans="6:11" x14ac:dyDescent="0.3">
      <c r="F124">
        <v>76</v>
      </c>
      <c r="G124">
        <v>67</v>
      </c>
      <c r="H124" s="32" t="s">
        <v>355</v>
      </c>
      <c r="I124" s="32">
        <f>VARP('CORELATION AND COVRAINCE'!$F$110:$F$141)</f>
        <v>629.99609375</v>
      </c>
      <c r="J124" s="32"/>
      <c r="K124" s="50"/>
    </row>
    <row r="125" spans="6:11" ht="15" thickBot="1" x14ac:dyDescent="0.35">
      <c r="F125">
        <v>75</v>
      </c>
      <c r="G125">
        <v>56</v>
      </c>
      <c r="H125" s="33" t="s">
        <v>356</v>
      </c>
      <c r="I125" s="33">
        <v>24.185546875</v>
      </c>
      <c r="J125" s="33">
        <f>VARP('CORELATION AND COVRAINCE'!$G$110:$G$141)</f>
        <v>401.4833984375</v>
      </c>
      <c r="K125" s="50"/>
    </row>
    <row r="126" spans="6:11" x14ac:dyDescent="0.3">
      <c r="F126">
        <v>74</v>
      </c>
      <c r="G126">
        <v>45</v>
      </c>
      <c r="H126" s="50"/>
      <c r="I126" s="50"/>
      <c r="J126" s="50"/>
      <c r="K126" s="50"/>
    </row>
    <row r="127" spans="6:11" x14ac:dyDescent="0.3">
      <c r="F127">
        <v>78</v>
      </c>
      <c r="G127">
        <v>34</v>
      </c>
      <c r="H127" s="50"/>
      <c r="I127" s="50"/>
      <c r="J127" s="50"/>
      <c r="K127" s="50"/>
    </row>
    <row r="128" spans="6:11" x14ac:dyDescent="0.3">
      <c r="F128">
        <v>44</v>
      </c>
      <c r="G128">
        <v>23</v>
      </c>
      <c r="H128" s="50"/>
      <c r="I128" s="50"/>
      <c r="J128" s="50"/>
      <c r="K128" s="50"/>
    </row>
    <row r="129" spans="6:7" x14ac:dyDescent="0.3">
      <c r="F129">
        <v>44</v>
      </c>
      <c r="G129">
        <v>43</v>
      </c>
    </row>
    <row r="130" spans="6:7" x14ac:dyDescent="0.3">
      <c r="F130">
        <v>23</v>
      </c>
      <c r="G130">
        <v>34</v>
      </c>
    </row>
    <row r="131" spans="6:7" x14ac:dyDescent="0.3">
      <c r="F131">
        <v>34</v>
      </c>
      <c r="G131">
        <v>65</v>
      </c>
    </row>
    <row r="132" spans="6:7" x14ac:dyDescent="0.3">
      <c r="F132">
        <v>33</v>
      </c>
      <c r="G132">
        <v>75</v>
      </c>
    </row>
    <row r="133" spans="6:7" x14ac:dyDescent="0.3">
      <c r="F133">
        <v>11</v>
      </c>
      <c r="G133">
        <v>75</v>
      </c>
    </row>
    <row r="134" spans="6:7" x14ac:dyDescent="0.3">
      <c r="F134">
        <v>22</v>
      </c>
      <c r="G134">
        <v>45</v>
      </c>
    </row>
    <row r="135" spans="6:7" x14ac:dyDescent="0.3">
      <c r="F135">
        <v>12</v>
      </c>
      <c r="G135">
        <v>34</v>
      </c>
    </row>
    <row r="136" spans="6:7" x14ac:dyDescent="0.3">
      <c r="F136">
        <v>8</v>
      </c>
      <c r="G136">
        <v>46</v>
      </c>
    </row>
    <row r="137" spans="6:7" x14ac:dyDescent="0.3">
      <c r="F137">
        <v>7</v>
      </c>
      <c r="G137">
        <v>45</v>
      </c>
    </row>
    <row r="138" spans="6:7" x14ac:dyDescent="0.3">
      <c r="F138">
        <v>54</v>
      </c>
      <c r="G138">
        <v>43</v>
      </c>
    </row>
    <row r="139" spans="6:7" x14ac:dyDescent="0.3">
      <c r="F139">
        <v>3</v>
      </c>
      <c r="G139">
        <v>45</v>
      </c>
    </row>
    <row r="140" spans="6:7" x14ac:dyDescent="0.3">
      <c r="F140">
        <v>56</v>
      </c>
      <c r="G140">
        <v>34</v>
      </c>
    </row>
    <row r="141" spans="6:7" x14ac:dyDescent="0.3">
      <c r="F141">
        <v>46</v>
      </c>
      <c r="G141">
        <v>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128"/>
  <sheetViews>
    <sheetView topLeftCell="A89" zoomScale="70" zoomScaleNormal="70" workbookViewId="0">
      <selection activeCell="B128" sqref="B128"/>
    </sheetView>
  </sheetViews>
  <sheetFormatPr defaultRowHeight="14.4" x14ac:dyDescent="0.3"/>
  <cols>
    <col min="1" max="1" width="30.5546875" customWidth="1"/>
    <col min="2" max="2" width="19.88671875" customWidth="1"/>
    <col min="3" max="3" width="15" customWidth="1"/>
    <col min="5" max="5" width="12" bestFit="1" customWidth="1"/>
  </cols>
  <sheetData>
    <row r="3" spans="2:5" x14ac:dyDescent="0.3">
      <c r="B3" s="4" t="s">
        <v>250</v>
      </c>
    </row>
    <row r="4" spans="2:5" x14ac:dyDescent="0.3">
      <c r="B4" t="s">
        <v>358</v>
      </c>
    </row>
    <row r="6" spans="2:5" x14ac:dyDescent="0.3">
      <c r="B6" t="s">
        <v>96</v>
      </c>
      <c r="C6">
        <v>100</v>
      </c>
    </row>
    <row r="7" spans="2:5" x14ac:dyDescent="0.3">
      <c r="B7" t="s">
        <v>359</v>
      </c>
      <c r="C7">
        <f>1/6</f>
        <v>0.16666666666666666</v>
      </c>
    </row>
    <row r="8" spans="2:5" x14ac:dyDescent="0.3">
      <c r="B8" t="s">
        <v>360</v>
      </c>
      <c r="C8" t="s">
        <v>361</v>
      </c>
    </row>
    <row r="9" spans="2:5" x14ac:dyDescent="0.3">
      <c r="B9" t="s">
        <v>362</v>
      </c>
      <c r="D9">
        <v>3</v>
      </c>
      <c r="E9">
        <f>_xlfn.BINOM.DIST(D9,C6,C7,FALSE)</f>
        <v>1.5619797603914421E-5</v>
      </c>
    </row>
    <row r="11" spans="2:5" x14ac:dyDescent="0.3">
      <c r="B11" t="s">
        <v>363</v>
      </c>
      <c r="D11" s="51" t="s">
        <v>364</v>
      </c>
      <c r="E11">
        <f>1/6</f>
        <v>0.16666666666666666</v>
      </c>
    </row>
    <row r="12" spans="2:5" x14ac:dyDescent="0.3">
      <c r="C12" t="s">
        <v>365</v>
      </c>
      <c r="E12">
        <v>3</v>
      </c>
    </row>
    <row r="13" spans="2:5" x14ac:dyDescent="0.3">
      <c r="C13" t="s">
        <v>366</v>
      </c>
      <c r="E13">
        <v>100</v>
      </c>
    </row>
    <row r="14" spans="2:5" x14ac:dyDescent="0.3">
      <c r="C14" t="s">
        <v>367</v>
      </c>
      <c r="E14">
        <f>1/6</f>
        <v>0.16666666666666666</v>
      </c>
    </row>
    <row r="15" spans="2:5" x14ac:dyDescent="0.3">
      <c r="C15" t="s">
        <v>368</v>
      </c>
      <c r="E15" t="s">
        <v>369</v>
      </c>
    </row>
    <row r="18" spans="1:17" x14ac:dyDescent="0.3">
      <c r="B18" t="s">
        <v>370</v>
      </c>
    </row>
    <row r="19" spans="1:17" x14ac:dyDescent="0.3">
      <c r="B19">
        <f>_xlfn.BINOM.DIST(E12,E13,E11,FALSE)</f>
        <v>1.5619797603914421E-5</v>
      </c>
    </row>
    <row r="22" spans="1:17" x14ac:dyDescent="0.3">
      <c r="A22" s="4"/>
      <c r="B22" s="4"/>
      <c r="C22" s="4"/>
      <c r="D22" s="4"/>
      <c r="E22" s="4"/>
      <c r="F22" s="4"/>
      <c r="G22" s="4"/>
      <c r="H22" s="4"/>
      <c r="I22" s="4"/>
      <c r="J22" s="4"/>
      <c r="K22" s="4"/>
      <c r="L22" s="4"/>
      <c r="M22" s="4"/>
      <c r="N22" s="4"/>
      <c r="O22" s="4"/>
      <c r="P22" s="4"/>
      <c r="Q22" s="4"/>
    </row>
    <row r="24" spans="1:17" x14ac:dyDescent="0.3">
      <c r="B24" t="s">
        <v>285</v>
      </c>
    </row>
    <row r="25" spans="1:17" x14ac:dyDescent="0.3">
      <c r="B25" t="s">
        <v>371</v>
      </c>
    </row>
    <row r="28" spans="1:17" x14ac:dyDescent="0.3">
      <c r="B28" t="s">
        <v>372</v>
      </c>
      <c r="C28">
        <v>13</v>
      </c>
    </row>
    <row r="29" spans="1:17" x14ac:dyDescent="0.3">
      <c r="B29" t="s">
        <v>373</v>
      </c>
      <c r="C29">
        <v>5</v>
      </c>
    </row>
    <row r="30" spans="1:17" x14ac:dyDescent="0.3">
      <c r="B30" t="s">
        <v>374</v>
      </c>
      <c r="C30">
        <v>2</v>
      </c>
    </row>
    <row r="31" spans="1:17" x14ac:dyDescent="0.3">
      <c r="B31" t="s">
        <v>373</v>
      </c>
      <c r="C31">
        <v>52</v>
      </c>
    </row>
    <row r="33" spans="1:17" x14ac:dyDescent="0.3">
      <c r="A33" t="s">
        <v>367</v>
      </c>
      <c r="B33">
        <f>_xlfn.HYPGEOM.DIST(C30,C29,C28,C31,FALSE)</f>
        <v>0.27427971188475386</v>
      </c>
    </row>
    <row r="38" spans="1:17" x14ac:dyDescent="0.3">
      <c r="A38" s="4"/>
      <c r="B38" s="4"/>
      <c r="C38" s="4"/>
      <c r="D38" s="4"/>
      <c r="E38" s="4"/>
      <c r="F38" s="4"/>
      <c r="G38" s="4"/>
      <c r="H38" s="4"/>
      <c r="I38" s="4"/>
      <c r="J38" s="4"/>
      <c r="K38" s="4"/>
      <c r="L38" s="4"/>
      <c r="M38" s="4"/>
      <c r="N38" s="4"/>
      <c r="O38" s="4"/>
      <c r="P38" s="4"/>
      <c r="Q38" s="4"/>
    </row>
    <row r="39" spans="1:17" x14ac:dyDescent="0.3">
      <c r="B39" t="s">
        <v>375</v>
      </c>
    </row>
    <row r="40" spans="1:17" x14ac:dyDescent="0.3">
      <c r="B40" t="s">
        <v>376</v>
      </c>
    </row>
    <row r="42" spans="1:17" x14ac:dyDescent="0.3">
      <c r="B42" t="s">
        <v>377</v>
      </c>
      <c r="C42" t="s">
        <v>378</v>
      </c>
    </row>
    <row r="43" spans="1:17" x14ac:dyDescent="0.3">
      <c r="C43" t="s">
        <v>379</v>
      </c>
    </row>
    <row r="45" spans="1:17" x14ac:dyDescent="0.3">
      <c r="B45">
        <v>8</v>
      </c>
      <c r="C45" t="s">
        <v>96</v>
      </c>
      <c r="D45" t="s">
        <v>380</v>
      </c>
    </row>
    <row r="46" spans="1:17" x14ac:dyDescent="0.3">
      <c r="B46">
        <v>10</v>
      </c>
      <c r="C46" t="s">
        <v>381</v>
      </c>
      <c r="D46" t="s">
        <v>382</v>
      </c>
      <c r="G46" t="s">
        <v>383</v>
      </c>
    </row>
    <row r="47" spans="1:17" x14ac:dyDescent="0.3">
      <c r="B47" s="51" t="s">
        <v>385</v>
      </c>
      <c r="C47" t="s">
        <v>359</v>
      </c>
      <c r="D47" t="s">
        <v>384</v>
      </c>
    </row>
    <row r="48" spans="1:17" x14ac:dyDescent="0.3">
      <c r="A48" t="s">
        <v>386</v>
      </c>
      <c r="B48">
        <f>_xlfn.BINOM.DIST(B45,B46,1/4,FALSE)</f>
        <v>3.862380981445312E-4</v>
      </c>
    </row>
    <row r="51" spans="1:24" x14ac:dyDescent="0.3">
      <c r="A51" s="4"/>
      <c r="B51" s="4"/>
      <c r="C51" s="4"/>
      <c r="D51" s="4"/>
      <c r="E51" s="4"/>
      <c r="F51" s="4"/>
      <c r="G51" s="4"/>
      <c r="H51" s="4"/>
      <c r="I51" s="4"/>
      <c r="J51" s="4"/>
      <c r="K51" s="4"/>
      <c r="L51" s="4"/>
      <c r="M51" s="4"/>
      <c r="N51" s="4"/>
      <c r="O51" s="4"/>
      <c r="P51" s="4"/>
      <c r="Q51" s="4"/>
      <c r="R51" s="4"/>
    </row>
    <row r="52" spans="1:24" x14ac:dyDescent="0.3">
      <c r="B52" t="s">
        <v>46</v>
      </c>
    </row>
    <row r="53" spans="1:24" x14ac:dyDescent="0.3">
      <c r="B53" t="s">
        <v>387</v>
      </c>
    </row>
    <row r="54" spans="1:24" x14ac:dyDescent="0.3">
      <c r="A54" s="52" t="s">
        <v>393</v>
      </c>
      <c r="B54" s="52"/>
      <c r="C54" s="52"/>
      <c r="D54" s="52"/>
      <c r="E54" s="52"/>
      <c r="F54" s="52"/>
      <c r="G54" s="52"/>
      <c r="H54" s="52"/>
      <c r="I54" s="52"/>
      <c r="J54" s="52"/>
      <c r="K54" s="52"/>
      <c r="L54" s="52"/>
      <c r="M54" s="52"/>
      <c r="N54" s="52"/>
      <c r="O54" s="52"/>
      <c r="P54" s="52"/>
      <c r="Q54" s="52"/>
      <c r="R54" s="52"/>
      <c r="S54" s="52"/>
      <c r="T54" s="52"/>
      <c r="U54" s="52"/>
      <c r="V54" s="52"/>
      <c r="W54" s="52"/>
      <c r="X54" s="52"/>
    </row>
    <row r="57" spans="1:24" x14ac:dyDescent="0.3">
      <c r="A57">
        <v>3</v>
      </c>
      <c r="B57" t="s">
        <v>96</v>
      </c>
      <c r="C57" t="s">
        <v>389</v>
      </c>
    </row>
    <row r="58" spans="1:24" x14ac:dyDescent="0.3">
      <c r="A58">
        <v>20</v>
      </c>
      <c r="B58" t="s">
        <v>388</v>
      </c>
      <c r="C58" t="s">
        <v>390</v>
      </c>
    </row>
    <row r="59" spans="1:24" x14ac:dyDescent="0.3">
      <c r="A59">
        <v>3</v>
      </c>
      <c r="B59" t="s">
        <v>96</v>
      </c>
      <c r="C59" t="s">
        <v>391</v>
      </c>
    </row>
    <row r="60" spans="1:24" x14ac:dyDescent="0.3">
      <c r="A60">
        <v>60</v>
      </c>
      <c r="B60" t="s">
        <v>388</v>
      </c>
      <c r="C60" t="s">
        <v>392</v>
      </c>
    </row>
    <row r="61" spans="1:24" x14ac:dyDescent="0.3">
      <c r="A61" t="s">
        <v>394</v>
      </c>
      <c r="B61">
        <f>_xlfn.HYPGEOM.DIST(3,20,3,60,FALSE)</f>
        <v>3.331385154880185E-2</v>
      </c>
    </row>
    <row r="66" spans="1:18" x14ac:dyDescent="0.3">
      <c r="A66" s="52" t="s">
        <v>395</v>
      </c>
      <c r="B66" s="52"/>
      <c r="C66" s="52"/>
      <c r="D66" s="52"/>
      <c r="E66" s="52"/>
      <c r="F66" s="52"/>
      <c r="G66" s="52"/>
      <c r="H66" s="52"/>
      <c r="I66" s="52"/>
      <c r="J66" s="52"/>
      <c r="K66" s="52"/>
      <c r="L66" s="52"/>
      <c r="M66" s="52"/>
      <c r="N66" s="52"/>
      <c r="O66" s="52"/>
      <c r="P66" s="52"/>
      <c r="Q66" s="52"/>
      <c r="R66" s="52"/>
    </row>
    <row r="68" spans="1:18" x14ac:dyDescent="0.3">
      <c r="B68" t="s">
        <v>396</v>
      </c>
    </row>
    <row r="69" spans="1:18" x14ac:dyDescent="0.3">
      <c r="B69" t="s">
        <v>397</v>
      </c>
    </row>
    <row r="71" spans="1:18" x14ac:dyDescent="0.3">
      <c r="B71" t="s">
        <v>398</v>
      </c>
    </row>
    <row r="72" spans="1:18" x14ac:dyDescent="0.3">
      <c r="A72">
        <v>3</v>
      </c>
      <c r="B72" t="s">
        <v>399</v>
      </c>
      <c r="C72" t="s">
        <v>400</v>
      </c>
    </row>
    <row r="73" spans="1:18" x14ac:dyDescent="0.3">
      <c r="A73">
        <v>10</v>
      </c>
      <c r="B73" t="s">
        <v>96</v>
      </c>
      <c r="C73" t="s">
        <v>401</v>
      </c>
    </row>
    <row r="74" spans="1:18" x14ac:dyDescent="0.3">
      <c r="A74" t="s">
        <v>403</v>
      </c>
      <c r="B74" t="s">
        <v>359</v>
      </c>
      <c r="C74" t="s">
        <v>402</v>
      </c>
    </row>
    <row r="75" spans="1:18" x14ac:dyDescent="0.3">
      <c r="A75">
        <f>3/10</f>
        <v>0.3</v>
      </c>
    </row>
    <row r="76" spans="1:18" x14ac:dyDescent="0.3">
      <c r="A76" t="s">
        <v>404</v>
      </c>
      <c r="B76">
        <f>_xlfn.BINOM.DIST(3,10,0.3,FALSE)</f>
        <v>0.26682793200000005</v>
      </c>
    </row>
    <row r="80" spans="1:18" x14ac:dyDescent="0.3">
      <c r="A80" s="56"/>
      <c r="B80" s="56"/>
      <c r="C80" s="56"/>
      <c r="D80" s="56"/>
      <c r="E80" s="56"/>
      <c r="F80" s="56"/>
      <c r="G80" s="56"/>
      <c r="H80" s="56"/>
      <c r="I80" s="56"/>
      <c r="J80" s="56"/>
    </row>
    <row r="81" spans="1:12" x14ac:dyDescent="0.3">
      <c r="A81" t="s">
        <v>471</v>
      </c>
    </row>
    <row r="82" spans="1:12" x14ac:dyDescent="0.3">
      <c r="A82" t="s">
        <v>472</v>
      </c>
    </row>
    <row r="85" spans="1:12" x14ac:dyDescent="0.3">
      <c r="A85" t="s">
        <v>473</v>
      </c>
    </row>
    <row r="86" spans="1:12" x14ac:dyDescent="0.3">
      <c r="A86" t="s">
        <v>474</v>
      </c>
    </row>
    <row r="88" spans="1:12" x14ac:dyDescent="0.3">
      <c r="B88" t="s">
        <v>3</v>
      </c>
      <c r="C88">
        <v>2</v>
      </c>
    </row>
    <row r="89" spans="1:12" x14ac:dyDescent="0.3">
      <c r="B89" t="s">
        <v>424</v>
      </c>
      <c r="C89">
        <v>3</v>
      </c>
    </row>
    <row r="92" spans="1:12" x14ac:dyDescent="0.3">
      <c r="A92" t="s">
        <v>475</v>
      </c>
      <c r="B92">
        <f>_xlfn.POISSON.DIST(3,2,FALSE )</f>
        <v>0.18044704431548364</v>
      </c>
    </row>
    <row r="95" spans="1:12" x14ac:dyDescent="0.3">
      <c r="A95" s="4"/>
      <c r="B95" s="4"/>
      <c r="C95" s="4"/>
      <c r="D95" s="4"/>
      <c r="E95" s="4"/>
      <c r="F95" s="4"/>
      <c r="G95" s="4"/>
      <c r="H95" s="4"/>
      <c r="I95" s="4"/>
      <c r="J95" s="4"/>
      <c r="K95" s="4"/>
      <c r="L95" s="4"/>
    </row>
    <row r="96" spans="1:12" x14ac:dyDescent="0.3">
      <c r="A96" t="s">
        <v>476</v>
      </c>
    </row>
    <row r="97" spans="1:15" x14ac:dyDescent="0.3">
      <c r="B97" t="s">
        <v>477</v>
      </c>
    </row>
    <row r="100" spans="1:15" x14ac:dyDescent="0.3">
      <c r="B100" t="s">
        <v>478</v>
      </c>
      <c r="C100">
        <v>3</v>
      </c>
    </row>
    <row r="101" spans="1:15" x14ac:dyDescent="0.3">
      <c r="B101" t="s">
        <v>479</v>
      </c>
      <c r="C101">
        <v>10</v>
      </c>
    </row>
    <row r="102" spans="1:15" x14ac:dyDescent="0.3">
      <c r="B102" t="s">
        <v>480</v>
      </c>
      <c r="C102">
        <v>0.3</v>
      </c>
    </row>
    <row r="103" spans="1:15" x14ac:dyDescent="0.3">
      <c r="B103">
        <f>_xlfn.BINOM.DIST(3,10,0.3,FALSE)</f>
        <v>0.26682793200000005</v>
      </c>
    </row>
    <row r="104" spans="1:15" x14ac:dyDescent="0.3">
      <c r="B104" t="s">
        <v>481</v>
      </c>
      <c r="C104" t="s">
        <v>482</v>
      </c>
    </row>
    <row r="106" spans="1:15" x14ac:dyDescent="0.3">
      <c r="A106" t="s">
        <v>483</v>
      </c>
    </row>
    <row r="111" spans="1:15" x14ac:dyDescent="0.3">
      <c r="A111" s="4"/>
      <c r="B111" s="4"/>
      <c r="C111" s="4"/>
      <c r="D111" s="4"/>
      <c r="E111" s="4"/>
      <c r="F111" s="4"/>
      <c r="G111" s="4"/>
      <c r="H111" s="4"/>
      <c r="I111" s="4"/>
      <c r="J111" s="4"/>
      <c r="K111" s="4"/>
      <c r="L111" s="4"/>
      <c r="M111" s="4"/>
      <c r="N111" s="4"/>
      <c r="O111" s="4"/>
    </row>
    <row r="119" spans="1:22" x14ac:dyDescent="0.3">
      <c r="A119" s="4"/>
      <c r="B119" s="4"/>
      <c r="C119" s="4"/>
      <c r="D119" s="4"/>
      <c r="E119" s="4"/>
      <c r="F119" s="4"/>
      <c r="G119" s="4"/>
      <c r="H119" s="4"/>
      <c r="I119" s="4"/>
      <c r="J119" s="4"/>
      <c r="K119" s="4"/>
      <c r="L119" s="4"/>
      <c r="M119" s="4"/>
      <c r="N119" s="4"/>
      <c r="O119" s="4"/>
      <c r="P119" s="4"/>
      <c r="Q119" s="4"/>
      <c r="R119" s="4"/>
      <c r="S119" s="4"/>
      <c r="T119" s="4"/>
      <c r="U119" s="4"/>
      <c r="V119" s="4"/>
    </row>
    <row r="121" spans="1:22" x14ac:dyDescent="0.3">
      <c r="A121" t="s">
        <v>484</v>
      </c>
    </row>
    <row r="122" spans="1:22" x14ac:dyDescent="0.3">
      <c r="B122" t="s">
        <v>485</v>
      </c>
    </row>
    <row r="125" spans="1:22" x14ac:dyDescent="0.3">
      <c r="B125" t="s">
        <v>487</v>
      </c>
      <c r="C125">
        <v>3</v>
      </c>
    </row>
    <row r="126" spans="1:22" x14ac:dyDescent="0.3">
      <c r="B126" t="s">
        <v>486</v>
      </c>
      <c r="C126" t="s">
        <v>488</v>
      </c>
      <c r="D126">
        <v>0.6</v>
      </c>
    </row>
    <row r="127" spans="1:22" x14ac:dyDescent="0.3">
      <c r="B127" t="s">
        <v>489</v>
      </c>
      <c r="C127">
        <v>10</v>
      </c>
    </row>
    <row r="128" spans="1:22" x14ac:dyDescent="0.3">
      <c r="A128" t="s">
        <v>490</v>
      </c>
      <c r="B128">
        <f>_xlfn.BINOM.DIST(C125,C127,D126,FALSE)</f>
        <v>4.2467328000000006E-2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18"/>
  <sheetViews>
    <sheetView tabSelected="1" topLeftCell="E42" zoomScale="85" zoomScaleNormal="85" workbookViewId="0">
      <selection activeCell="G54" sqref="G54"/>
    </sheetView>
  </sheetViews>
  <sheetFormatPr defaultRowHeight="14.4" x14ac:dyDescent="0.3"/>
  <cols>
    <col min="2" max="2" width="44.6640625" customWidth="1"/>
    <col min="3" max="3" width="217.109375" bestFit="1" customWidth="1"/>
    <col min="5" max="5" width="23" customWidth="1"/>
    <col min="6" max="6" width="16.6640625" customWidth="1"/>
    <col min="9" max="9" width="20.109375" bestFit="1" customWidth="1"/>
    <col min="10" max="10" width="17.21875" customWidth="1"/>
  </cols>
  <sheetData>
    <row r="2" spans="1:3" x14ac:dyDescent="0.3">
      <c r="B2" t="s">
        <v>405</v>
      </c>
    </row>
    <row r="3" spans="1:3" x14ac:dyDescent="0.3">
      <c r="B3" t="s">
        <v>406</v>
      </c>
    </row>
    <row r="4" spans="1:3" x14ac:dyDescent="0.3">
      <c r="B4" s="53" t="s">
        <v>407</v>
      </c>
    </row>
    <row r="5" spans="1:3" x14ac:dyDescent="0.3">
      <c r="B5" t="s">
        <v>408</v>
      </c>
    </row>
    <row r="6" spans="1:3" x14ac:dyDescent="0.3">
      <c r="B6" t="s">
        <v>409</v>
      </c>
    </row>
    <row r="7" spans="1:3" x14ac:dyDescent="0.3">
      <c r="B7" t="s">
        <v>410</v>
      </c>
    </row>
    <row r="8" spans="1:3" x14ac:dyDescent="0.3">
      <c r="B8" t="s">
        <v>411</v>
      </c>
    </row>
    <row r="9" spans="1:3" x14ac:dyDescent="0.3">
      <c r="B9" t="s">
        <v>412</v>
      </c>
    </row>
    <row r="10" spans="1:3" x14ac:dyDescent="0.3">
      <c r="A10" t="s">
        <v>73</v>
      </c>
    </row>
    <row r="11" spans="1:3" x14ac:dyDescent="0.3">
      <c r="A11" t="s">
        <v>413</v>
      </c>
    </row>
    <row r="12" spans="1:3" x14ac:dyDescent="0.3">
      <c r="A12" t="s">
        <v>414</v>
      </c>
      <c r="B12" t="s">
        <v>45</v>
      </c>
      <c r="C12" t="s">
        <v>418</v>
      </c>
    </row>
    <row r="13" spans="1:3" x14ac:dyDescent="0.3">
      <c r="A13" t="s">
        <v>415</v>
      </c>
      <c r="C13" t="s">
        <v>419</v>
      </c>
    </row>
    <row r="14" spans="1:3" x14ac:dyDescent="0.3">
      <c r="A14" t="s">
        <v>416</v>
      </c>
      <c r="C14" t="s">
        <v>421</v>
      </c>
    </row>
    <row r="15" spans="1:3" x14ac:dyDescent="0.3">
      <c r="A15" t="s">
        <v>417</v>
      </c>
      <c r="C15" t="s">
        <v>420</v>
      </c>
    </row>
    <row r="17" spans="1:18" ht="31.2" x14ac:dyDescent="0.6">
      <c r="A17" s="54" t="s">
        <v>295</v>
      </c>
    </row>
    <row r="19" spans="1:18" x14ac:dyDescent="0.3">
      <c r="B19" t="s">
        <v>422</v>
      </c>
    </row>
    <row r="20" spans="1:18" x14ac:dyDescent="0.3">
      <c r="B20" t="s">
        <v>423</v>
      </c>
      <c r="C20">
        <v>10</v>
      </c>
    </row>
    <row r="21" spans="1:18" x14ac:dyDescent="0.3">
      <c r="B21" t="s">
        <v>424</v>
      </c>
      <c r="C21">
        <v>180</v>
      </c>
      <c r="F21" t="s">
        <v>429</v>
      </c>
      <c r="G21">
        <v>180</v>
      </c>
    </row>
    <row r="22" spans="1:18" x14ac:dyDescent="0.3">
      <c r="B22" t="s">
        <v>425</v>
      </c>
      <c r="C22">
        <v>165</v>
      </c>
      <c r="F22" t="s">
        <v>3</v>
      </c>
      <c r="G22">
        <v>165</v>
      </c>
    </row>
    <row r="23" spans="1:18" x14ac:dyDescent="0.3">
      <c r="F23" t="s">
        <v>163</v>
      </c>
      <c r="G23">
        <v>10</v>
      </c>
    </row>
    <row r="24" spans="1:18" x14ac:dyDescent="0.3">
      <c r="F24" t="s">
        <v>428</v>
      </c>
      <c r="G24" t="s">
        <v>430</v>
      </c>
      <c r="I24">
        <f>1.5</f>
        <v>1.5</v>
      </c>
    </row>
    <row r="25" spans="1:18" x14ac:dyDescent="0.3">
      <c r="B25" t="s">
        <v>426</v>
      </c>
    </row>
    <row r="26" spans="1:18" x14ac:dyDescent="0.3">
      <c r="B26" t="s">
        <v>427</v>
      </c>
    </row>
    <row r="27" spans="1:18" x14ac:dyDescent="0.3">
      <c r="B27">
        <v>1.5</v>
      </c>
    </row>
    <row r="28" spans="1:18" x14ac:dyDescent="0.3">
      <c r="E28" t="s">
        <v>431</v>
      </c>
      <c r="F28" s="52">
        <f>_xlfn.NORM.S.DIST(1.5,TRUE)</f>
        <v>0.93319279873114191</v>
      </c>
    </row>
    <row r="30" spans="1:18" x14ac:dyDescent="0.3">
      <c r="A30" s="52"/>
      <c r="B30" s="52"/>
      <c r="C30" s="52"/>
      <c r="D30" s="52"/>
      <c r="E30" s="52"/>
      <c r="F30" s="52"/>
      <c r="G30" s="52"/>
      <c r="H30" s="52"/>
      <c r="I30" s="52"/>
      <c r="J30" s="52"/>
      <c r="K30" s="52"/>
      <c r="L30" s="52"/>
      <c r="M30" s="52"/>
      <c r="N30" s="52"/>
      <c r="O30" s="52"/>
      <c r="P30" s="52"/>
      <c r="Q30" s="52"/>
      <c r="R30" s="52"/>
    </row>
    <row r="33" spans="1:16" ht="15" x14ac:dyDescent="0.35">
      <c r="B33" t="s">
        <v>432</v>
      </c>
      <c r="C33" s="55" t="s">
        <v>433</v>
      </c>
    </row>
    <row r="35" spans="1:16" x14ac:dyDescent="0.3">
      <c r="B35" t="s">
        <v>434</v>
      </c>
    </row>
    <row r="37" spans="1:16" x14ac:dyDescent="0.3">
      <c r="B37">
        <v>3</v>
      </c>
      <c r="C37" t="s">
        <v>435</v>
      </c>
    </row>
    <row r="38" spans="1:16" x14ac:dyDescent="0.3">
      <c r="B38">
        <v>0.2</v>
      </c>
      <c r="C38" t="s">
        <v>436</v>
      </c>
    </row>
    <row r="39" spans="1:16" x14ac:dyDescent="0.3">
      <c r="B39">
        <v>5</v>
      </c>
      <c r="C39" t="s">
        <v>437</v>
      </c>
    </row>
    <row r="40" spans="1:16" x14ac:dyDescent="0.3">
      <c r="B40" s="51" t="s">
        <v>438</v>
      </c>
      <c r="C40" t="s">
        <v>439</v>
      </c>
      <c r="F40">
        <f>1/5</f>
        <v>0.2</v>
      </c>
    </row>
    <row r="41" spans="1:16" x14ac:dyDescent="0.3">
      <c r="B41">
        <f>_xlfn.EXPON.DIST(3,0.2,TRUE)</f>
        <v>0.45118836390597356</v>
      </c>
    </row>
    <row r="44" spans="1:16" x14ac:dyDescent="0.3">
      <c r="A44" s="56"/>
      <c r="B44" s="56"/>
      <c r="C44" s="56"/>
      <c r="D44" s="56"/>
      <c r="E44" s="56"/>
      <c r="F44" s="56"/>
      <c r="G44" s="56"/>
      <c r="H44" s="56"/>
      <c r="I44" s="56"/>
      <c r="J44" s="56"/>
      <c r="K44" s="56"/>
      <c r="L44" s="56"/>
      <c r="M44" s="56"/>
      <c r="N44" s="56"/>
      <c r="O44" s="56"/>
      <c r="P44" s="56"/>
    </row>
    <row r="47" spans="1:16" x14ac:dyDescent="0.3">
      <c r="B47" t="s">
        <v>375</v>
      </c>
    </row>
    <row r="48" spans="1:16" x14ac:dyDescent="0.3">
      <c r="C48" t="s">
        <v>440</v>
      </c>
    </row>
    <row r="49" spans="1:21" x14ac:dyDescent="0.3">
      <c r="B49" t="s">
        <v>441</v>
      </c>
      <c r="C49" t="s">
        <v>442</v>
      </c>
      <c r="E49">
        <v>1000</v>
      </c>
    </row>
    <row r="50" spans="1:21" x14ac:dyDescent="0.3">
      <c r="B50" t="s">
        <v>443</v>
      </c>
      <c r="C50" t="s">
        <v>444</v>
      </c>
      <c r="E50">
        <v>1100</v>
      </c>
    </row>
    <row r="51" spans="1:21" x14ac:dyDescent="0.3">
      <c r="B51" t="s">
        <v>49</v>
      </c>
      <c r="C51">
        <v>1000</v>
      </c>
    </row>
    <row r="52" spans="1:21" x14ac:dyDescent="0.3">
      <c r="B52" t="s">
        <v>445</v>
      </c>
      <c r="C52">
        <v>100</v>
      </c>
    </row>
    <row r="54" spans="1:21" x14ac:dyDescent="0.3">
      <c r="B54" t="s">
        <v>446</v>
      </c>
      <c r="C54" t="s">
        <v>447</v>
      </c>
      <c r="D54">
        <v>-1</v>
      </c>
    </row>
    <row r="55" spans="1:21" x14ac:dyDescent="0.3">
      <c r="B55" t="s">
        <v>448</v>
      </c>
      <c r="C55" t="s">
        <v>449</v>
      </c>
      <c r="D55">
        <v>1</v>
      </c>
    </row>
    <row r="56" spans="1:21" x14ac:dyDescent="0.3">
      <c r="B56" t="s">
        <v>450</v>
      </c>
      <c r="C56" t="s">
        <v>451</v>
      </c>
      <c r="E56">
        <f>-1-1</f>
        <v>-2</v>
      </c>
    </row>
    <row r="57" spans="1:21" x14ac:dyDescent="0.3">
      <c r="I57" t="s">
        <v>553</v>
      </c>
      <c r="J57" t="s">
        <v>554</v>
      </c>
    </row>
    <row r="58" spans="1:21" x14ac:dyDescent="0.3">
      <c r="A58" t="s">
        <v>452</v>
      </c>
      <c r="C58">
        <f>_xlfn.NORM.DIST(900,1000,100,FALSE)+_xlfn.NORM.DIST(1100,1000,100,FALSE)</f>
        <v>4.8394144903828673E-3</v>
      </c>
      <c r="I58">
        <f>_xlfn.NORM.S.DIST(1,FALSE)</f>
        <v>0.24197072451914337</v>
      </c>
      <c r="J58">
        <f>_xlfn.NORM.DIST(1100,1000,100,FALSE)</f>
        <v>2.4197072451914337E-3</v>
      </c>
    </row>
    <row r="59" spans="1:21" x14ac:dyDescent="0.3">
      <c r="A59" s="56"/>
      <c r="B59" s="56"/>
      <c r="C59" s="56"/>
      <c r="D59" s="56"/>
      <c r="E59" s="56"/>
      <c r="F59" s="56"/>
      <c r="G59" s="56"/>
      <c r="H59" s="56"/>
      <c r="I59" s="56"/>
      <c r="J59" s="56"/>
      <c r="K59" s="56"/>
      <c r="L59" s="56"/>
      <c r="M59" s="56"/>
      <c r="N59" s="56"/>
      <c r="O59" s="56"/>
      <c r="P59" s="56"/>
      <c r="Q59" s="56"/>
      <c r="R59" s="56"/>
      <c r="S59" s="56"/>
      <c r="T59" s="56"/>
      <c r="U59" s="56"/>
    </row>
    <row r="61" spans="1:21" x14ac:dyDescent="0.3">
      <c r="B61" t="s">
        <v>46</v>
      </c>
    </row>
    <row r="62" spans="1:21" x14ac:dyDescent="0.3">
      <c r="B62" t="s">
        <v>453</v>
      </c>
    </row>
    <row r="64" spans="1:21" x14ac:dyDescent="0.3">
      <c r="B64" t="s">
        <v>454</v>
      </c>
      <c r="C64" t="s">
        <v>455</v>
      </c>
    </row>
    <row r="65" spans="1:13" x14ac:dyDescent="0.3">
      <c r="C65" t="s">
        <v>456</v>
      </c>
    </row>
    <row r="68" spans="1:13" x14ac:dyDescent="0.3">
      <c r="C68" t="s">
        <v>457</v>
      </c>
      <c r="D68" t="s">
        <v>458</v>
      </c>
    </row>
    <row r="69" spans="1:13" x14ac:dyDescent="0.3">
      <c r="C69" t="s">
        <v>459</v>
      </c>
      <c r="D69" t="s">
        <v>460</v>
      </c>
    </row>
    <row r="70" spans="1:13" x14ac:dyDescent="0.3">
      <c r="C70" t="s">
        <v>424</v>
      </c>
      <c r="D70" t="s">
        <v>461</v>
      </c>
    </row>
    <row r="71" spans="1:13" x14ac:dyDescent="0.3">
      <c r="B71" t="s">
        <v>85</v>
      </c>
      <c r="C71" t="s">
        <v>462</v>
      </c>
      <c r="D71">
        <v>20</v>
      </c>
    </row>
    <row r="72" spans="1:13" x14ac:dyDescent="0.3">
      <c r="B72" t="s">
        <v>463</v>
      </c>
      <c r="C72" t="s">
        <v>464</v>
      </c>
      <c r="D72">
        <v>100</v>
      </c>
    </row>
    <row r="73" spans="1:13" x14ac:dyDescent="0.3">
      <c r="B73" t="s">
        <v>367</v>
      </c>
      <c r="C73" t="s">
        <v>465</v>
      </c>
    </row>
    <row r="74" spans="1:13" x14ac:dyDescent="0.3">
      <c r="C74">
        <v>0.2</v>
      </c>
    </row>
    <row r="76" spans="1:13" x14ac:dyDescent="0.3">
      <c r="A76" s="56" t="s">
        <v>466</v>
      </c>
      <c r="B76" s="56"/>
      <c r="C76" s="56"/>
      <c r="D76" s="56"/>
      <c r="E76" s="56"/>
      <c r="F76" s="56"/>
      <c r="G76" s="56"/>
      <c r="H76" s="56"/>
      <c r="I76" s="56"/>
      <c r="J76" s="56"/>
      <c r="K76" s="56"/>
      <c r="L76" s="56"/>
      <c r="M76" s="56"/>
    </row>
    <row r="79" spans="1:13" x14ac:dyDescent="0.3">
      <c r="B79" t="s">
        <v>467</v>
      </c>
    </row>
    <row r="80" spans="1:13" x14ac:dyDescent="0.3">
      <c r="B80" t="s">
        <v>468</v>
      </c>
    </row>
    <row r="81" spans="1:9" x14ac:dyDescent="0.3">
      <c r="B81" t="s">
        <v>469</v>
      </c>
      <c r="C81">
        <v>3</v>
      </c>
    </row>
    <row r="82" spans="1:9" x14ac:dyDescent="0.3">
      <c r="B82" t="s">
        <v>96</v>
      </c>
      <c r="C82">
        <v>10</v>
      </c>
    </row>
    <row r="83" spans="1:9" x14ac:dyDescent="0.3">
      <c r="B83" t="s">
        <v>359</v>
      </c>
      <c r="C83">
        <v>0.3</v>
      </c>
    </row>
    <row r="84" spans="1:9" x14ac:dyDescent="0.3">
      <c r="B84" t="s">
        <v>470</v>
      </c>
      <c r="C84">
        <v>0.3</v>
      </c>
    </row>
    <row r="85" spans="1:9" x14ac:dyDescent="0.3">
      <c r="B85">
        <f>_xlfn.BINOM.DIST(3,10,0.3,FALSE)</f>
        <v>0.26682793200000005</v>
      </c>
    </row>
    <row r="89" spans="1:9" x14ac:dyDescent="0.3">
      <c r="A89" s="56"/>
      <c r="B89" s="56"/>
      <c r="C89" s="56"/>
      <c r="D89" s="56"/>
      <c r="E89" s="56"/>
      <c r="F89" s="56"/>
      <c r="G89" s="56"/>
      <c r="H89" s="56"/>
      <c r="I89" s="56"/>
    </row>
    <row r="91" spans="1:9" x14ac:dyDescent="0.3">
      <c r="A91" t="s">
        <v>38</v>
      </c>
      <c r="B91">
        <v>1</v>
      </c>
    </row>
    <row r="92" spans="1:9" x14ac:dyDescent="0.3">
      <c r="B92" t="s">
        <v>491</v>
      </c>
    </row>
    <row r="93" spans="1:9" x14ac:dyDescent="0.3">
      <c r="B93" t="s">
        <v>494</v>
      </c>
      <c r="C93">
        <v>140</v>
      </c>
    </row>
    <row r="94" spans="1:9" x14ac:dyDescent="0.3">
      <c r="B94" t="s">
        <v>495</v>
      </c>
      <c r="C94">
        <v>160</v>
      </c>
    </row>
    <row r="95" spans="1:9" x14ac:dyDescent="0.3">
      <c r="B95" t="s">
        <v>3</v>
      </c>
      <c r="C95">
        <v>150</v>
      </c>
    </row>
    <row r="96" spans="1:9" x14ac:dyDescent="0.3">
      <c r="B96" t="s">
        <v>423</v>
      </c>
      <c r="C96">
        <v>10</v>
      </c>
    </row>
    <row r="97" spans="1:23" x14ac:dyDescent="0.3">
      <c r="B97" t="s">
        <v>492</v>
      </c>
      <c r="C97">
        <v>-1</v>
      </c>
    </row>
    <row r="98" spans="1:23" x14ac:dyDescent="0.3">
      <c r="B98" t="s">
        <v>493</v>
      </c>
      <c r="C98">
        <v>1</v>
      </c>
    </row>
    <row r="99" spans="1:23" x14ac:dyDescent="0.3">
      <c r="B99" t="s">
        <v>496</v>
      </c>
      <c r="C99">
        <v>-3</v>
      </c>
    </row>
    <row r="101" spans="1:23" x14ac:dyDescent="0.3">
      <c r="B101" t="s">
        <v>441</v>
      </c>
      <c r="C101">
        <f>_xlfn.NORM.DIST(C94,C95,C96,FALSE)</f>
        <v>2.4197072451914336E-2</v>
      </c>
    </row>
    <row r="102" spans="1:23" x14ac:dyDescent="0.3">
      <c r="B102" t="s">
        <v>443</v>
      </c>
      <c r="C102">
        <f>_xlfn.NORM.DIST(C93,C95,C96,FALSE)</f>
        <v>2.4197072451914336E-2</v>
      </c>
    </row>
    <row r="105" spans="1:23" x14ac:dyDescent="0.3">
      <c r="A105" s="4"/>
      <c r="B105" s="4"/>
      <c r="C105" s="4"/>
      <c r="D105" s="4"/>
      <c r="E105" s="4"/>
      <c r="F105" s="4"/>
      <c r="G105" s="4"/>
      <c r="H105" s="4"/>
      <c r="I105" s="4"/>
      <c r="J105" s="4"/>
      <c r="K105" s="4"/>
      <c r="L105" s="4"/>
      <c r="M105" s="4"/>
      <c r="N105" s="4"/>
      <c r="O105" s="4"/>
      <c r="P105" s="4"/>
      <c r="Q105" s="4"/>
      <c r="R105" s="4"/>
      <c r="S105" s="4"/>
      <c r="T105" s="4"/>
      <c r="U105" s="4"/>
      <c r="V105" s="4"/>
      <c r="W105" s="4"/>
    </row>
    <row r="107" spans="1:23" x14ac:dyDescent="0.3">
      <c r="A107" t="s">
        <v>497</v>
      </c>
      <c r="B107">
        <v>2</v>
      </c>
      <c r="D107" t="s">
        <v>498</v>
      </c>
    </row>
    <row r="109" spans="1:23" x14ac:dyDescent="0.3">
      <c r="C109" t="s">
        <v>3</v>
      </c>
      <c r="D109">
        <v>1000</v>
      </c>
    </row>
    <row r="110" spans="1:23" x14ac:dyDescent="0.3">
      <c r="C110" t="s">
        <v>499</v>
      </c>
      <c r="D110">
        <f>1/1000</f>
        <v>1E-3</v>
      </c>
    </row>
    <row r="111" spans="1:23" x14ac:dyDescent="0.3">
      <c r="C111" t="s">
        <v>424</v>
      </c>
      <c r="D111">
        <v>900</v>
      </c>
    </row>
    <row r="112" spans="1:23" x14ac:dyDescent="0.3">
      <c r="C112" t="s">
        <v>367</v>
      </c>
      <c r="D112">
        <f>1-EXP(0.001*900)</f>
        <v>-1.4596031111569499</v>
      </c>
    </row>
    <row r="114" spans="1:14" x14ac:dyDescent="0.3">
      <c r="C114" t="s">
        <v>500</v>
      </c>
      <c r="D114">
        <f>_xlfn.EXPON.DIST(D111,D110,FALSE)</f>
        <v>4.0656965974059914E-4</v>
      </c>
    </row>
    <row r="117" spans="1:14" x14ac:dyDescent="0.3">
      <c r="A117" s="4"/>
      <c r="B117" s="4"/>
      <c r="C117" s="4"/>
      <c r="D117" s="4"/>
      <c r="E117" s="4"/>
      <c r="F117" s="4"/>
      <c r="G117" s="4"/>
      <c r="H117" s="4"/>
      <c r="I117" s="4"/>
      <c r="J117" s="4"/>
      <c r="K117" s="4"/>
      <c r="L117" s="4"/>
      <c r="M117" s="4"/>
      <c r="N117" s="4"/>
    </row>
    <row r="118" spans="1:14" x14ac:dyDescent="0.3">
      <c r="B118" t="s">
        <v>501</v>
      </c>
      <c r="C118">
        <v>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0"/>
  <sheetViews>
    <sheetView topLeftCell="D36" workbookViewId="0">
      <selection activeCell="I61" sqref="I61"/>
    </sheetView>
  </sheetViews>
  <sheetFormatPr defaultRowHeight="14.4" x14ac:dyDescent="0.3"/>
  <cols>
    <col min="4" max="4" width="29.88671875" customWidth="1"/>
    <col min="5" max="5" width="24.33203125" customWidth="1"/>
    <col min="6" max="6" width="14.6640625" customWidth="1"/>
  </cols>
  <sheetData>
    <row r="2" spans="1:7" ht="31.2" x14ac:dyDescent="0.6">
      <c r="A2" s="57" t="s">
        <v>502</v>
      </c>
      <c r="B2" s="57"/>
      <c r="C2" s="57"/>
      <c r="D2" s="4"/>
      <c r="E2" s="4"/>
      <c r="F2" s="4"/>
      <c r="G2" s="4"/>
    </row>
    <row r="4" spans="1:7" x14ac:dyDescent="0.3">
      <c r="A4" t="s">
        <v>250</v>
      </c>
    </row>
    <row r="5" spans="1:7" x14ac:dyDescent="0.3">
      <c r="B5" t="s">
        <v>503</v>
      </c>
    </row>
    <row r="6" spans="1:7" x14ac:dyDescent="0.3">
      <c r="C6" t="s">
        <v>508</v>
      </c>
    </row>
    <row r="7" spans="1:7" x14ac:dyDescent="0.3">
      <c r="D7" t="s">
        <v>96</v>
      </c>
      <c r="E7">
        <v>100</v>
      </c>
    </row>
    <row r="8" spans="1:7" x14ac:dyDescent="0.3">
      <c r="D8" t="s">
        <v>504</v>
      </c>
      <c r="E8">
        <v>170</v>
      </c>
    </row>
    <row r="9" spans="1:7" x14ac:dyDescent="0.3">
      <c r="D9" t="s">
        <v>423</v>
      </c>
      <c r="E9">
        <v>8</v>
      </c>
    </row>
    <row r="10" spans="1:7" x14ac:dyDescent="0.3">
      <c r="D10" t="s">
        <v>505</v>
      </c>
      <c r="E10" s="58">
        <v>0.95</v>
      </c>
    </row>
    <row r="11" spans="1:7" x14ac:dyDescent="0.3">
      <c r="D11" t="s">
        <v>506</v>
      </c>
      <c r="E11" t="s">
        <v>507</v>
      </c>
      <c r="F11">
        <v>99</v>
      </c>
    </row>
    <row r="12" spans="1:7" x14ac:dyDescent="0.3">
      <c r="D12" t="s">
        <v>509</v>
      </c>
      <c r="E12">
        <f>8/SQRT(100)</f>
        <v>0.8</v>
      </c>
    </row>
    <row r="13" spans="1:7" x14ac:dyDescent="0.3">
      <c r="D13" t="s">
        <v>510</v>
      </c>
      <c r="E13">
        <f>_xlfn.T.INV(1-(1-95%)/2,99)</f>
        <v>1.9842169515864165</v>
      </c>
    </row>
    <row r="15" spans="1:7" ht="15" thickBot="1" x14ac:dyDescent="0.35"/>
    <row r="16" spans="1:7" x14ac:dyDescent="0.3">
      <c r="C16">
        <v>12</v>
      </c>
      <c r="E16" s="34" t="s">
        <v>310</v>
      </c>
      <c r="F16" s="34"/>
    </row>
    <row r="17" spans="3:6" x14ac:dyDescent="0.3">
      <c r="C17">
        <v>31</v>
      </c>
      <c r="E17" s="32"/>
      <c r="F17" s="32"/>
    </row>
    <row r="18" spans="3:6" x14ac:dyDescent="0.3">
      <c r="C18">
        <v>34</v>
      </c>
      <c r="E18" s="32" t="s">
        <v>253</v>
      </c>
      <c r="F18" s="32">
        <v>41</v>
      </c>
    </row>
    <row r="19" spans="3:6" x14ac:dyDescent="0.3">
      <c r="C19">
        <v>89</v>
      </c>
      <c r="E19" s="32" t="s">
        <v>254</v>
      </c>
      <c r="F19" s="32">
        <v>7.1959584616518031</v>
      </c>
    </row>
    <row r="20" spans="3:6" x14ac:dyDescent="0.3">
      <c r="C20">
        <v>15</v>
      </c>
      <c r="E20" s="32" t="s">
        <v>255</v>
      </c>
      <c r="F20" s="32">
        <v>34</v>
      </c>
    </row>
    <row r="21" spans="3:6" x14ac:dyDescent="0.3">
      <c r="C21">
        <v>35</v>
      </c>
      <c r="E21" s="32" t="s">
        <v>256</v>
      </c>
      <c r="F21" s="32">
        <v>34</v>
      </c>
    </row>
    <row r="22" spans="3:6" x14ac:dyDescent="0.3">
      <c r="C22">
        <v>66</v>
      </c>
      <c r="E22" s="32" t="s">
        <v>257</v>
      </c>
      <c r="F22" s="32">
        <v>23.866294224282075</v>
      </c>
    </row>
    <row r="23" spans="3:6" x14ac:dyDescent="0.3">
      <c r="C23">
        <v>34</v>
      </c>
      <c r="E23" s="32" t="s">
        <v>258</v>
      </c>
      <c r="F23" s="32">
        <v>569.6</v>
      </c>
    </row>
    <row r="24" spans="3:6" x14ac:dyDescent="0.3">
      <c r="C24">
        <v>67</v>
      </c>
      <c r="E24" s="32" t="s">
        <v>259</v>
      </c>
      <c r="F24" s="32">
        <v>3.8352978830009654E-2</v>
      </c>
    </row>
    <row r="25" spans="3:6" x14ac:dyDescent="0.3">
      <c r="C25">
        <v>45</v>
      </c>
      <c r="E25" s="32" t="s">
        <v>260</v>
      </c>
      <c r="F25" s="32">
        <v>0.84654964105959907</v>
      </c>
    </row>
    <row r="26" spans="3:6" x14ac:dyDescent="0.3">
      <c r="C26">
        <v>23</v>
      </c>
      <c r="E26" s="32" t="s">
        <v>261</v>
      </c>
      <c r="F26" s="32">
        <v>77</v>
      </c>
    </row>
    <row r="27" spans="3:6" x14ac:dyDescent="0.3">
      <c r="E27" s="32" t="s">
        <v>262</v>
      </c>
      <c r="F27" s="32">
        <v>12</v>
      </c>
    </row>
    <row r="28" spans="3:6" x14ac:dyDescent="0.3">
      <c r="E28" s="32" t="s">
        <v>263</v>
      </c>
      <c r="F28" s="32">
        <v>89</v>
      </c>
    </row>
    <row r="29" spans="3:6" x14ac:dyDescent="0.3">
      <c r="E29" s="32" t="s">
        <v>264</v>
      </c>
      <c r="F29" s="32">
        <v>451</v>
      </c>
    </row>
    <row r="30" spans="3:6" x14ac:dyDescent="0.3">
      <c r="E30" s="32" t="s">
        <v>265</v>
      </c>
      <c r="F30" s="32">
        <v>11</v>
      </c>
    </row>
    <row r="31" spans="3:6" x14ac:dyDescent="0.3">
      <c r="E31" s="32" t="s">
        <v>266</v>
      </c>
      <c r="F31" s="32">
        <v>89</v>
      </c>
    </row>
    <row r="32" spans="3:6" x14ac:dyDescent="0.3">
      <c r="E32" s="32" t="s">
        <v>267</v>
      </c>
      <c r="F32" s="32">
        <v>12</v>
      </c>
    </row>
    <row r="33" spans="1:14" ht="15" thickBot="1" x14ac:dyDescent="0.35">
      <c r="E33" s="33" t="s">
        <v>511</v>
      </c>
      <c r="F33" s="33">
        <v>16.033594625685765</v>
      </c>
    </row>
    <row r="34" spans="1:14" x14ac:dyDescent="0.3">
      <c r="C34" t="s">
        <v>514</v>
      </c>
      <c r="E34" s="32" t="s">
        <v>512</v>
      </c>
      <c r="F34">
        <f xml:space="preserve"> F18+F33</f>
        <v>57.033594625685765</v>
      </c>
    </row>
    <row r="35" spans="1:14" x14ac:dyDescent="0.3">
      <c r="C35" t="s">
        <v>515</v>
      </c>
      <c r="E35" s="32" t="s">
        <v>513</v>
      </c>
      <c r="F35">
        <f>F18-F33</f>
        <v>24.966405374314235</v>
      </c>
    </row>
    <row r="37" spans="1:14" x14ac:dyDescent="0.3">
      <c r="A37" s="4"/>
      <c r="B37" s="4"/>
      <c r="C37" s="4"/>
      <c r="D37" s="4"/>
      <c r="E37" s="4"/>
      <c r="F37" s="4"/>
      <c r="G37" s="4"/>
      <c r="H37" s="4"/>
      <c r="I37" s="4"/>
      <c r="J37" s="4"/>
      <c r="K37" s="4"/>
      <c r="L37" s="4"/>
      <c r="M37" s="4"/>
      <c r="N37" s="4"/>
    </row>
    <row r="38" spans="1:14" x14ac:dyDescent="0.3">
      <c r="B38" t="s">
        <v>497</v>
      </c>
      <c r="C38">
        <v>2</v>
      </c>
    </row>
    <row r="39" spans="1:14" x14ac:dyDescent="0.3">
      <c r="B39" t="s">
        <v>516</v>
      </c>
    </row>
    <row r="40" spans="1:14" ht="15" thickBot="1" x14ac:dyDescent="0.35"/>
    <row r="41" spans="1:14" x14ac:dyDescent="0.3">
      <c r="B41">
        <v>12</v>
      </c>
      <c r="D41" s="34" t="s">
        <v>310</v>
      </c>
      <c r="E41" s="34"/>
    </row>
    <row r="42" spans="1:14" x14ac:dyDescent="0.3">
      <c r="B42">
        <v>45</v>
      </c>
      <c r="D42" s="32"/>
      <c r="E42" s="32"/>
    </row>
    <row r="43" spans="1:14" x14ac:dyDescent="0.3">
      <c r="B43">
        <v>67</v>
      </c>
      <c r="D43" s="32" t="s">
        <v>253</v>
      </c>
      <c r="E43" s="32">
        <v>49.470588235294102</v>
      </c>
    </row>
    <row r="44" spans="1:14" x14ac:dyDescent="0.3">
      <c r="B44">
        <v>89</v>
      </c>
      <c r="D44" s="32" t="s">
        <v>254</v>
      </c>
      <c r="E44" s="32">
        <v>5.9049565714513648</v>
      </c>
    </row>
    <row r="45" spans="1:14" x14ac:dyDescent="0.3">
      <c r="B45">
        <v>56</v>
      </c>
      <c r="D45" s="32" t="s">
        <v>255</v>
      </c>
      <c r="E45" s="32">
        <v>45</v>
      </c>
    </row>
    <row r="46" spans="1:14" x14ac:dyDescent="0.3">
      <c r="B46">
        <v>45</v>
      </c>
      <c r="D46" s="32" t="s">
        <v>256</v>
      </c>
      <c r="E46" s="32">
        <v>23</v>
      </c>
    </row>
    <row r="47" spans="1:14" x14ac:dyDescent="0.3">
      <c r="B47">
        <v>23</v>
      </c>
      <c r="D47" s="32" t="s">
        <v>257</v>
      </c>
      <c r="E47" s="32">
        <v>24.346759658779096</v>
      </c>
    </row>
    <row r="48" spans="1:14" x14ac:dyDescent="0.3">
      <c r="B48">
        <v>33</v>
      </c>
      <c r="D48" s="32" t="s">
        <v>258</v>
      </c>
      <c r="E48" s="32">
        <v>592.76470588235316</v>
      </c>
    </row>
    <row r="49" spans="2:9" x14ac:dyDescent="0.3">
      <c r="B49">
        <v>67</v>
      </c>
      <c r="D49" s="32" t="s">
        <v>259</v>
      </c>
      <c r="E49" s="32">
        <v>-1.1060270567673007</v>
      </c>
    </row>
    <row r="50" spans="2:9" x14ac:dyDescent="0.3">
      <c r="B50">
        <v>23</v>
      </c>
      <c r="D50" s="32" t="s">
        <v>260</v>
      </c>
      <c r="E50" s="32">
        <v>0.15673907621083075</v>
      </c>
    </row>
    <row r="51" spans="2:9" x14ac:dyDescent="0.3">
      <c r="B51">
        <v>78</v>
      </c>
      <c r="D51" s="32" t="s">
        <v>261</v>
      </c>
      <c r="E51" s="32">
        <v>77</v>
      </c>
    </row>
    <row r="52" spans="2:9" x14ac:dyDescent="0.3">
      <c r="B52">
        <v>23</v>
      </c>
      <c r="D52" s="32" t="s">
        <v>262</v>
      </c>
      <c r="E52" s="32">
        <v>12</v>
      </c>
    </row>
    <row r="53" spans="2:9" x14ac:dyDescent="0.3">
      <c r="B53">
        <v>89</v>
      </c>
      <c r="D53" s="32" t="s">
        <v>263</v>
      </c>
      <c r="E53" s="32">
        <v>89</v>
      </c>
    </row>
    <row r="54" spans="2:9" x14ac:dyDescent="0.3">
      <c r="B54">
        <v>67</v>
      </c>
      <c r="D54" s="32" t="s">
        <v>264</v>
      </c>
      <c r="E54" s="32">
        <v>841</v>
      </c>
    </row>
    <row r="55" spans="2:9" x14ac:dyDescent="0.3">
      <c r="B55">
        <v>56</v>
      </c>
      <c r="D55" s="32" t="s">
        <v>265</v>
      </c>
      <c r="E55" s="32">
        <v>17</v>
      </c>
    </row>
    <row r="56" spans="2:9" x14ac:dyDescent="0.3">
      <c r="B56">
        <v>45</v>
      </c>
      <c r="D56" s="32" t="s">
        <v>266</v>
      </c>
      <c r="E56" s="32">
        <v>89</v>
      </c>
    </row>
    <row r="57" spans="2:9" x14ac:dyDescent="0.3">
      <c r="B57">
        <v>23</v>
      </c>
      <c r="D57" s="32" t="s">
        <v>267</v>
      </c>
      <c r="E57" s="32">
        <v>12</v>
      </c>
    </row>
    <row r="58" spans="2:9" ht="15" thickBot="1" x14ac:dyDescent="0.35">
      <c r="D58" s="33" t="s">
        <v>517</v>
      </c>
      <c r="E58" s="33">
        <v>10.309367287217114</v>
      </c>
    </row>
    <row r="59" spans="2:9" x14ac:dyDescent="0.3">
      <c r="D59" s="32" t="s">
        <v>518</v>
      </c>
      <c r="F59" t="s">
        <v>520</v>
      </c>
      <c r="I59">
        <f>E43+E58</f>
        <v>59.779955522511216</v>
      </c>
    </row>
    <row r="60" spans="2:9" x14ac:dyDescent="0.3">
      <c r="D60" t="s">
        <v>519</v>
      </c>
      <c r="F60" t="s">
        <v>521</v>
      </c>
      <c r="I60">
        <f>E43-E58</f>
        <v>39.161220948076988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measure ofthe centraltendency</vt:lpstr>
      <vt:lpstr>measure of dispersion</vt:lpstr>
      <vt:lpstr>more STATISTICS </vt:lpstr>
      <vt:lpstr>kurtosis and skenwess</vt:lpstr>
      <vt:lpstr>Quartilr and persantage  </vt:lpstr>
      <vt:lpstr>CORELATION AND COVRAINCE</vt:lpstr>
      <vt:lpstr>descreate random variables</vt:lpstr>
      <vt:lpstr>continues  random varible quest</vt:lpstr>
      <vt:lpstr>confidenceintervalandhypothesis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malam</dc:creator>
  <cp:lastModifiedBy>prashant malam</cp:lastModifiedBy>
  <dcterms:created xsi:type="dcterms:W3CDTF">2023-08-07T17:35:55Z</dcterms:created>
  <dcterms:modified xsi:type="dcterms:W3CDTF">2023-08-24T12:27:06Z</dcterms:modified>
</cp:coreProperties>
</file>