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bb28a15903a609/Desktop/"/>
    </mc:Choice>
  </mc:AlternateContent>
  <xr:revisionPtr revIDLastSave="1096" documentId="8_{E51B4D66-568D-4200-BEBB-59712E47880A}" xr6:coauthVersionLast="47" xr6:coauthVersionMax="47" xr10:uidLastSave="{910F5603-4B03-4A0E-901A-93BD0E2D9704}"/>
  <bookViews>
    <workbookView xWindow="-110" yWindow="-110" windowWidth="19420" windowHeight="11020" firstSheet="6" activeTab="10" xr2:uid="{55B6476E-0351-4E4C-88A8-D379FCB42DEA}"/>
  </bookViews>
  <sheets>
    <sheet name="Sheet1" sheetId="1" r:id="rId1"/>
    <sheet name="Sheet2" sheetId="2" r:id="rId2"/>
    <sheet name="Sheet3" sheetId="3" r:id="rId3"/>
    <sheet name="Sales - pivot table" sheetId="5" r:id="rId4"/>
    <sheet name="Sheet4" sheetId="4" r:id="rId5"/>
    <sheet name="car inventory - Pivot table" sheetId="8" r:id="rId6"/>
    <sheet name="car inventory" sheetId="7" r:id="rId7"/>
    <sheet name="Loan Problem" sheetId="6" r:id="rId8"/>
    <sheet name="Shopping list" sheetId="9" r:id="rId9"/>
    <sheet name="Cat vs Dog" sheetId="10" r:id="rId10"/>
    <sheet name="Vacation" sheetId="11" r:id="rId11"/>
  </sheets>
  <definedNames>
    <definedName name="_xlnm._FilterDatabase" localSheetId="4" hidden="1">Sheet4!$A$1:$K$172</definedName>
    <definedName name="_xlchart.v1.0" hidden="1">'car inventory - Pivot table'!$A$4:$A$22</definedName>
    <definedName name="_xlchart.v1.1" hidden="1">'car inventory - Pivot table'!$B$3</definedName>
    <definedName name="_xlchart.v1.2" hidden="1">'car inventory - Pivot table'!$B$4:$B$22</definedName>
    <definedName name="_xlchart.v1.3" hidden="1">'car inventory - Pivot table'!$A$4:$A$22</definedName>
    <definedName name="_xlchart.v1.4" hidden="1">'car inventory - Pivot table'!$B$3</definedName>
    <definedName name="_xlchart.v1.5" hidden="1">'car inventory - Pivot table'!$B$4:$B$22</definedName>
    <definedName name="ExternalData_1" localSheetId="6" hidden="1">'car inventory'!$A$1:$N$66</definedName>
  </definedNames>
  <calcPr calcId="191029"/>
  <pivotCaches>
    <pivotCache cacheId="3" r:id="rId12"/>
    <pivotCache cacheId="6" r:id="rId1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1" l="1"/>
  <c r="H32" i="11"/>
  <c r="G32" i="11"/>
  <c r="I26" i="11"/>
  <c r="H26" i="11"/>
  <c r="G26" i="11"/>
  <c r="I21" i="11"/>
  <c r="H21" i="11"/>
  <c r="G21" i="11"/>
  <c r="I14" i="11"/>
  <c r="I16" i="11" s="1"/>
  <c r="H14" i="11"/>
  <c r="H16" i="11" s="1"/>
  <c r="H35" i="11" s="1"/>
  <c r="G14" i="11"/>
  <c r="G16" i="11" s="1"/>
  <c r="C32" i="11"/>
  <c r="D32" i="11"/>
  <c r="B32" i="11"/>
  <c r="C26" i="11"/>
  <c r="D26" i="11"/>
  <c r="B26" i="11"/>
  <c r="C21" i="11"/>
  <c r="D21" i="11"/>
  <c r="B21" i="11"/>
  <c r="D14" i="11"/>
  <c r="D16" i="11" s="1"/>
  <c r="C14" i="11"/>
  <c r="C16" i="11" s="1"/>
  <c r="B14" i="11"/>
  <c r="B16" i="11" s="1"/>
  <c r="C18" i="10"/>
  <c r="B18" i="10"/>
  <c r="C16" i="10"/>
  <c r="B16" i="10"/>
  <c r="C15" i="10"/>
  <c r="B15" i="10"/>
  <c r="C9" i="10"/>
  <c r="B9" i="10"/>
  <c r="C19" i="9"/>
  <c r="D19" i="9"/>
  <c r="B19" i="9"/>
  <c r="C18" i="9"/>
  <c r="D18" i="9"/>
  <c r="B18" i="9"/>
  <c r="E3" i="6"/>
  <c r="F3" i="6"/>
  <c r="G3" i="6" s="1"/>
  <c r="E4" i="6"/>
  <c r="F4" i="6" s="1"/>
  <c r="G4" i="6" s="1"/>
  <c r="E5" i="6"/>
  <c r="F5" i="6"/>
  <c r="G5" i="6" s="1"/>
  <c r="G2" i="6"/>
  <c r="F2" i="6"/>
  <c r="E2" i="6"/>
  <c r="M24" i="7"/>
  <c r="M36" i="7"/>
  <c r="M21" i="7"/>
  <c r="M18" i="7"/>
  <c r="M28" i="7"/>
  <c r="M37" i="7"/>
  <c r="M23" i="7"/>
  <c r="M35" i="7"/>
  <c r="M34" i="7"/>
  <c r="M7" i="7"/>
  <c r="M19" i="7"/>
  <c r="M3" i="7"/>
  <c r="M9" i="7"/>
  <c r="M8" i="7"/>
  <c r="M5" i="7"/>
  <c r="M20" i="7"/>
  <c r="M41" i="7"/>
  <c r="M47" i="7"/>
  <c r="M53" i="7"/>
  <c r="M49" i="7"/>
  <c r="M51" i="7"/>
  <c r="M39" i="7"/>
  <c r="M48" i="7"/>
  <c r="M32" i="7"/>
  <c r="M50" i="7"/>
  <c r="M12" i="7"/>
  <c r="M31" i="7"/>
  <c r="M10" i="7"/>
  <c r="M44" i="7"/>
  <c r="M38" i="7"/>
  <c r="M6" i="7"/>
  <c r="M26" i="7"/>
  <c r="M27" i="7"/>
  <c r="M15" i="7"/>
  <c r="M4" i="7"/>
  <c r="M45" i="7"/>
  <c r="M42" i="7"/>
  <c r="M30" i="7"/>
  <c r="M33" i="7"/>
  <c r="M2" i="7"/>
  <c r="M46" i="7"/>
  <c r="M25" i="7"/>
  <c r="M16" i="7"/>
  <c r="M40" i="7"/>
  <c r="M43" i="7"/>
  <c r="M52" i="7"/>
  <c r="M29" i="7"/>
  <c r="M22" i="7"/>
  <c r="M11" i="7"/>
  <c r="M13" i="7"/>
  <c r="M17" i="7"/>
  <c r="M14" i="7"/>
  <c r="F28" i="7"/>
  <c r="G28" i="7" s="1"/>
  <c r="I28" i="7" s="1"/>
  <c r="F24" i="7"/>
  <c r="G24" i="7" s="1"/>
  <c r="I24" i="7" s="1"/>
  <c r="F36" i="7"/>
  <c r="G36" i="7" s="1"/>
  <c r="I36" i="7" s="1"/>
  <c r="F21" i="7"/>
  <c r="G21" i="7" s="1"/>
  <c r="I21" i="7" s="1"/>
  <c r="F18" i="7"/>
  <c r="G18" i="7" s="1"/>
  <c r="I18" i="7" s="1"/>
  <c r="F37" i="7"/>
  <c r="G37" i="7" s="1"/>
  <c r="I37" i="7" s="1"/>
  <c r="F23" i="7"/>
  <c r="G23" i="7" s="1"/>
  <c r="I23" i="7" s="1"/>
  <c r="F35" i="7"/>
  <c r="G35" i="7" s="1"/>
  <c r="I35" i="7" s="1"/>
  <c r="F34" i="7"/>
  <c r="G34" i="7" s="1"/>
  <c r="I34" i="7" s="1"/>
  <c r="F7" i="7"/>
  <c r="G7" i="7" s="1"/>
  <c r="I7" i="7" s="1"/>
  <c r="F19" i="7"/>
  <c r="G19" i="7" s="1"/>
  <c r="I19" i="7" s="1"/>
  <c r="F3" i="7"/>
  <c r="G3" i="7" s="1"/>
  <c r="I3" i="7" s="1"/>
  <c r="F9" i="7"/>
  <c r="G9" i="7" s="1"/>
  <c r="I9" i="7" s="1"/>
  <c r="F8" i="7"/>
  <c r="G8" i="7" s="1"/>
  <c r="I8" i="7" s="1"/>
  <c r="F5" i="7"/>
  <c r="G5" i="7" s="1"/>
  <c r="I5" i="7" s="1"/>
  <c r="F20" i="7"/>
  <c r="G20" i="7" s="1"/>
  <c r="I20" i="7" s="1"/>
  <c r="F41" i="7"/>
  <c r="G41" i="7" s="1"/>
  <c r="I41" i="7" s="1"/>
  <c r="F47" i="7"/>
  <c r="G47" i="7" s="1"/>
  <c r="I47" i="7" s="1"/>
  <c r="F53" i="7"/>
  <c r="G53" i="7" s="1"/>
  <c r="I53" i="7" s="1"/>
  <c r="F49" i="7"/>
  <c r="G49" i="7" s="1"/>
  <c r="I49" i="7" s="1"/>
  <c r="F51" i="7"/>
  <c r="G51" i="7" s="1"/>
  <c r="I51" i="7" s="1"/>
  <c r="F39" i="7"/>
  <c r="G39" i="7" s="1"/>
  <c r="I39" i="7" s="1"/>
  <c r="F48" i="7"/>
  <c r="G48" i="7" s="1"/>
  <c r="I48" i="7" s="1"/>
  <c r="F32" i="7"/>
  <c r="G32" i="7" s="1"/>
  <c r="I32" i="7" s="1"/>
  <c r="F50" i="7"/>
  <c r="G50" i="7" s="1"/>
  <c r="I50" i="7" s="1"/>
  <c r="F12" i="7"/>
  <c r="G12" i="7" s="1"/>
  <c r="I12" i="7" s="1"/>
  <c r="F31" i="7"/>
  <c r="G31" i="7" s="1"/>
  <c r="I31" i="7" s="1"/>
  <c r="F10" i="7"/>
  <c r="G10" i="7" s="1"/>
  <c r="I10" i="7" s="1"/>
  <c r="F44" i="7"/>
  <c r="G44" i="7" s="1"/>
  <c r="I44" i="7" s="1"/>
  <c r="F38" i="7"/>
  <c r="G38" i="7" s="1"/>
  <c r="I38" i="7" s="1"/>
  <c r="F6" i="7"/>
  <c r="G6" i="7" s="1"/>
  <c r="I6" i="7" s="1"/>
  <c r="F26" i="7"/>
  <c r="G26" i="7" s="1"/>
  <c r="I26" i="7" s="1"/>
  <c r="F27" i="7"/>
  <c r="G27" i="7" s="1"/>
  <c r="I27" i="7" s="1"/>
  <c r="F15" i="7"/>
  <c r="G15" i="7" s="1"/>
  <c r="I15" i="7" s="1"/>
  <c r="F4" i="7"/>
  <c r="G4" i="7" s="1"/>
  <c r="I4" i="7" s="1"/>
  <c r="F45" i="7"/>
  <c r="G45" i="7" s="1"/>
  <c r="I45" i="7" s="1"/>
  <c r="F42" i="7"/>
  <c r="G42" i="7" s="1"/>
  <c r="I42" i="7" s="1"/>
  <c r="F30" i="7"/>
  <c r="G30" i="7" s="1"/>
  <c r="I30" i="7" s="1"/>
  <c r="F33" i="7"/>
  <c r="G33" i="7" s="1"/>
  <c r="I33" i="7" s="1"/>
  <c r="F2" i="7"/>
  <c r="G2" i="7" s="1"/>
  <c r="I2" i="7" s="1"/>
  <c r="F46" i="7"/>
  <c r="G46" i="7" s="1"/>
  <c r="I46" i="7" s="1"/>
  <c r="F25" i="7"/>
  <c r="G25" i="7" s="1"/>
  <c r="I25" i="7" s="1"/>
  <c r="F16" i="7"/>
  <c r="G16" i="7" s="1"/>
  <c r="I16" i="7" s="1"/>
  <c r="F40" i="7"/>
  <c r="G40" i="7" s="1"/>
  <c r="I40" i="7" s="1"/>
  <c r="F43" i="7"/>
  <c r="G43" i="7" s="1"/>
  <c r="I43" i="7" s="1"/>
  <c r="F52" i="7"/>
  <c r="G52" i="7" s="1"/>
  <c r="I52" i="7" s="1"/>
  <c r="F29" i="7"/>
  <c r="G29" i="7" s="1"/>
  <c r="I29" i="7" s="1"/>
  <c r="F22" i="7"/>
  <c r="G22" i="7" s="1"/>
  <c r="I22" i="7" s="1"/>
  <c r="F11" i="7"/>
  <c r="G11" i="7" s="1"/>
  <c r="I11" i="7" s="1"/>
  <c r="F13" i="7"/>
  <c r="G13" i="7" s="1"/>
  <c r="I13" i="7" s="1"/>
  <c r="F17" i="7"/>
  <c r="G17" i="7" s="1"/>
  <c r="I17" i="7" s="1"/>
  <c r="F14" i="7"/>
  <c r="G14" i="7" s="1"/>
  <c r="I14" i="7" s="1"/>
  <c r="D24" i="7"/>
  <c r="E24" i="7" s="1"/>
  <c r="D36" i="7"/>
  <c r="E36" i="7" s="1"/>
  <c r="D21" i="7"/>
  <c r="E21" i="7" s="1"/>
  <c r="D18" i="7"/>
  <c r="E18" i="7" s="1"/>
  <c r="D28" i="7"/>
  <c r="E28" i="7" s="1"/>
  <c r="D37" i="7"/>
  <c r="E37" i="7" s="1"/>
  <c r="D23" i="7"/>
  <c r="E23" i="7" s="1"/>
  <c r="D35" i="7"/>
  <c r="E35" i="7" s="1"/>
  <c r="D34" i="7"/>
  <c r="E34" i="7" s="1"/>
  <c r="D7" i="7"/>
  <c r="E7" i="7" s="1"/>
  <c r="D19" i="7"/>
  <c r="E19" i="7" s="1"/>
  <c r="D3" i="7"/>
  <c r="E3" i="7" s="1"/>
  <c r="D9" i="7"/>
  <c r="E9" i="7" s="1"/>
  <c r="D8" i="7"/>
  <c r="E8" i="7" s="1"/>
  <c r="D5" i="7"/>
  <c r="E5" i="7" s="1"/>
  <c r="D20" i="7"/>
  <c r="E20" i="7" s="1"/>
  <c r="D41" i="7"/>
  <c r="E41" i="7" s="1"/>
  <c r="D47" i="7"/>
  <c r="E47" i="7" s="1"/>
  <c r="D53" i="7"/>
  <c r="E53" i="7" s="1"/>
  <c r="D49" i="7"/>
  <c r="E49" i="7" s="1"/>
  <c r="D51" i="7"/>
  <c r="E51" i="7" s="1"/>
  <c r="D39" i="7"/>
  <c r="E39" i="7" s="1"/>
  <c r="D48" i="7"/>
  <c r="E48" i="7" s="1"/>
  <c r="D32" i="7"/>
  <c r="E32" i="7" s="1"/>
  <c r="D50" i="7"/>
  <c r="E50" i="7" s="1"/>
  <c r="D12" i="7"/>
  <c r="E12" i="7" s="1"/>
  <c r="D31" i="7"/>
  <c r="E31" i="7" s="1"/>
  <c r="D10" i="7"/>
  <c r="E10" i="7" s="1"/>
  <c r="D44" i="7"/>
  <c r="E44" i="7" s="1"/>
  <c r="D38" i="7"/>
  <c r="E38" i="7" s="1"/>
  <c r="D6" i="7"/>
  <c r="E6" i="7" s="1"/>
  <c r="D26" i="7"/>
  <c r="E26" i="7" s="1"/>
  <c r="D27" i="7"/>
  <c r="E27" i="7" s="1"/>
  <c r="D15" i="7"/>
  <c r="E15" i="7" s="1"/>
  <c r="D4" i="7"/>
  <c r="E4" i="7" s="1"/>
  <c r="D45" i="7"/>
  <c r="E45" i="7" s="1"/>
  <c r="D42" i="7"/>
  <c r="E42" i="7" s="1"/>
  <c r="D30" i="7"/>
  <c r="E30" i="7" s="1"/>
  <c r="D33" i="7"/>
  <c r="E33" i="7" s="1"/>
  <c r="D2" i="7"/>
  <c r="E2" i="7" s="1"/>
  <c r="D46" i="7"/>
  <c r="E46" i="7" s="1"/>
  <c r="D25" i="7"/>
  <c r="E25" i="7" s="1"/>
  <c r="D16" i="7"/>
  <c r="E16" i="7" s="1"/>
  <c r="D40" i="7"/>
  <c r="E40" i="7" s="1"/>
  <c r="D43" i="7"/>
  <c r="E43" i="7" s="1"/>
  <c r="D52" i="7"/>
  <c r="E52" i="7" s="1"/>
  <c r="D29" i="7"/>
  <c r="E29" i="7" s="1"/>
  <c r="D22" i="7"/>
  <c r="E22" i="7" s="1"/>
  <c r="D11" i="7"/>
  <c r="E11" i="7" s="1"/>
  <c r="D13" i="7"/>
  <c r="E13" i="7" s="1"/>
  <c r="D17" i="7"/>
  <c r="E17" i="7" s="1"/>
  <c r="D14" i="7"/>
  <c r="E14" i="7" s="1"/>
  <c r="C6" i="7"/>
  <c r="B39" i="7"/>
  <c r="C39" i="7" s="1"/>
  <c r="B48" i="7"/>
  <c r="B32" i="7"/>
  <c r="C32" i="7" s="1"/>
  <c r="B50" i="7"/>
  <c r="N50" i="7" s="1"/>
  <c r="B12" i="7"/>
  <c r="B31" i="7"/>
  <c r="C31" i="7" s="1"/>
  <c r="B10" i="7"/>
  <c r="C10" i="7" s="1"/>
  <c r="B44" i="7"/>
  <c r="C44" i="7" s="1"/>
  <c r="B38" i="7"/>
  <c r="B6" i="7"/>
  <c r="B26" i="7"/>
  <c r="C26" i="7" s="1"/>
  <c r="B27" i="7"/>
  <c r="N27" i="7" s="1"/>
  <c r="B15" i="7"/>
  <c r="B4" i="7"/>
  <c r="C4" i="7" s="1"/>
  <c r="B45" i="7"/>
  <c r="C45" i="7" s="1"/>
  <c r="B42" i="7"/>
  <c r="C42" i="7" s="1"/>
  <c r="B30" i="7"/>
  <c r="B33" i="7"/>
  <c r="C33" i="7" s="1"/>
  <c r="B2" i="7"/>
  <c r="N2" i="7" s="1"/>
  <c r="B46" i="7"/>
  <c r="N46" i="7" s="1"/>
  <c r="B25" i="7"/>
  <c r="B16" i="7"/>
  <c r="C16" i="7" s="1"/>
  <c r="B40" i="7"/>
  <c r="N40" i="7" s="1"/>
  <c r="B43" i="7"/>
  <c r="C43" i="7" s="1"/>
  <c r="B52" i="7"/>
  <c r="C52" i="7" s="1"/>
  <c r="B29" i="7"/>
  <c r="B22" i="7"/>
  <c r="N22" i="7" s="1"/>
  <c r="B11" i="7"/>
  <c r="N11" i="7" s="1"/>
  <c r="B13" i="7"/>
  <c r="B17" i="7"/>
  <c r="C17" i="7" s="1"/>
  <c r="B24" i="7"/>
  <c r="B36" i="7"/>
  <c r="C36" i="7" s="1"/>
  <c r="B21" i="7"/>
  <c r="B18" i="7"/>
  <c r="N18" i="7" s="1"/>
  <c r="B28" i="7"/>
  <c r="C28" i="7" s="1"/>
  <c r="B37" i="7"/>
  <c r="C37" i="7" s="1"/>
  <c r="B23" i="7"/>
  <c r="C23" i="7" s="1"/>
  <c r="B35" i="7"/>
  <c r="C35" i="7" s="1"/>
  <c r="B34" i="7"/>
  <c r="B7" i="7"/>
  <c r="B19" i="7"/>
  <c r="C19" i="7" s="1"/>
  <c r="B3" i="7"/>
  <c r="C3" i="7" s="1"/>
  <c r="B9" i="7"/>
  <c r="C9" i="7" s="1"/>
  <c r="B8" i="7"/>
  <c r="B5" i="7"/>
  <c r="N5" i="7" s="1"/>
  <c r="B20" i="7"/>
  <c r="N20" i="7" s="1"/>
  <c r="B41" i="7"/>
  <c r="B47" i="7"/>
  <c r="B53" i="7"/>
  <c r="C53" i="7" s="1"/>
  <c r="B49" i="7"/>
  <c r="C49" i="7" s="1"/>
  <c r="B51" i="7"/>
  <c r="C51" i="7" s="1"/>
  <c r="B14" i="7"/>
  <c r="N14" i="7" s="1"/>
  <c r="F176" i="4"/>
  <c r="F175" i="4"/>
  <c r="F174" i="4"/>
  <c r="G3" i="4"/>
  <c r="H3" i="4"/>
  <c r="G4" i="4"/>
  <c r="H4" i="4" s="1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H2" i="4"/>
  <c r="G2" i="4"/>
  <c r="L5" i="3"/>
  <c r="L6" i="3"/>
  <c r="L7" i="3"/>
  <c r="L8" i="3"/>
  <c r="L4" i="3"/>
  <c r="K8" i="3"/>
  <c r="K7" i="3"/>
  <c r="K6" i="3"/>
  <c r="K5" i="3"/>
  <c r="K4" i="3"/>
  <c r="I8" i="3"/>
  <c r="I7" i="3"/>
  <c r="I6" i="3"/>
  <c r="I5" i="3"/>
  <c r="I4" i="3"/>
  <c r="G8" i="3"/>
  <c r="G7" i="3"/>
  <c r="G6" i="3"/>
  <c r="G5" i="3"/>
  <c r="G4" i="3"/>
  <c r="E8" i="3"/>
  <c r="E7" i="3"/>
  <c r="E6" i="3"/>
  <c r="E5" i="3"/>
  <c r="E4" i="3"/>
  <c r="C5" i="3"/>
  <c r="C6" i="3"/>
  <c r="C7" i="3"/>
  <c r="C8" i="3"/>
  <c r="C4" i="3"/>
  <c r="K27" i="2"/>
  <c r="J27" i="2"/>
  <c r="I27" i="2"/>
  <c r="H27" i="2"/>
  <c r="K26" i="2"/>
  <c r="J26" i="2"/>
  <c r="I26" i="2"/>
  <c r="H26" i="2"/>
  <c r="K25" i="2"/>
  <c r="J25" i="2"/>
  <c r="I25" i="2"/>
  <c r="H25" i="2"/>
  <c r="D27" i="2"/>
  <c r="E27" i="2"/>
  <c r="F27" i="2"/>
  <c r="D26" i="2"/>
  <c r="E26" i="2"/>
  <c r="F26" i="2"/>
  <c r="D25" i="2"/>
  <c r="E25" i="2"/>
  <c r="F25" i="2"/>
  <c r="C27" i="2"/>
  <c r="C26" i="2"/>
  <c r="C25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J4" i="2"/>
  <c r="K4" i="2"/>
  <c r="I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5" i="2"/>
  <c r="H4" i="2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AC25" i="1"/>
  <c r="AC26" i="1"/>
  <c r="AC27" i="1"/>
  <c r="AC28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4" i="1"/>
  <c r="Z25" i="1"/>
  <c r="AA25" i="1"/>
  <c r="AB25" i="1"/>
  <c r="Z26" i="1"/>
  <c r="AA26" i="1"/>
  <c r="AB26" i="1"/>
  <c r="Z27" i="1"/>
  <c r="AA27" i="1"/>
  <c r="AB27" i="1"/>
  <c r="Z28" i="1"/>
  <c r="AA28" i="1"/>
  <c r="AB28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T25" i="1"/>
  <c r="U25" i="1"/>
  <c r="T26" i="1"/>
  <c r="U26" i="1"/>
  <c r="T27" i="1"/>
  <c r="U27" i="1"/>
  <c r="T28" i="1"/>
  <c r="U28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AA4" i="1"/>
  <c r="Z4" i="1"/>
  <c r="Y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3" i="1"/>
  <c r="Z3" i="1" s="1"/>
  <c r="AA3" i="1" s="1"/>
  <c r="AB3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4" i="1"/>
  <c r="U3" i="1"/>
  <c r="V3" i="1" s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N5" i="1"/>
  <c r="N6" i="1"/>
  <c r="N7" i="1"/>
  <c r="N8" i="1"/>
  <c r="N9" i="1"/>
  <c r="N10" i="1"/>
  <c r="N11" i="1"/>
  <c r="N12" i="1"/>
  <c r="N13" i="1"/>
  <c r="N14" i="1"/>
  <c r="N15" i="1"/>
  <c r="N16" i="1"/>
  <c r="X16" i="1" s="1"/>
  <c r="N17" i="1"/>
  <c r="N18" i="1"/>
  <c r="N19" i="1"/>
  <c r="N20" i="1"/>
  <c r="N21" i="1"/>
  <c r="N22" i="1"/>
  <c r="N23" i="1"/>
  <c r="N4" i="1"/>
  <c r="O3" i="1"/>
  <c r="P3" i="1" s="1"/>
  <c r="Q3" i="1" s="1"/>
  <c r="R3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D25" i="1"/>
  <c r="D26" i="1"/>
  <c r="D27" i="1"/>
  <c r="D28" i="1"/>
  <c r="C27" i="1"/>
  <c r="C26" i="1"/>
  <c r="C25" i="1"/>
  <c r="X8" i="1"/>
  <c r="I35" i="11" l="1"/>
  <c r="G35" i="11"/>
  <c r="C35" i="11"/>
  <c r="D35" i="11"/>
  <c r="B35" i="11"/>
  <c r="C20" i="7"/>
  <c r="N47" i="7"/>
  <c r="N7" i="7"/>
  <c r="C18" i="7"/>
  <c r="N41" i="7"/>
  <c r="N34" i="7"/>
  <c r="N24" i="7"/>
  <c r="N13" i="7"/>
  <c r="N25" i="7"/>
  <c r="N15" i="7"/>
  <c r="N12" i="7"/>
  <c r="N29" i="7"/>
  <c r="N6" i="7"/>
  <c r="N48" i="7"/>
  <c r="C2" i="7"/>
  <c r="N53" i="7"/>
  <c r="N21" i="7"/>
  <c r="N52" i="7"/>
  <c r="N30" i="7"/>
  <c r="N38" i="7"/>
  <c r="N39" i="7"/>
  <c r="C30" i="7"/>
  <c r="C5" i="7"/>
  <c r="C22" i="7"/>
  <c r="N17" i="7"/>
  <c r="N16" i="7"/>
  <c r="N4" i="7"/>
  <c r="N31" i="7"/>
  <c r="C29" i="7"/>
  <c r="C38" i="7"/>
  <c r="C21" i="7"/>
  <c r="C24" i="7"/>
  <c r="N8" i="7"/>
  <c r="C40" i="7"/>
  <c r="C48" i="7"/>
  <c r="N26" i="7"/>
  <c r="N32" i="7"/>
  <c r="N35" i="7"/>
  <c r="C8" i="7"/>
  <c r="C14" i="7"/>
  <c r="C7" i="7"/>
  <c r="N33" i="7"/>
  <c r="N23" i="7"/>
  <c r="C15" i="7"/>
  <c r="C12" i="7"/>
  <c r="C47" i="7"/>
  <c r="C34" i="7"/>
  <c r="C13" i="7"/>
  <c r="C25" i="7"/>
  <c r="C27" i="7"/>
  <c r="C50" i="7"/>
  <c r="C41" i="7"/>
  <c r="N37" i="7"/>
  <c r="C11" i="7"/>
  <c r="C46" i="7"/>
  <c r="N43" i="7"/>
  <c r="N42" i="7"/>
  <c r="N44" i="7"/>
  <c r="N51" i="7"/>
  <c r="N9" i="7"/>
  <c r="N28" i="7"/>
  <c r="N45" i="7"/>
  <c r="N10" i="7"/>
  <c r="N49" i="7"/>
  <c r="N3" i="7"/>
  <c r="N19" i="7"/>
  <c r="N36" i="7"/>
  <c r="N27" i="1"/>
  <c r="X21" i="1"/>
  <c r="X13" i="1"/>
  <c r="X23" i="1"/>
  <c r="X15" i="1"/>
  <c r="X7" i="1"/>
  <c r="X14" i="1"/>
  <c r="X12" i="1"/>
  <c r="X22" i="1"/>
  <c r="X20" i="1"/>
  <c r="X17" i="1"/>
  <c r="X9" i="1"/>
  <c r="X19" i="1"/>
  <c r="X11" i="1"/>
  <c r="X18" i="1"/>
  <c r="X10" i="1"/>
  <c r="X4" i="1"/>
  <c r="N28" i="1"/>
  <c r="X6" i="1"/>
  <c r="N25" i="1"/>
  <c r="X5" i="1"/>
  <c r="N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814666-9921-4A7F-BFC0-CCC8E4E2BCCB}" keepAlive="1" name="Query - car inventory" description="Connection to the 'car inventory' query in the workbook." type="5" refreshedVersion="7" background="1" saveData="1">
    <dbPr connection="Provider=Microsoft.Mashup.OleDb.1;Data Source=$Workbook$;Location=&quot;car inventory&quot;;Extended Properties=&quot;&quot;" command="SELECT * FROM [car inventory]"/>
  </connection>
</connections>
</file>

<file path=xl/sharedStrings.xml><?xml version="1.0" encoding="utf-8"?>
<sst xmlns="http://schemas.openxmlformats.org/spreadsheetml/2006/main" count="1495" uniqueCount="329">
  <si>
    <t>Employee Payroll</t>
  </si>
  <si>
    <t>Last Name</t>
  </si>
  <si>
    <t>First Name</t>
  </si>
  <si>
    <t xml:space="preserve">Hourly Wage </t>
  </si>
  <si>
    <t>Hours Worked</t>
  </si>
  <si>
    <t>Pay</t>
  </si>
  <si>
    <t>Greenwood</t>
  </si>
  <si>
    <t>Fernandes</t>
  </si>
  <si>
    <t>Cavani</t>
  </si>
  <si>
    <t>Rashford</t>
  </si>
  <si>
    <t>Sancho</t>
  </si>
  <si>
    <t>Pogba</t>
  </si>
  <si>
    <t>Van De Beek</t>
  </si>
  <si>
    <t>McTominay</t>
  </si>
  <si>
    <t>Rodrigues</t>
  </si>
  <si>
    <t>Maguire</t>
  </si>
  <si>
    <t>Lindelof</t>
  </si>
  <si>
    <t>Varane</t>
  </si>
  <si>
    <t>Wan Bissaka</t>
  </si>
  <si>
    <t>Shaw</t>
  </si>
  <si>
    <t>Matic</t>
  </si>
  <si>
    <t>Martial</t>
  </si>
  <si>
    <t>Henderson</t>
  </si>
  <si>
    <t>De Gea</t>
  </si>
  <si>
    <t>Telles</t>
  </si>
  <si>
    <t>Mata</t>
  </si>
  <si>
    <t>Juan</t>
  </si>
  <si>
    <t>Alex</t>
  </si>
  <si>
    <t>David</t>
  </si>
  <si>
    <t>Dean</t>
  </si>
  <si>
    <t>Anthony</t>
  </si>
  <si>
    <t>Nemanja</t>
  </si>
  <si>
    <t>Luke</t>
  </si>
  <si>
    <t>Aaron</t>
  </si>
  <si>
    <t>Raphael</t>
  </si>
  <si>
    <t>Victor</t>
  </si>
  <si>
    <t>Harry</t>
  </si>
  <si>
    <t>Fred</t>
  </si>
  <si>
    <t>Scott</t>
  </si>
  <si>
    <t>Donny</t>
  </si>
  <si>
    <t>Paul</t>
  </si>
  <si>
    <t>Jadon</t>
  </si>
  <si>
    <t>Marcus</t>
  </si>
  <si>
    <t>Edison</t>
  </si>
  <si>
    <t>Bruno</t>
  </si>
  <si>
    <t>Mason</t>
  </si>
  <si>
    <t>Max</t>
  </si>
  <si>
    <t>Min</t>
  </si>
  <si>
    <t>Avg</t>
  </si>
  <si>
    <t>Total</t>
  </si>
  <si>
    <t>Malav Parikh</t>
  </si>
  <si>
    <t>Overtime Hours</t>
  </si>
  <si>
    <t>Overtime Pay</t>
  </si>
  <si>
    <t>January Total</t>
  </si>
  <si>
    <t>Gradebook</t>
  </si>
  <si>
    <t xml:space="preserve">Last Name </t>
  </si>
  <si>
    <t>Company Philosophy test</t>
  </si>
  <si>
    <t>Fincancial test</t>
  </si>
  <si>
    <t>Drug test</t>
  </si>
  <si>
    <t>Safety test</t>
  </si>
  <si>
    <t>MaxPoints</t>
  </si>
  <si>
    <t>Fire Employees</t>
  </si>
  <si>
    <t>Average</t>
  </si>
  <si>
    <t>Career Decision Maker</t>
  </si>
  <si>
    <t>Job</t>
  </si>
  <si>
    <t>Data Analyst</t>
  </si>
  <si>
    <t>Data Scientist</t>
  </si>
  <si>
    <t>ML Engineer</t>
  </si>
  <si>
    <t>Frontend Developer</t>
  </si>
  <si>
    <t>Software Engineer</t>
  </si>
  <si>
    <t>Job Market</t>
  </si>
  <si>
    <t>Enjoyment</t>
  </si>
  <si>
    <t>My Talent</t>
  </si>
  <si>
    <t>Schooling</t>
  </si>
  <si>
    <t>Likelihood</t>
  </si>
  <si>
    <t>Scale of 5 in descending order</t>
  </si>
  <si>
    <t>Most likely = 5</t>
  </si>
  <si>
    <t>Least likely = 1</t>
  </si>
  <si>
    <t>I.F.</t>
  </si>
  <si>
    <t>I.F. = Importance Factor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</si>
  <si>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</si>
  <si>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</si>
  <si>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</si>
  <si>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</si>
  <si>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</si>
  <si>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</si>
  <si>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</si>
  <si>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</si>
  <si>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</si>
  <si>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</si>
  <si>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</si>
  <si>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</si>
  <si>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</si>
  <si>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</si>
  <si>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</si>
  <si>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</si>
  <si>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</si>
  <si>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</si>
  <si>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</si>
  <si>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</si>
  <si>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</si>
  <si>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</si>
  <si>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</si>
  <si>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</si>
  <si>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</si>
  <si>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</si>
  <si>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</si>
  <si>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</si>
  <si>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</si>
  <si>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</si>
  <si>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</si>
  <si>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</si>
  <si>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</si>
  <si>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</si>
  <si>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</si>
  <si>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</si>
  <si>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</si>
  <si>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</si>
  <si>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Hernandez</t>
  </si>
  <si>
    <t>Doug</t>
  </si>
  <si>
    <t>Smith</t>
  </si>
  <si>
    <t>Hellen</t>
  </si>
  <si>
    <t>Johnson</t>
  </si>
  <si>
    <t>Commision 10% for items less than $50. 20% for more than $50.</t>
  </si>
  <si>
    <t>Sum of all items</t>
  </si>
  <si>
    <t>Sum of items valued above $50</t>
  </si>
  <si>
    <t>Sum of items valued below $50</t>
  </si>
  <si>
    <t>Sum of Sale Price</t>
  </si>
  <si>
    <t>Row Labels</t>
  </si>
  <si>
    <t>Grand Total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</si>
  <si>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</si>
  <si>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</si>
  <si>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</si>
  <si>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</si>
  <si>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</si>
  <si>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</si>
  <si>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</si>
  <si>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</si>
  <si>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</si>
  <si>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</si>
  <si>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</si>
  <si>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</si>
  <si>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</si>
  <si>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</si>
  <si>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</si>
  <si>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/>
  </si>
  <si>
    <t>Black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</si>
  <si>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</si>
  <si>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</si>
  <si>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</si>
  <si>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</si>
  <si>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</si>
  <si>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</si>
  <si>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</si>
  <si>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</si>
  <si>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</si>
  <si>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</si>
  <si>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</si>
  <si>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</si>
  <si>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</si>
  <si>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</si>
  <si>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</si>
  <si>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</si>
  <si>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</si>
  <si>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</si>
  <si>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</si>
  <si>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</si>
  <si>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</si>
  <si>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</si>
  <si>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</si>
  <si>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</si>
  <si>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</si>
  <si>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</si>
  <si>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</si>
  <si>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</si>
  <si>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</si>
  <si>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</si>
  <si>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</si>
  <si>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</si>
  <si>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</si>
  <si>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</si>
  <si>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</si>
  <si>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</si>
  <si>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</si>
  <si>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</si>
  <si>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</si>
  <si>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</si>
  <si>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</si>
  <si>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</si>
  <si>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</si>
  <si>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</si>
  <si>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</si>
  <si>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</si>
  <si>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</si>
  <si>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</si>
  <si>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</si>
  <si>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</si>
  <si>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</si>
  <si>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</si>
  <si>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</si>
  <si>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</si>
  <si>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</si>
  <si>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</si>
  <si>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</si>
  <si>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</si>
  <si>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</si>
  <si>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</si>
  <si>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</si>
  <si>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</si>
  <si>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</si>
  <si>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</si>
  <si>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</si>
  <si>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</si>
  <si>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</si>
  <si>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</si>
  <si>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</si>
  <si>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</si>
  <si>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</si>
  <si>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</si>
  <si>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</si>
  <si>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</si>
  <si>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</si>
  <si>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</si>
  <si>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</si>
  <si>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</si>
  <si>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</si>
  <si>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Mustang</t>
  </si>
  <si>
    <t>CAM</t>
  </si>
  <si>
    <t>ELA</t>
  </si>
  <si>
    <t>FCS</t>
  </si>
  <si>
    <t>CMR</t>
  </si>
  <si>
    <t>COR</t>
  </si>
  <si>
    <t>CAR</t>
  </si>
  <si>
    <t>CIV</t>
  </si>
  <si>
    <t>MTG</t>
  </si>
  <si>
    <t>ODG</t>
  </si>
  <si>
    <t>PTC</t>
  </si>
  <si>
    <t>SLV</t>
  </si>
  <si>
    <t>Camry</t>
  </si>
  <si>
    <t>Elantra</t>
  </si>
  <si>
    <t>Focus</t>
  </si>
  <si>
    <t>Caravan</t>
  </si>
  <si>
    <t>Civic</t>
  </si>
  <si>
    <t>Camera</t>
  </si>
  <si>
    <t>Corolla</t>
  </si>
  <si>
    <t>Odyssey</t>
  </si>
  <si>
    <t>PT Cruiser</t>
  </si>
  <si>
    <t>Silverado</t>
  </si>
  <si>
    <t>HO01ODY040</t>
  </si>
  <si>
    <t>HO05ODY037</t>
  </si>
  <si>
    <t>GM09CMR014</t>
  </si>
  <si>
    <t>FD06FCS006</t>
  </si>
  <si>
    <t>Sum of Miles</t>
  </si>
  <si>
    <t>Interest Rate</t>
  </si>
  <si>
    <t>Months</t>
  </si>
  <si>
    <t>Interest Paid</t>
  </si>
  <si>
    <t>Total Loan</t>
  </si>
  <si>
    <t>Loan A</t>
  </si>
  <si>
    <t>Loan B</t>
  </si>
  <si>
    <t>Loan C</t>
  </si>
  <si>
    <t>Loan D</t>
  </si>
  <si>
    <t>Principle</t>
  </si>
  <si>
    <t>Monthly payment</t>
  </si>
  <si>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</si>
  <si>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</si>
  <si>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</si>
  <si>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</si>
  <si>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</si>
  <si>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</si>
  <si>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</si>
  <si>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</si>
  <si>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</si>
  <si>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No.2 pencils</t>
  </si>
  <si>
    <t>2 inch binder</t>
  </si>
  <si>
    <t>USB stick 5gb</t>
  </si>
  <si>
    <t>8 color markers</t>
  </si>
  <si>
    <t>Stapler</t>
  </si>
  <si>
    <t>Planner book</t>
  </si>
  <si>
    <t>Protractor</t>
  </si>
  <si>
    <t xml:space="preserve">Compass </t>
  </si>
  <si>
    <t>Liquid Paper</t>
  </si>
  <si>
    <t>Susan</t>
  </si>
  <si>
    <t>Tim</t>
  </si>
  <si>
    <t xml:space="preserve">Tim </t>
  </si>
  <si>
    <t>Cat</t>
  </si>
  <si>
    <t>Dog</t>
  </si>
  <si>
    <t>Initial costs</t>
  </si>
  <si>
    <t>Purchase</t>
  </si>
  <si>
    <t>Collar</t>
  </si>
  <si>
    <t>ID tag</t>
  </si>
  <si>
    <t>Bowl</t>
  </si>
  <si>
    <t>Leash</t>
  </si>
  <si>
    <t>Monthly costs</t>
  </si>
  <si>
    <t>Food</t>
  </si>
  <si>
    <t>Litter</t>
  </si>
  <si>
    <t>Treats</t>
  </si>
  <si>
    <t>Sub total</t>
  </si>
  <si>
    <t>Monthly total</t>
  </si>
  <si>
    <t>Yearly cost</t>
  </si>
  <si>
    <t>Chicago Museum</t>
  </si>
  <si>
    <t>Orlando Theme Park</t>
  </si>
  <si>
    <t>Miami Cruise</t>
  </si>
  <si>
    <t>Per Person Expense</t>
  </si>
  <si>
    <t>Air Fare</t>
  </si>
  <si>
    <t>Natural History</t>
  </si>
  <si>
    <t>Chicago Museum of Art</t>
  </si>
  <si>
    <t>Science Museum</t>
  </si>
  <si>
    <t>Museumof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</si>
  <si>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</si>
  <si>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</si>
  <si>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</si>
  <si>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</si>
  <si>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</si>
  <si>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</si>
  <si>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</si>
  <si>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</si>
  <si>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</si>
  <si>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Hostel cost per night</t>
  </si>
  <si>
    <t>Hotel Total</t>
  </si>
  <si>
    <t>TOTAL COSTS</t>
  </si>
  <si>
    <t>Number of Nights</t>
  </si>
  <si>
    <t>Car rental</t>
  </si>
  <si>
    <t>No of days</t>
  </si>
  <si>
    <t>Food cost</t>
  </si>
  <si>
    <t>No of people</t>
  </si>
  <si>
    <t>SUSAN</t>
  </si>
  <si>
    <t>Car Expense</t>
  </si>
  <si>
    <t>Food Expense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</si>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</sst>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0" applyNumberFormat="1"/>
    <xf numFmtId="44" fontId="0" fillId="0" borderId="0" xfId="1" applyFont="1"/>
    <xf numFmtId="0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44" fontId="0" fillId="4" borderId="0" xfId="0" applyNumberFormat="1" applyFill="1"/>
    <xf numFmtId="44" fontId="0" fillId="5" borderId="0" xfId="0" applyNumberFormat="1" applyFill="1"/>
    <xf numFmtId="14" fontId="0" fillId="5" borderId="0" xfId="0" applyNumberFormat="1" applyFill="1"/>
    <xf numFmtId="44" fontId="0" fillId="6" borderId="0" xfId="0" applyNumberFormat="1" applyFill="1"/>
    <xf numFmtId="14" fontId="0" fillId="6" borderId="0" xfId="0" applyNumberFormat="1" applyFill="1"/>
    <xf numFmtId="0" fontId="0" fillId="7" borderId="0" xfId="0" applyFill="1"/>
    <xf numFmtId="44" fontId="0" fillId="7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9" fontId="0" fillId="0" borderId="0" xfId="3" applyFont="1"/>
    <xf numFmtId="0" fontId="0" fillId="0" borderId="0" xfId="0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4" fontId="0" fillId="0" borderId="0" xfId="2" applyNumberFormat="1" applyFont="1"/>
    <xf numFmtId="164" fontId="0" fillId="0" borderId="0" xfId="2" applyNumberFormat="1" applyFont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/>
    <xf numFmtId="14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10" borderId="0" xfId="0" applyFont="1" applyFill="1"/>
    <xf numFmtId="0" fontId="2" fillId="11" borderId="0" xfId="0" applyFont="1" applyFill="1"/>
    <xf numFmtId="44" fontId="0" fillId="10" borderId="0" xfId="1" applyFont="1" applyFill="1"/>
    <xf numFmtId="44" fontId="0" fillId="11" borderId="0" xfId="1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0" fillId="13" borderId="0" xfId="0" applyFill="1"/>
    <xf numFmtId="0" fontId="3" fillId="10" borderId="0" xfId="0" applyFont="1" applyFill="1"/>
    <xf numFmtId="0" fontId="0" fillId="14" borderId="0" xfId="0" applyFill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Employee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Safety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20"/>
                <c:pt idx="0">
                  <c:v>Greenwood</c:v>
                </c:pt>
                <c:pt idx="1">
                  <c:v>Fernandes</c:v>
                </c:pt>
                <c:pt idx="2">
                  <c:v>Cavani</c:v>
                </c:pt>
                <c:pt idx="3">
                  <c:v>Rashford</c:v>
                </c:pt>
                <c:pt idx="4">
                  <c:v>Sancho</c:v>
                </c:pt>
                <c:pt idx="5">
                  <c:v>Pogba</c:v>
                </c:pt>
                <c:pt idx="6">
                  <c:v>Van De Beek</c:v>
                </c:pt>
                <c:pt idx="7">
                  <c:v>McTominay</c:v>
                </c:pt>
                <c:pt idx="8">
                  <c:v>Rodrigues</c:v>
                </c:pt>
                <c:pt idx="9">
                  <c:v>Maguire</c:v>
                </c:pt>
                <c:pt idx="10">
                  <c:v>Lindelof</c:v>
                </c:pt>
                <c:pt idx="11">
                  <c:v>Varane</c:v>
                </c:pt>
                <c:pt idx="12">
                  <c:v>Wan Bissaka</c:v>
                </c:pt>
                <c:pt idx="13">
                  <c:v>Shaw</c:v>
                </c:pt>
                <c:pt idx="14">
                  <c:v>Matic</c:v>
                </c:pt>
                <c:pt idx="15">
                  <c:v>Martial</c:v>
                </c:pt>
                <c:pt idx="16">
                  <c:v>Henderson</c:v>
                </c:pt>
                <c:pt idx="17">
                  <c:v>De Gea</c:v>
                </c:pt>
                <c:pt idx="18">
                  <c:v>Telles</c:v>
                </c:pt>
                <c:pt idx="19">
                  <c:v>Mata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2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2-4354-A874-A339123A9646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Company Philosophy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20"/>
                <c:pt idx="0">
                  <c:v>Greenwood</c:v>
                </c:pt>
                <c:pt idx="1">
                  <c:v>Fernandes</c:v>
                </c:pt>
                <c:pt idx="2">
                  <c:v>Cavani</c:v>
                </c:pt>
                <c:pt idx="3">
                  <c:v>Rashford</c:v>
                </c:pt>
                <c:pt idx="4">
                  <c:v>Sancho</c:v>
                </c:pt>
                <c:pt idx="5">
                  <c:v>Pogba</c:v>
                </c:pt>
                <c:pt idx="6">
                  <c:v>Van De Beek</c:v>
                </c:pt>
                <c:pt idx="7">
                  <c:v>McTominay</c:v>
                </c:pt>
                <c:pt idx="8">
                  <c:v>Rodrigues</c:v>
                </c:pt>
                <c:pt idx="9">
                  <c:v>Maguire</c:v>
                </c:pt>
                <c:pt idx="10">
                  <c:v>Lindelof</c:v>
                </c:pt>
                <c:pt idx="11">
                  <c:v>Varane</c:v>
                </c:pt>
                <c:pt idx="12">
                  <c:v>Wan Bissaka</c:v>
                </c:pt>
                <c:pt idx="13">
                  <c:v>Shaw</c:v>
                </c:pt>
                <c:pt idx="14">
                  <c:v>Matic</c:v>
                </c:pt>
                <c:pt idx="15">
                  <c:v>Martial</c:v>
                </c:pt>
                <c:pt idx="16">
                  <c:v>Henderson</c:v>
                </c:pt>
                <c:pt idx="17">
                  <c:v>De Gea</c:v>
                </c:pt>
                <c:pt idx="18">
                  <c:v>Telles</c:v>
                </c:pt>
                <c:pt idx="19">
                  <c:v>Mata</c:v>
                </c:pt>
              </c:strCache>
            </c:strRef>
          </c:cat>
          <c:val>
            <c:numRef>
              <c:f>Sheet2!$D$4:$D$23</c:f>
              <c:numCache>
                <c:formatCode>General</c:formatCode>
                <c:ptCount val="20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  <c:pt idx="17">
                  <c:v>13</c:v>
                </c:pt>
                <c:pt idx="18">
                  <c:v>16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2-4354-A874-A339123A9646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Fincancial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20"/>
                <c:pt idx="0">
                  <c:v>Greenwood</c:v>
                </c:pt>
                <c:pt idx="1">
                  <c:v>Fernandes</c:v>
                </c:pt>
                <c:pt idx="2">
                  <c:v>Cavani</c:v>
                </c:pt>
                <c:pt idx="3">
                  <c:v>Rashford</c:v>
                </c:pt>
                <c:pt idx="4">
                  <c:v>Sancho</c:v>
                </c:pt>
                <c:pt idx="5">
                  <c:v>Pogba</c:v>
                </c:pt>
                <c:pt idx="6">
                  <c:v>Van De Beek</c:v>
                </c:pt>
                <c:pt idx="7">
                  <c:v>McTominay</c:v>
                </c:pt>
                <c:pt idx="8">
                  <c:v>Rodrigues</c:v>
                </c:pt>
                <c:pt idx="9">
                  <c:v>Maguire</c:v>
                </c:pt>
                <c:pt idx="10">
                  <c:v>Lindelof</c:v>
                </c:pt>
                <c:pt idx="11">
                  <c:v>Varane</c:v>
                </c:pt>
                <c:pt idx="12">
                  <c:v>Wan Bissaka</c:v>
                </c:pt>
                <c:pt idx="13">
                  <c:v>Shaw</c:v>
                </c:pt>
                <c:pt idx="14">
                  <c:v>Matic</c:v>
                </c:pt>
                <c:pt idx="15">
                  <c:v>Martial</c:v>
                </c:pt>
                <c:pt idx="16">
                  <c:v>Henderson</c:v>
                </c:pt>
                <c:pt idx="17">
                  <c:v>De Gea</c:v>
                </c:pt>
                <c:pt idx="18">
                  <c:v>Telles</c:v>
                </c:pt>
                <c:pt idx="19">
                  <c:v>Mata</c:v>
                </c:pt>
              </c:strCache>
            </c:strRef>
          </c:cat>
          <c:val>
            <c:numRef>
              <c:f>Sheet2!$E$4:$E$23</c:f>
              <c:numCache>
                <c:formatCode>General</c:formatCode>
                <c:ptCount val="20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58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45</c:v>
                </c:pt>
                <c:pt idx="14">
                  <c:v>90</c:v>
                </c:pt>
                <c:pt idx="15">
                  <c:v>80</c:v>
                </c:pt>
                <c:pt idx="16">
                  <c:v>69</c:v>
                </c:pt>
                <c:pt idx="17">
                  <c:v>90</c:v>
                </c:pt>
                <c:pt idx="18">
                  <c:v>87</c:v>
                </c:pt>
                <c:pt idx="1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2-4354-A874-A339123A9646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Drug 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20"/>
                <c:pt idx="0">
                  <c:v>Greenwood</c:v>
                </c:pt>
                <c:pt idx="1">
                  <c:v>Fernandes</c:v>
                </c:pt>
                <c:pt idx="2">
                  <c:v>Cavani</c:v>
                </c:pt>
                <c:pt idx="3">
                  <c:v>Rashford</c:v>
                </c:pt>
                <c:pt idx="4">
                  <c:v>Sancho</c:v>
                </c:pt>
                <c:pt idx="5">
                  <c:v>Pogba</c:v>
                </c:pt>
                <c:pt idx="6">
                  <c:v>Van De Beek</c:v>
                </c:pt>
                <c:pt idx="7">
                  <c:v>McTominay</c:v>
                </c:pt>
                <c:pt idx="8">
                  <c:v>Rodrigues</c:v>
                </c:pt>
                <c:pt idx="9">
                  <c:v>Maguire</c:v>
                </c:pt>
                <c:pt idx="10">
                  <c:v>Lindelof</c:v>
                </c:pt>
                <c:pt idx="11">
                  <c:v>Varane</c:v>
                </c:pt>
                <c:pt idx="12">
                  <c:v>Wan Bissaka</c:v>
                </c:pt>
                <c:pt idx="13">
                  <c:v>Shaw</c:v>
                </c:pt>
                <c:pt idx="14">
                  <c:v>Matic</c:v>
                </c:pt>
                <c:pt idx="15">
                  <c:v>Martial</c:v>
                </c:pt>
                <c:pt idx="16">
                  <c:v>Henderson</c:v>
                </c:pt>
                <c:pt idx="17">
                  <c:v>De Gea</c:v>
                </c:pt>
                <c:pt idx="18">
                  <c:v>Telles</c:v>
                </c:pt>
                <c:pt idx="19">
                  <c:v>Mata</c:v>
                </c:pt>
              </c:strCache>
            </c:strRef>
          </c:cat>
          <c:val>
            <c:numRef>
              <c:f>Sheet2!$F$4:$F$23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2-4354-A874-A339123A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5461488"/>
        <c:axId val="715478960"/>
      </c:barChart>
      <c:catAx>
        <c:axId val="7154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78960"/>
        <c:crosses val="autoZero"/>
        <c:auto val="1"/>
        <c:lblAlgn val="ctr"/>
        <c:lblOffset val="100"/>
        <c:noMultiLvlLbl val="0"/>
      </c:catAx>
      <c:valAx>
        <c:axId val="7154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4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Basics.xlsx]Sales - pivot table!PivotTable1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-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- pivot table'!$A$4:$A$8</c:f>
              <c:strCache>
                <c:ptCount val="4"/>
                <c:pt idx="0">
                  <c:v>Hernandez</c:v>
                </c:pt>
                <c:pt idx="1">
                  <c:v>Johnson</c:v>
                </c:pt>
                <c:pt idx="2">
                  <c:v>Smith</c:v>
                </c:pt>
                <c:pt idx="3">
                  <c:v>Barns</c:v>
                </c:pt>
              </c:strCache>
            </c:strRef>
          </c:cat>
          <c:val>
            <c:numRef>
              <c:f>'Sales - pivot table'!$B$4:$B$8</c:f>
              <c:numCache>
                <c:formatCode>_("$"* #,##0.00_);_("$"* \(#,##0.00\);_("$"* "-"??_);_(@_)</c:formatCode>
                <c:ptCount val="4"/>
                <c:pt idx="0">
                  <c:v>2410.7000000000003</c:v>
                </c:pt>
                <c:pt idx="1">
                  <c:v>3035.3</c:v>
                </c:pt>
                <c:pt idx="2">
                  <c:v>5661.0999999999985</c:v>
                </c:pt>
                <c:pt idx="3">
                  <c:v>6003.5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2-40DD-986C-31C118E885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5299295"/>
        <c:axId val="2025280991"/>
      </c:barChart>
      <c:catAx>
        <c:axId val="2025299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80991"/>
        <c:crosses val="autoZero"/>
        <c:auto val="1"/>
        <c:lblAlgn val="ctr"/>
        <c:lblOffset val="100"/>
        <c:noMultiLvlLbl val="0"/>
      </c:catAx>
      <c:valAx>
        <c:axId val="2025280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26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9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 driven vs Car's</a:t>
            </a:r>
            <a:r>
              <a:rPr lang="en-US" baseline="0"/>
              <a:t> </a:t>
            </a:r>
            <a:r>
              <a:rPr lang="en-US"/>
              <a:t>Age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'car inventory'!$G$2:$G$66</c:f>
              <c:strCache>
                <c:ptCount val="52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8</c:v>
                </c:pt>
                <c:pt idx="16">
                  <c:v>13</c:v>
                </c:pt>
                <c:pt idx="17">
                  <c:v>8</c:v>
                </c:pt>
                <c:pt idx="18">
                  <c:v>11</c:v>
                </c:pt>
                <c:pt idx="19">
                  <c:v>13</c:v>
                </c:pt>
                <c:pt idx="20">
                  <c:v>10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10</c:v>
                </c:pt>
                <c:pt idx="26">
                  <c:v>15</c:v>
                </c:pt>
                <c:pt idx="27">
                  <c:v>17</c:v>
                </c:pt>
                <c:pt idx="28">
                  <c:v>13</c:v>
                </c:pt>
                <c:pt idx="29">
                  <c:v>9</c:v>
                </c:pt>
                <c:pt idx="30">
                  <c:v>19</c:v>
                </c:pt>
                <c:pt idx="31">
                  <c:v>20</c:v>
                </c:pt>
                <c:pt idx="32">
                  <c:v>8</c:v>
                </c:pt>
                <c:pt idx="33">
                  <c:v>8</c:v>
                </c:pt>
                <c:pt idx="34">
                  <c:v>13</c:v>
                </c:pt>
                <c:pt idx="35">
                  <c:v>15</c:v>
                </c:pt>
                <c:pt idx="36">
                  <c:v>20</c:v>
                </c:pt>
                <c:pt idx="37">
                  <c:v>19</c:v>
                </c:pt>
                <c:pt idx="38">
                  <c:v>22</c:v>
                </c:pt>
                <c:pt idx="39">
                  <c:v>23</c:v>
                </c:pt>
                <c:pt idx="40">
                  <c:v>14</c:v>
                </c:pt>
                <c:pt idx="41">
                  <c:v>21</c:v>
                </c:pt>
                <c:pt idx="42">
                  <c:v>22</c:v>
                </c:pt>
                <c:pt idx="43">
                  <c:v>16</c:v>
                </c:pt>
                <c:pt idx="44">
                  <c:v>17</c:v>
                </c:pt>
                <c:pt idx="45">
                  <c:v>21</c:v>
                </c:pt>
                <c:pt idx="46">
                  <c:v>12</c:v>
                </c:pt>
                <c:pt idx="47">
                  <c:v>23</c:v>
                </c:pt>
                <c:pt idx="48">
                  <c:v>18</c:v>
                </c:pt>
                <c:pt idx="49">
                  <c:v>21</c:v>
                </c:pt>
                <c:pt idx="50">
                  <c:v>17</c:v>
                </c:pt>
                <c:pt idx="51">
                  <c:v>25</c:v>
                </c:pt>
              </c:strCache>
            </c:strRef>
          </c:xVal>
          <c:yVal>
            <c:numRef>
              <c:f>'car inventory'!$H$2:$H$66</c:f>
              <c:numCache>
                <c:formatCode>General</c:formatCode>
                <c:ptCount val="65"/>
                <c:pt idx="0">
                  <c:v>3708.1</c:v>
                </c:pt>
                <c:pt idx="1">
                  <c:v>13682.9</c:v>
                </c:pt>
                <c:pt idx="2">
                  <c:v>13867.6</c:v>
                </c:pt>
                <c:pt idx="3">
                  <c:v>14289.6</c:v>
                </c:pt>
                <c:pt idx="4">
                  <c:v>22573</c:v>
                </c:pt>
                <c:pt idx="5">
                  <c:v>19341.7</c:v>
                </c:pt>
                <c:pt idx="6">
                  <c:v>19421.099999999999</c:v>
                </c:pt>
                <c:pt idx="7">
                  <c:v>28464.799999999999</c:v>
                </c:pt>
                <c:pt idx="8">
                  <c:v>22128.2</c:v>
                </c:pt>
                <c:pt idx="9">
                  <c:v>22282</c:v>
                </c:pt>
                <c:pt idx="10">
                  <c:v>17556.3</c:v>
                </c:pt>
                <c:pt idx="11">
                  <c:v>20223.900000000001</c:v>
                </c:pt>
                <c:pt idx="12">
                  <c:v>40326.800000000003</c:v>
                </c:pt>
                <c:pt idx="13">
                  <c:v>24513.200000000001</c:v>
                </c:pt>
                <c:pt idx="14">
                  <c:v>27394.2</c:v>
                </c:pt>
                <c:pt idx="15">
                  <c:v>22188.5</c:v>
                </c:pt>
                <c:pt idx="16">
                  <c:v>36438.5</c:v>
                </c:pt>
                <c:pt idx="17">
                  <c:v>22521.599999999999</c:v>
                </c:pt>
                <c:pt idx="18">
                  <c:v>31144.400000000001</c:v>
                </c:pt>
                <c:pt idx="19">
                  <c:v>37558.800000000003</c:v>
                </c:pt>
                <c:pt idx="20">
                  <c:v>29102.3</c:v>
                </c:pt>
                <c:pt idx="21">
                  <c:v>35137</c:v>
                </c:pt>
                <c:pt idx="22">
                  <c:v>44974.8</c:v>
                </c:pt>
                <c:pt idx="23">
                  <c:v>42074.2</c:v>
                </c:pt>
                <c:pt idx="24">
                  <c:v>33477.199999999997</c:v>
                </c:pt>
                <c:pt idx="25">
                  <c:v>30555.3</c:v>
                </c:pt>
                <c:pt idx="26">
                  <c:v>46311.4</c:v>
                </c:pt>
                <c:pt idx="27">
                  <c:v>52699.4</c:v>
                </c:pt>
                <c:pt idx="28">
                  <c:v>42504.6</c:v>
                </c:pt>
                <c:pt idx="29">
                  <c:v>29601.9</c:v>
                </c:pt>
                <c:pt idx="30">
                  <c:v>64467.4</c:v>
                </c:pt>
                <c:pt idx="31">
                  <c:v>68658.899999999994</c:v>
                </c:pt>
                <c:pt idx="32">
                  <c:v>27534.799999999999</c:v>
                </c:pt>
                <c:pt idx="33">
                  <c:v>27637.1</c:v>
                </c:pt>
                <c:pt idx="34">
                  <c:v>44946.5</c:v>
                </c:pt>
                <c:pt idx="35">
                  <c:v>52229.5</c:v>
                </c:pt>
                <c:pt idx="36">
                  <c:v>69891.899999999994</c:v>
                </c:pt>
                <c:pt idx="37">
                  <c:v>67829.100000000006</c:v>
                </c:pt>
                <c:pt idx="38">
                  <c:v>79420.600000000006</c:v>
                </c:pt>
                <c:pt idx="39">
                  <c:v>83162.7</c:v>
                </c:pt>
                <c:pt idx="40">
                  <c:v>50854.1</c:v>
                </c:pt>
                <c:pt idx="41">
                  <c:v>77243.100000000006</c:v>
                </c:pt>
                <c:pt idx="42">
                  <c:v>82374</c:v>
                </c:pt>
                <c:pt idx="43">
                  <c:v>60389.5</c:v>
                </c:pt>
                <c:pt idx="44">
                  <c:v>64542</c:v>
                </c:pt>
                <c:pt idx="45">
                  <c:v>80685.8</c:v>
                </c:pt>
                <c:pt idx="46">
                  <c:v>48114.2</c:v>
                </c:pt>
                <c:pt idx="47">
                  <c:v>93382.6</c:v>
                </c:pt>
                <c:pt idx="48">
                  <c:v>73444.399999999994</c:v>
                </c:pt>
                <c:pt idx="49">
                  <c:v>85928</c:v>
                </c:pt>
                <c:pt idx="50">
                  <c:v>72527.199999999997</c:v>
                </c:pt>
                <c:pt idx="51">
                  <c:v>114660.6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5-41D1-ABF1-E52AA333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93343"/>
        <c:axId val="671892511"/>
      </c:scatterChart>
      <c:valAx>
        <c:axId val="67189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</a:t>
                </a:r>
                <a:r>
                  <a:rPr lang="en-AU" baseline="0"/>
                  <a:t> of the car (years)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92511"/>
        <c:crosses val="autoZero"/>
        <c:crossBetween val="midCat"/>
      </c:valAx>
      <c:valAx>
        <c:axId val="6718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9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'Loan Problem'!$G$1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'Loan Problem'!$C$2:$C$5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'Loan Problem'!$G$2:$G$5</c:f>
              <c:numCache>
                <c:formatCode>_("$"* #,##0.00_);_("$"* \(#,##0.00\);_("$"* "-"??_);_(@_)</c:formatCode>
                <c:ptCount val="4"/>
                <c:pt idx="0">
                  <c:v>908.33333333333337</c:v>
                </c:pt>
                <c:pt idx="1">
                  <c:v>900</c:v>
                </c:pt>
                <c:pt idx="2">
                  <c:v>891.66666666666663</c:v>
                </c:pt>
                <c:pt idx="3">
                  <c:v>883.33333333333337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7-4E35-98A9-2BC811926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278815"/>
        <c:axId val="677280895"/>
      </c:barChart>
      <c:catAx>
        <c:axId val="67727881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80895"/>
        <c:crosses val="autoZero"/>
        <c:auto val="1"/>
        <c:lblAlgn val="ctr"/>
        <c:lblOffset val="100"/>
        <c:noMultiLvlLbl val="0"/>
      </c:catAx>
      <c:valAx>
        <c:axId val="6772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7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Shopping list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list'!$B$1:$D$1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list'!$B$18:$D$18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3-407D-AA04-93C22F19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578031"/>
        <c:axId val="633579695"/>
      </c:barChart>
      <c:catAx>
        <c:axId val="63357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79695"/>
        <c:crosses val="autoZero"/>
        <c:auto val="1"/>
        <c:lblAlgn val="ctr"/>
        <c:lblOffset val="100"/>
        <c:noMultiLvlLbl val="0"/>
      </c:catAx>
      <c:valAx>
        <c:axId val="6335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7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Shopping list for 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'Shopping list'!$B$1:$D$1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'Shopping list'!$B$19:$D$19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C-4E43-B4F4-A52277C16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638175"/>
        <c:axId val="676640255"/>
      </c:barChart>
      <c:catAx>
        <c:axId val="67663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40255"/>
        <c:crosses val="autoZero"/>
        <c:auto val="1"/>
        <c:lblAlgn val="ctr"/>
        <c:lblOffset val="100"/>
        <c:noMultiLvlLbl val="0"/>
      </c:catAx>
      <c:valAx>
        <c:axId val="6766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</a:t>
                </a:r>
                <a:r>
                  <a:rPr lang="en-AU" baseline="0"/>
                  <a:t>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3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Cat vs Dog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'Cat vs Dog'!$B$1:$C$1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'Cat vs Dog'!$B$18:$C$18</c:f>
              <c:numCache>
                <c:formatCode>_("$"* #,##0.00_);_("$"* \(#,##0.00\);_("$"* "-"??_);_(@_)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6-4B2B-984B-1D00D61E3A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Susan's</a:t>
            </a:r>
            <a:r>
              <a:rPr lang="en-AU" baseline="0"/>
              <a:t> vacation costs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Vacation!$B$1:$D$1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Vacation!$B$35:$D$35</c:f>
              <c:numCache>
                <c:formatCode>General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D-4A41-8000-C06DBE39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9258335"/>
        <c:axId val="669262079"/>
      </c:barChart>
      <c:catAx>
        <c:axId val="669258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62079"/>
        <c:crosses val="autoZero"/>
        <c:auto val="1"/>
        <c:lblAlgn val="ctr"/>
        <c:lblOffset val="100"/>
        <c:noMultiLvlLbl val="0"/>
      </c:catAx>
      <c:valAx>
        <c:axId val="6692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25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Tim's vacation</a:t>
            </a:r>
            <a:r>
              <a:rPr lang="en-AU" baseline="0"/>
              <a:t> costs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Vacation!$G$1:$I$1</c:f>
              <c:strCache>
                <c:ptCount val="3"/>
                <c:pt idx="0">
                  <c:v>Chicago Museum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Vacation!$G$35:$I$35</c:f>
              <c:numCache>
                <c:formatCode>General</c:formatCode>
                <c:ptCount val="3"/>
                <c:pt idx="0">
                  <c:v>2948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0-4B49-821E-B46A4F43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0267599"/>
        <c:axId val="720268015"/>
      </c:barChart>
      <c:catAx>
        <c:axId val="720267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68015"/>
        <c:crosses val="autoZero"/>
        <c:auto val="1"/>
        <c:lblAlgn val="ctr"/>
        <c:lblOffset val="100"/>
        <c:noMultiLvlLbl val="0"/>
      </c:catAx>
      <c:valAx>
        <c:axId val="72026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26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No. of Miles by each Driver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No. of Miles by each Driver</a:t>
          </a:r>
        </a:p>
      </cx:txPr>
    </cx:title>
    <cx:plotArea>
      <cx:plotAreaRegion>
        <cx:series layoutId="treemap" uniqueId="{D599BA1C-96FB-4F69-88E8-5AC03CAF32FA}">
          <cx:tx>
            <cx:txData>
              <cx:f>_xlchart.v1.1</cx:f>
              <cx:v>Sum of Miles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none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</xdr:colOff>
      <xdr:row>3</xdr:row>
      <xdr:rowOff>19050</xdr:rowOff>
    </xdr:from>
    <xdr:to>
      <xdr:col>21</xdr:col>
      <xdr:colOff>307975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9CE85-E8C1-47E9-8A93-14F274038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4</xdr:row>
      <xdr:rowOff>44450</xdr:rowOff>
    </xdr:from>
    <xdr:to>
      <xdr:col>9</xdr:col>
      <xdr:colOff>565150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3F20F-4E69-4716-AED8-94CA91807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2</xdr:row>
      <xdr:rowOff>6350</xdr:rowOff>
    </xdr:from>
    <xdr:to>
      <xdr:col>10</xdr:col>
      <xdr:colOff>307975</xdr:colOff>
      <xdr:row>16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58B762-0083-4DD0-B803-FE4DFEFD47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2825" y="374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</xdr:colOff>
      <xdr:row>12</xdr:row>
      <xdr:rowOff>177800</xdr:rowOff>
    </xdr:from>
    <xdr:to>
      <xdr:col>21</xdr:col>
      <xdr:colOff>307975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5027B-BE08-4A07-BBAC-854F40BDB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6</xdr:row>
      <xdr:rowOff>25400</xdr:rowOff>
    </xdr:from>
    <xdr:to>
      <xdr:col>6</xdr:col>
      <xdr:colOff>822325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333C1-9521-4253-9D84-42BF37581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</xdr:colOff>
      <xdr:row>0</xdr:row>
      <xdr:rowOff>19050</xdr:rowOff>
    </xdr:from>
    <xdr:to>
      <xdr:col>13</xdr:col>
      <xdr:colOff>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FE55D-0022-4127-B5DD-984E7D65C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0</xdr:row>
      <xdr:rowOff>0</xdr:rowOff>
    </xdr:from>
    <xdr:to>
      <xdr:col>19</xdr:col>
      <xdr:colOff>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731933-C74E-418F-8B58-C5DCB1E70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</xdr:colOff>
      <xdr:row>2</xdr:row>
      <xdr:rowOff>0</xdr:rowOff>
    </xdr:from>
    <xdr:to>
      <xdr:col>8</xdr:col>
      <xdr:colOff>590550</xdr:colOff>
      <xdr:row>13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26A-8495-41F4-AB9E-06EA47559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36</xdr:row>
      <xdr:rowOff>25400</xdr:rowOff>
    </xdr:from>
    <xdr:to>
      <xdr:col>3</xdr:col>
      <xdr:colOff>815975</xdr:colOff>
      <xdr:row>51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D317A-0D36-4E5B-A52F-9A45550B3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473075</xdr:colOff>
      <xdr:row>36</xdr:row>
      <xdr:rowOff>12700</xdr:rowOff>
    </xdr:from>
    <xdr:to>
      <xdr:col>9</xdr:col>
      <xdr:colOff>3175</xdr:colOff>
      <xdr:row>50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373DD1-0811-473C-A9DC-8DBF9787B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v Parikh" refreshedDate="44413.673096064813" createdVersion="7" refreshedVersion="7" minRefreshableVersion="3" recordCount="171" xr:uid="{957FBD21-A7FF-4C91-AFF8-0D2EF51892D8}">
  <cacheSource type="worksheet">
    <worksheetSource ref="A1:K172" sheet="Sheet4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more than $50." numFmtId="44">
      <sharedItems containsSemiMixedTypes="0" containsString="0" containsNumber="1" minValue="0.29999999999999993" maxValue="31.6"/>
    </cacheField>
    <cacheField name="First Name" numFmtId="49">
      <sharedItems count="4">
        <s v="Chalie"/>
        <s v="Juan"/>
        <s v="Doug"/>
        <s v="Hellen"/>
      </sharedItems>
    </cacheField>
    <cacheField name="Last Name" numFmtId="49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v Parikh" refreshedDate="44417.95126840278" createdVersion="7" refreshedVersion="7" minRefreshableVersion="3" recordCount="65" xr:uid="{3FFB91FF-AFF1-4B0B-8F83-FA0B08D49777}">
  <cacheSource type="worksheet">
    <worksheetSource name="car_inventory"/>
  </cacheSource>
  <cacheFields count="14">
    <cacheField name="Car ID" numFmtId="0">
      <sharedItems/>
    </cacheField>
    <cacheField name="Make" numFmtId="0">
      <sharedItems containsBlank="1"/>
    </cacheField>
    <cacheField name="Make (Full Name)" numFmtId="0">
      <sharedItems containsBlank="1"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MixedTypes="1" containsNumber="1" containsInteger="1" minValue="7" maxValue="25"/>
    </cacheField>
    <cacheField name="Miles" numFmtId="0">
      <sharedItems containsString="0" containsBlank="1" containsNumber="1" minValue="3708.1" maxValue="114660.6"/>
    </cacheField>
    <cacheField name="Miles / Year" numFmtId="0">
      <sharedItems containsMixedTypes="1" containsNumber="1" minValue="529.7285714285714" maxValue="4586.424"/>
    </cacheField>
    <cacheField name="Color" numFmtId="0">
      <sharedItems/>
    </cacheField>
    <cacheField name="Driver" numFmtId="0">
      <sharedItems count="18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  <s v=""/>
      </sharedItems>
    </cacheField>
    <cacheField name="Warantee Miles" numFmtId="0">
      <sharedItems containsString="0" containsBlank="1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x v="0"/>
    <x v="0"/>
    <s v="NM"/>
  </r>
  <r>
    <s v="Jan"/>
    <n v="1002"/>
    <n v="2877"/>
    <s v="Net"/>
    <n v="11.4"/>
    <n v="16.3"/>
    <n v="4.9000000000000004"/>
    <n v="0.49000000000000005"/>
    <x v="1"/>
    <x v="1"/>
    <s v="CA"/>
  </r>
  <r>
    <s v="Jan"/>
    <n v="1003"/>
    <n v="2499"/>
    <s v="8 ft Hose"/>
    <n v="6.2"/>
    <n v="9.1999999999999993"/>
    <n v="2.9999999999999991"/>
    <n v="0.29999999999999993"/>
    <x v="2"/>
    <x v="2"/>
    <s v="AZ"/>
  </r>
  <r>
    <s v="Jan"/>
    <n v="1004"/>
    <n v="8722"/>
    <s v="Water Pump"/>
    <n v="344"/>
    <n v="502"/>
    <n v="158"/>
    <n v="31.6"/>
    <x v="0"/>
    <x v="0"/>
    <s v="AZ"/>
  </r>
  <r>
    <s v="Jan"/>
    <n v="1005"/>
    <n v="1109"/>
    <s v="Chlorine Test Kit"/>
    <n v="3"/>
    <n v="8"/>
    <n v="5"/>
    <n v="0.5"/>
    <x v="2"/>
    <x v="2"/>
    <s v="AZ"/>
  </r>
  <r>
    <s v="Jan"/>
    <n v="1006"/>
    <n v="9822"/>
    <s v="Pool Cover"/>
    <n v="58.3"/>
    <n v="98.4"/>
    <n v="40.100000000000009"/>
    <n v="8.0200000000000014"/>
    <x v="2"/>
    <x v="2"/>
    <s v="AZ"/>
  </r>
  <r>
    <s v="Jan"/>
    <n v="1007"/>
    <n v="1109"/>
    <s v="Chlorine Test Kit"/>
    <n v="3"/>
    <n v="8"/>
    <n v="5"/>
    <n v="0.5"/>
    <x v="3"/>
    <x v="3"/>
    <s v="NM"/>
  </r>
  <r>
    <s v="Jan"/>
    <n v="1008"/>
    <n v="2877"/>
    <s v="Net"/>
    <n v="11.4"/>
    <n v="16.3"/>
    <n v="4.9000000000000004"/>
    <n v="0.49000000000000005"/>
    <x v="2"/>
    <x v="2"/>
    <s v="NM"/>
  </r>
  <r>
    <s v="Jan"/>
    <n v="1009"/>
    <n v="1109"/>
    <s v="Chlorine Test Kit"/>
    <n v="3"/>
    <n v="8"/>
    <n v="5"/>
    <n v="0.5"/>
    <x v="2"/>
    <x v="2"/>
    <s v="AZ"/>
  </r>
  <r>
    <s v="Jan"/>
    <n v="1010"/>
    <n v="2877"/>
    <s v="Net"/>
    <n v="11.4"/>
    <n v="16.3"/>
    <n v="4.9000000000000004"/>
    <n v="0.49000000000000005"/>
    <x v="1"/>
    <x v="1"/>
    <s v="CO"/>
  </r>
  <r>
    <s v="Jan"/>
    <n v="1011"/>
    <n v="2877"/>
    <s v="Net"/>
    <n v="11.4"/>
    <n v="16.3"/>
    <n v="4.9000000000000004"/>
    <n v="0.49000000000000005"/>
    <x v="1"/>
    <x v="1"/>
    <s v="AZ"/>
  </r>
  <r>
    <s v="Jan"/>
    <n v="1012"/>
    <n v="4421"/>
    <s v="Skimmer"/>
    <n v="45"/>
    <n v="87"/>
    <n v="42"/>
    <n v="8.4"/>
    <x v="2"/>
    <x v="2"/>
    <s v="NM"/>
  </r>
  <r>
    <s v="Jan"/>
    <n v="1013"/>
    <n v="9212"/>
    <s v="1 Gal Muratic Acid"/>
    <n v="4"/>
    <n v="7"/>
    <n v="3"/>
    <n v="0.30000000000000004"/>
    <x v="3"/>
    <x v="3"/>
    <s v="CO"/>
  </r>
  <r>
    <s v="Jan"/>
    <n v="1014"/>
    <n v="8722"/>
    <s v="Water Pump"/>
    <n v="344"/>
    <n v="502"/>
    <n v="158"/>
    <n v="31.6"/>
    <x v="0"/>
    <x v="0"/>
    <s v="CA"/>
  </r>
  <r>
    <s v="Jan"/>
    <n v="1015"/>
    <n v="2877"/>
    <s v="Net"/>
    <n v="11.4"/>
    <n v="16.3"/>
    <n v="4.9000000000000004"/>
    <n v="0.49000000000000005"/>
    <x v="3"/>
    <x v="3"/>
    <s v="AZ"/>
  </r>
  <r>
    <s v="Jan"/>
    <n v="1016"/>
    <n v="2499"/>
    <s v="8 ft Hose"/>
    <n v="6.2"/>
    <n v="9.1999999999999993"/>
    <n v="2.9999999999999991"/>
    <n v="0.29999999999999993"/>
    <x v="2"/>
    <x v="2"/>
    <s v="CA"/>
  </r>
  <r>
    <s v="Feb"/>
    <n v="1017"/>
    <n v="2242"/>
    <s v="AutoVac"/>
    <n v="60"/>
    <n v="124"/>
    <n v="64"/>
    <n v="12.8"/>
    <x v="1"/>
    <x v="1"/>
    <s v="NM"/>
  </r>
  <r>
    <s v="Feb"/>
    <n v="1018"/>
    <n v="1109"/>
    <s v="Chlorine Test Kit"/>
    <n v="3"/>
    <n v="8"/>
    <n v="5"/>
    <n v="0.5"/>
    <x v="2"/>
    <x v="2"/>
    <s v="CA"/>
  </r>
  <r>
    <s v="Feb"/>
    <n v="1019"/>
    <n v="2499"/>
    <s v="8 ft Hose"/>
    <n v="6.2"/>
    <n v="9.1999999999999993"/>
    <n v="2.9999999999999991"/>
    <n v="0.29999999999999993"/>
    <x v="2"/>
    <x v="2"/>
    <s v="CO"/>
  </r>
  <r>
    <s v="Feb"/>
    <n v="1020"/>
    <n v="2499"/>
    <s v="8 ft Hose"/>
    <n v="6.2"/>
    <n v="9.1999999999999993"/>
    <n v="2.9999999999999991"/>
    <n v="0.29999999999999993"/>
    <x v="2"/>
    <x v="2"/>
    <s v="NV"/>
  </r>
  <r>
    <s v="Feb"/>
    <n v="1021"/>
    <n v="1109"/>
    <s v="Chlorine Test Kit"/>
    <n v="3"/>
    <n v="8"/>
    <n v="5"/>
    <n v="0.5"/>
    <x v="1"/>
    <x v="1"/>
    <s v="CO"/>
  </r>
  <r>
    <s v="Feb"/>
    <n v="1022"/>
    <n v="2877"/>
    <s v="Net"/>
    <n v="11.4"/>
    <n v="16.3"/>
    <n v="4.9000000000000004"/>
    <n v="0.49000000000000005"/>
    <x v="2"/>
    <x v="2"/>
    <s v="UT"/>
  </r>
  <r>
    <s v="Feb"/>
    <n v="1023"/>
    <n v="1109"/>
    <s v="Chlorine Test Kit"/>
    <n v="3"/>
    <n v="8"/>
    <n v="5"/>
    <n v="0.5"/>
    <x v="3"/>
    <x v="3"/>
    <s v="NM"/>
  </r>
  <r>
    <s v="Feb"/>
    <n v="1024"/>
    <n v="9212"/>
    <s v="1 Gal Muratic Acid"/>
    <n v="4"/>
    <n v="7"/>
    <n v="3"/>
    <n v="0.30000000000000004"/>
    <x v="1"/>
    <x v="1"/>
    <s v="UT"/>
  </r>
  <r>
    <s v="Feb"/>
    <n v="1025"/>
    <n v="2877"/>
    <s v="Net"/>
    <n v="11.4"/>
    <n v="16.3"/>
    <n v="4.9000000000000004"/>
    <n v="0.49000000000000005"/>
    <x v="3"/>
    <x v="3"/>
    <s v="NV"/>
  </r>
  <r>
    <s v="Feb"/>
    <n v="1026"/>
    <n v="6119"/>
    <s v="Algea Killer 8 oz"/>
    <n v="9"/>
    <n v="14"/>
    <n v="5"/>
    <n v="0.5"/>
    <x v="3"/>
    <x v="3"/>
    <s v="NM"/>
  </r>
  <r>
    <s v="Feb"/>
    <n v="1027"/>
    <n v="6119"/>
    <s v="Algea Killer 8 oz"/>
    <n v="9"/>
    <n v="14"/>
    <n v="5"/>
    <n v="0.5"/>
    <x v="0"/>
    <x v="0"/>
    <s v="NV"/>
  </r>
  <r>
    <s v="Feb"/>
    <n v="1028"/>
    <n v="8722"/>
    <s v="Water Pump"/>
    <n v="344"/>
    <n v="502"/>
    <n v="158"/>
    <n v="31.6"/>
    <x v="0"/>
    <x v="0"/>
    <s v="AZ"/>
  </r>
  <r>
    <s v="Feb"/>
    <n v="1029"/>
    <n v="2499"/>
    <s v="8 ft Hose"/>
    <n v="6.2"/>
    <n v="9.1999999999999993"/>
    <n v="2.9999999999999991"/>
    <n v="0.29999999999999993"/>
    <x v="1"/>
    <x v="1"/>
    <s v="AZ"/>
  </r>
  <r>
    <s v="Feb"/>
    <n v="1030"/>
    <n v="4421"/>
    <s v="Skimmer"/>
    <n v="45"/>
    <n v="87"/>
    <n v="42"/>
    <n v="8.4"/>
    <x v="1"/>
    <x v="1"/>
    <s v="NV"/>
  </r>
  <r>
    <s v="Feb"/>
    <n v="1031"/>
    <n v="1109"/>
    <s v="Chlorine Test Kit"/>
    <n v="3"/>
    <n v="8"/>
    <n v="5"/>
    <n v="0.5"/>
    <x v="1"/>
    <x v="1"/>
    <s v="CA"/>
  </r>
  <r>
    <s v="Feb"/>
    <n v="1032"/>
    <n v="2877"/>
    <s v="Net"/>
    <n v="11.4"/>
    <n v="16.3"/>
    <n v="4.9000000000000004"/>
    <n v="0.49000000000000005"/>
    <x v="0"/>
    <x v="0"/>
    <s v="AZ"/>
  </r>
  <r>
    <s v="Feb"/>
    <n v="1033"/>
    <n v="9822"/>
    <s v="Pool Cover"/>
    <n v="58.3"/>
    <n v="98.4"/>
    <n v="40.100000000000009"/>
    <n v="8.0200000000000014"/>
    <x v="1"/>
    <x v="1"/>
    <s v="CA"/>
  </r>
  <r>
    <s v="Feb"/>
    <n v="1034"/>
    <n v="2877"/>
    <s v="Net"/>
    <n v="11.4"/>
    <n v="16.3"/>
    <n v="4.9000000000000004"/>
    <n v="0.49000000000000005"/>
    <x v="1"/>
    <x v="1"/>
    <s v="CO"/>
  </r>
  <r>
    <s v="Mar"/>
    <n v="1035"/>
    <n v="2499"/>
    <s v="8 ft Hose"/>
    <n v="6.2"/>
    <n v="9.1999999999999993"/>
    <n v="2.9999999999999991"/>
    <n v="0.29999999999999993"/>
    <x v="3"/>
    <x v="3"/>
    <s v="CA"/>
  </r>
  <r>
    <s v="Mar"/>
    <n v="1036"/>
    <n v="2499"/>
    <s v="8 ft Hose"/>
    <n v="6.2"/>
    <n v="9.1999999999999993"/>
    <n v="2.9999999999999991"/>
    <n v="0.29999999999999993"/>
    <x v="1"/>
    <x v="1"/>
    <s v="NV"/>
  </r>
  <r>
    <s v="Mar"/>
    <n v="1037"/>
    <n v="6622"/>
    <s v="5 Gal Chlorine"/>
    <n v="42"/>
    <n v="77"/>
    <n v="35"/>
    <n v="7"/>
    <x v="1"/>
    <x v="1"/>
    <s v="NV"/>
  </r>
  <r>
    <s v="Mar"/>
    <n v="1038"/>
    <n v="2499"/>
    <s v="8 ft Hose"/>
    <n v="6.2"/>
    <n v="9.1999999999999993"/>
    <n v="2.9999999999999991"/>
    <n v="0.29999999999999993"/>
    <x v="1"/>
    <x v="1"/>
    <s v="NV"/>
  </r>
  <r>
    <s v="Mar"/>
    <n v="1039"/>
    <n v="2877"/>
    <s v="Net"/>
    <n v="11.4"/>
    <n v="16.3"/>
    <n v="4.9000000000000004"/>
    <n v="0.49000000000000005"/>
    <x v="1"/>
    <x v="1"/>
    <s v="CA"/>
  </r>
  <r>
    <s v="Mar"/>
    <n v="1040"/>
    <n v="1109"/>
    <s v="Chlorine Test Kit"/>
    <n v="3"/>
    <n v="8"/>
    <n v="5"/>
    <n v="0.5"/>
    <x v="1"/>
    <x v="1"/>
    <s v="AZ"/>
  </r>
  <r>
    <s v="Mar"/>
    <n v="1041"/>
    <n v="2499"/>
    <s v="8 ft Hose"/>
    <n v="6.2"/>
    <n v="9.1999999999999993"/>
    <n v="2.9999999999999991"/>
    <n v="0.29999999999999993"/>
    <x v="0"/>
    <x v="0"/>
    <s v="NM"/>
  </r>
  <r>
    <s v="Mar"/>
    <n v="1042"/>
    <n v="8722"/>
    <s v="Water Pump"/>
    <n v="344"/>
    <n v="502"/>
    <n v="158"/>
    <n v="31.6"/>
    <x v="2"/>
    <x v="2"/>
    <s v="NM"/>
  </r>
  <r>
    <s v="Mar"/>
    <n v="1043"/>
    <n v="2242"/>
    <s v="AutoVac"/>
    <n v="60"/>
    <n v="124"/>
    <n v="64"/>
    <n v="12.8"/>
    <x v="2"/>
    <x v="2"/>
    <s v="CA"/>
  </r>
  <r>
    <s v="Mar"/>
    <n v="1044"/>
    <n v="2877"/>
    <s v="Net"/>
    <n v="11.4"/>
    <n v="16.3"/>
    <n v="4.9000000000000004"/>
    <n v="0.49000000000000005"/>
    <x v="2"/>
    <x v="2"/>
    <s v="CA"/>
  </r>
  <r>
    <s v="Mar"/>
    <n v="1045"/>
    <n v="8722"/>
    <s v="Water Pump"/>
    <n v="344"/>
    <n v="502"/>
    <n v="158"/>
    <n v="31.6"/>
    <x v="3"/>
    <x v="3"/>
    <s v="AZ"/>
  </r>
  <r>
    <s v="Mar"/>
    <n v="1046"/>
    <n v="6119"/>
    <s v="Algea Killer 8 oz"/>
    <n v="9"/>
    <n v="14"/>
    <n v="5"/>
    <n v="0.5"/>
    <x v="1"/>
    <x v="1"/>
    <s v="UT"/>
  </r>
  <r>
    <s v="Mar"/>
    <n v="1047"/>
    <n v="6622"/>
    <s v="5 Gal Chlorine"/>
    <n v="42"/>
    <n v="77"/>
    <n v="35"/>
    <n v="7"/>
    <x v="3"/>
    <x v="3"/>
    <s v="AZ"/>
  </r>
  <r>
    <s v="Mar"/>
    <n v="1048"/>
    <n v="8722"/>
    <s v="Water Pump"/>
    <n v="344"/>
    <n v="502"/>
    <n v="158"/>
    <n v="31.6"/>
    <x v="0"/>
    <x v="0"/>
    <s v="AZ"/>
  </r>
  <r>
    <s v="April"/>
    <n v="1049"/>
    <n v="2499"/>
    <s v="8 ft Hose"/>
    <n v="6.2"/>
    <n v="9.1999999999999993"/>
    <n v="2.9999999999999991"/>
    <n v="0.29999999999999993"/>
    <x v="0"/>
    <x v="0"/>
    <s v="CO"/>
  </r>
  <r>
    <s v="April"/>
    <n v="1050"/>
    <n v="2877"/>
    <s v="Net"/>
    <n v="11.4"/>
    <n v="16.3"/>
    <n v="4.9000000000000004"/>
    <n v="0.49000000000000005"/>
    <x v="0"/>
    <x v="0"/>
    <s v="AZ"/>
  </r>
  <r>
    <s v="April"/>
    <n v="1051"/>
    <n v="6119"/>
    <s v="Algea Killer 8 oz"/>
    <n v="9"/>
    <n v="14"/>
    <n v="5"/>
    <n v="0.5"/>
    <x v="2"/>
    <x v="2"/>
    <s v="UT"/>
  </r>
  <r>
    <s v="April"/>
    <n v="1052"/>
    <n v="6622"/>
    <s v="5 Gal Chlorine"/>
    <n v="42"/>
    <n v="77"/>
    <n v="35"/>
    <n v="7"/>
    <x v="2"/>
    <x v="2"/>
    <s v="AZ"/>
  </r>
  <r>
    <s v="April"/>
    <n v="1053"/>
    <n v="2242"/>
    <s v="AutoVac"/>
    <n v="60"/>
    <n v="124"/>
    <n v="64"/>
    <n v="12.8"/>
    <x v="0"/>
    <x v="0"/>
    <s v="CA"/>
  </r>
  <r>
    <s v="April"/>
    <n v="1054"/>
    <n v="4421"/>
    <s v="Skimmer"/>
    <n v="45"/>
    <n v="87"/>
    <n v="42"/>
    <n v="8.4"/>
    <x v="2"/>
    <x v="2"/>
    <s v="NV"/>
  </r>
  <r>
    <s v="April"/>
    <n v="1055"/>
    <n v="6119"/>
    <s v="Algea Killer 8 oz"/>
    <n v="9"/>
    <n v="14"/>
    <n v="5"/>
    <n v="0.5"/>
    <x v="1"/>
    <x v="1"/>
    <s v="NV"/>
  </r>
  <r>
    <s v="April"/>
    <n v="1056"/>
    <n v="1109"/>
    <s v="Chlorine Test Kit"/>
    <n v="3"/>
    <n v="8"/>
    <n v="5"/>
    <n v="0.5"/>
    <x v="2"/>
    <x v="2"/>
    <s v="CA"/>
  </r>
  <r>
    <s v="April"/>
    <n v="1057"/>
    <n v="2499"/>
    <s v="8 ft Hose"/>
    <n v="6.2"/>
    <n v="9.1999999999999993"/>
    <n v="2.9999999999999991"/>
    <n v="0.29999999999999993"/>
    <x v="1"/>
    <x v="1"/>
    <s v="CA"/>
  </r>
  <r>
    <s v="April"/>
    <n v="1058"/>
    <n v="6119"/>
    <s v="Algea Killer 8 oz"/>
    <n v="9"/>
    <n v="14"/>
    <n v="5"/>
    <n v="0.5"/>
    <x v="3"/>
    <x v="3"/>
    <s v="AZ"/>
  </r>
  <r>
    <s v="April"/>
    <n v="1059"/>
    <n v="2242"/>
    <s v="AutoVac"/>
    <n v="60"/>
    <n v="124"/>
    <n v="64"/>
    <n v="12.8"/>
    <x v="2"/>
    <x v="2"/>
    <s v="AZ"/>
  </r>
  <r>
    <s v="April"/>
    <n v="1060"/>
    <n v="6119"/>
    <s v="Algea Killer 8 oz"/>
    <n v="9"/>
    <n v="14"/>
    <n v="5"/>
    <n v="0.5"/>
    <x v="2"/>
    <x v="2"/>
    <s v="NV"/>
  </r>
  <r>
    <s v="May"/>
    <n v="1061"/>
    <n v="1109"/>
    <s v="Chlorine Test Kit"/>
    <n v="3"/>
    <n v="8"/>
    <n v="5"/>
    <n v="0.5"/>
    <x v="2"/>
    <x v="2"/>
    <s v="NV"/>
  </r>
  <r>
    <s v="May"/>
    <n v="1062"/>
    <n v="2499"/>
    <s v="8 ft Hose"/>
    <n v="6.2"/>
    <n v="9.1999999999999993"/>
    <n v="2.9999999999999991"/>
    <n v="0.29999999999999993"/>
    <x v="0"/>
    <x v="0"/>
    <s v="AZ"/>
  </r>
  <r>
    <s v="May"/>
    <n v="1063"/>
    <n v="1109"/>
    <s v="Chlorine Test Kit"/>
    <n v="3"/>
    <n v="8"/>
    <n v="5"/>
    <n v="0.5"/>
    <x v="2"/>
    <x v="2"/>
    <s v="CA"/>
  </r>
  <r>
    <s v="May"/>
    <n v="1064"/>
    <n v="2499"/>
    <s v="8 ft Hose"/>
    <n v="6.2"/>
    <n v="9.1999999999999993"/>
    <n v="2.9999999999999991"/>
    <n v="0.29999999999999993"/>
    <x v="3"/>
    <x v="3"/>
    <s v="AZ"/>
  </r>
  <r>
    <s v="May"/>
    <n v="1065"/>
    <n v="2499"/>
    <s v="8 ft Hose"/>
    <n v="6.2"/>
    <n v="9.1999999999999993"/>
    <n v="2.9999999999999991"/>
    <n v="0.29999999999999993"/>
    <x v="2"/>
    <x v="2"/>
    <s v="NM"/>
  </r>
  <r>
    <s v="May"/>
    <n v="1066"/>
    <n v="2877"/>
    <s v="Net"/>
    <n v="11.4"/>
    <n v="16.3"/>
    <n v="4.9000000000000004"/>
    <n v="0.49000000000000005"/>
    <x v="2"/>
    <x v="2"/>
    <s v="NV"/>
  </r>
  <r>
    <s v="May"/>
    <n v="1067"/>
    <n v="2877"/>
    <s v="Net"/>
    <n v="11.4"/>
    <n v="16.3"/>
    <n v="4.9000000000000004"/>
    <n v="0.49000000000000005"/>
    <x v="2"/>
    <x v="2"/>
    <s v="UT"/>
  </r>
  <r>
    <s v="May"/>
    <n v="1068"/>
    <n v="6119"/>
    <s v="Algea Killer 8 oz"/>
    <n v="9"/>
    <n v="14"/>
    <n v="5"/>
    <n v="0.5"/>
    <x v="1"/>
    <x v="1"/>
    <s v="CA"/>
  </r>
  <r>
    <s v="May"/>
    <n v="1069"/>
    <n v="1109"/>
    <s v="Chlorine Test Kit"/>
    <n v="3"/>
    <n v="8"/>
    <n v="5"/>
    <n v="0.5"/>
    <x v="2"/>
    <x v="2"/>
    <s v="AZ"/>
  </r>
  <r>
    <s v="May"/>
    <n v="1070"/>
    <n v="2499"/>
    <s v="8 ft Hose"/>
    <n v="6.2"/>
    <n v="9.1999999999999993"/>
    <n v="2.9999999999999991"/>
    <n v="0.29999999999999993"/>
    <x v="3"/>
    <x v="3"/>
    <s v="AZ"/>
  </r>
  <r>
    <s v="May"/>
    <n v="1071"/>
    <n v="1109"/>
    <s v="Chlorine Test Kit"/>
    <n v="3"/>
    <n v="8"/>
    <n v="5"/>
    <n v="0.5"/>
    <x v="0"/>
    <x v="0"/>
    <s v="AZ"/>
  </r>
  <r>
    <s v="May"/>
    <n v="1072"/>
    <n v="1109"/>
    <s v="Chlorine Test Kit"/>
    <n v="3"/>
    <n v="8"/>
    <n v="5"/>
    <n v="0.5"/>
    <x v="2"/>
    <x v="2"/>
    <s v="NV"/>
  </r>
  <r>
    <s v="May"/>
    <n v="1073"/>
    <n v="6622"/>
    <s v="5 Gal Chlorine"/>
    <n v="42"/>
    <n v="77"/>
    <n v="35"/>
    <n v="7"/>
    <x v="2"/>
    <x v="2"/>
    <s v="CA"/>
  </r>
  <r>
    <s v="May"/>
    <n v="1074"/>
    <n v="2877"/>
    <s v="Net"/>
    <n v="11.4"/>
    <n v="16.3"/>
    <n v="4.9000000000000004"/>
    <n v="0.49000000000000005"/>
    <x v="2"/>
    <x v="2"/>
    <s v="AZ"/>
  </r>
  <r>
    <s v="May"/>
    <n v="1075"/>
    <n v="1109"/>
    <s v="Chlorine Test Kit"/>
    <n v="3"/>
    <n v="8"/>
    <n v="5"/>
    <n v="0.5"/>
    <x v="3"/>
    <x v="3"/>
    <s v="CA"/>
  </r>
  <r>
    <s v="May"/>
    <n v="1076"/>
    <n v="1109"/>
    <s v="Chlorine Test Kit"/>
    <n v="3"/>
    <n v="8"/>
    <n v="5"/>
    <n v="0.5"/>
    <x v="1"/>
    <x v="1"/>
    <s v="AZ"/>
  </r>
  <r>
    <s v="May"/>
    <n v="1077"/>
    <n v="9822"/>
    <s v="Pool Cover"/>
    <n v="58.3"/>
    <n v="98.4"/>
    <n v="40.100000000000009"/>
    <n v="8.0200000000000014"/>
    <x v="3"/>
    <x v="3"/>
    <s v="AZ"/>
  </r>
  <r>
    <s v="May"/>
    <n v="1078"/>
    <n v="2877"/>
    <s v="Net"/>
    <n v="11.4"/>
    <n v="16.3"/>
    <n v="4.9000000000000004"/>
    <n v="0.49000000000000005"/>
    <x v="1"/>
    <x v="1"/>
    <s v="NV"/>
  </r>
  <r>
    <s v="June"/>
    <n v="1079"/>
    <n v="2877"/>
    <s v="Net"/>
    <n v="11.4"/>
    <n v="16.3"/>
    <n v="4.9000000000000004"/>
    <n v="0.49000000000000005"/>
    <x v="1"/>
    <x v="1"/>
    <s v="NM"/>
  </r>
  <r>
    <s v="June"/>
    <n v="1080"/>
    <n v="4421"/>
    <s v="Skimmer"/>
    <n v="45"/>
    <n v="87"/>
    <n v="42"/>
    <n v="8.4"/>
    <x v="2"/>
    <x v="2"/>
    <s v="CA"/>
  </r>
  <r>
    <s v="June"/>
    <n v="1081"/>
    <n v="6119"/>
    <s v="Algea Killer 8 oz"/>
    <n v="9"/>
    <n v="14"/>
    <n v="5"/>
    <n v="0.5"/>
    <x v="2"/>
    <x v="2"/>
    <s v="UT"/>
  </r>
  <r>
    <s v="June"/>
    <n v="1082"/>
    <n v="1109"/>
    <s v="Chlorine Test Kit"/>
    <n v="3"/>
    <n v="8"/>
    <n v="5"/>
    <n v="0.5"/>
    <x v="0"/>
    <x v="0"/>
    <s v="CA"/>
  </r>
  <r>
    <s v="June"/>
    <n v="1083"/>
    <n v="1109"/>
    <s v="Chlorine Test Kit"/>
    <n v="3"/>
    <n v="8"/>
    <n v="5"/>
    <n v="0.5"/>
    <x v="0"/>
    <x v="0"/>
    <s v="NV"/>
  </r>
  <r>
    <s v="June"/>
    <n v="1084"/>
    <n v="6119"/>
    <s v="Algea Killer 8 oz"/>
    <n v="9"/>
    <n v="14"/>
    <n v="5"/>
    <n v="0.5"/>
    <x v="0"/>
    <x v="0"/>
    <s v="AZ"/>
  </r>
  <r>
    <s v="June"/>
    <n v="1085"/>
    <n v="9822"/>
    <s v="Pool Cover"/>
    <n v="58.3"/>
    <n v="98.4"/>
    <n v="40.100000000000009"/>
    <n v="8.0200000000000014"/>
    <x v="2"/>
    <x v="2"/>
    <s v="NV"/>
  </r>
  <r>
    <s v="June"/>
    <n v="1086"/>
    <n v="1109"/>
    <s v="Chlorine Test Kit"/>
    <n v="3"/>
    <n v="8"/>
    <n v="5"/>
    <n v="0.5"/>
    <x v="3"/>
    <x v="3"/>
    <s v="AZ"/>
  </r>
  <r>
    <s v="June"/>
    <n v="1087"/>
    <n v="2499"/>
    <s v="8 ft Hose"/>
    <n v="6.2"/>
    <n v="9.1999999999999993"/>
    <n v="2.9999999999999991"/>
    <n v="0.29999999999999993"/>
    <x v="0"/>
    <x v="0"/>
    <s v="CA"/>
  </r>
  <r>
    <s v="June"/>
    <n v="1088"/>
    <n v="2499"/>
    <s v="8 ft Hose"/>
    <n v="6.2"/>
    <n v="9.1999999999999993"/>
    <n v="2.9999999999999991"/>
    <n v="0.29999999999999993"/>
    <x v="0"/>
    <x v="0"/>
    <s v="NM"/>
  </r>
  <r>
    <s v="June"/>
    <n v="1089"/>
    <n v="6119"/>
    <s v="Algea Killer 8 oz"/>
    <n v="9"/>
    <n v="14"/>
    <n v="5"/>
    <n v="0.5"/>
    <x v="2"/>
    <x v="2"/>
    <s v="NV"/>
  </r>
  <r>
    <s v="June"/>
    <n v="1090"/>
    <n v="2877"/>
    <s v="Net"/>
    <n v="11.4"/>
    <n v="16.3"/>
    <n v="4.9000000000000004"/>
    <n v="0.49000000000000005"/>
    <x v="0"/>
    <x v="0"/>
    <s v="CA"/>
  </r>
  <r>
    <s v="June"/>
    <n v="1091"/>
    <n v="2877"/>
    <s v="Net"/>
    <n v="11.4"/>
    <n v="16.3"/>
    <n v="4.9000000000000004"/>
    <n v="0.49000000000000005"/>
    <x v="3"/>
    <x v="3"/>
    <s v="NV"/>
  </r>
  <r>
    <s v="June"/>
    <n v="1092"/>
    <n v="2877"/>
    <s v="Net"/>
    <n v="11.4"/>
    <n v="16.3"/>
    <n v="4.9000000000000004"/>
    <n v="0.49000000000000005"/>
    <x v="2"/>
    <x v="2"/>
    <s v="CA"/>
  </r>
  <r>
    <s v="June"/>
    <n v="1093"/>
    <n v="6119"/>
    <s v="Algea Killer 8 oz"/>
    <n v="9"/>
    <n v="14"/>
    <n v="5"/>
    <n v="0.5"/>
    <x v="1"/>
    <x v="1"/>
    <s v="AZ"/>
  </r>
  <r>
    <s v="June"/>
    <n v="1094"/>
    <n v="6119"/>
    <s v="Algea Killer 8 oz"/>
    <n v="9"/>
    <n v="14"/>
    <n v="5"/>
    <n v="0.5"/>
    <x v="2"/>
    <x v="2"/>
    <s v="CA"/>
  </r>
  <r>
    <s v="June"/>
    <n v="1095"/>
    <n v="2499"/>
    <s v="8 ft Hose"/>
    <n v="6.2"/>
    <n v="9.1999999999999993"/>
    <n v="2.9999999999999991"/>
    <n v="0.29999999999999993"/>
    <x v="3"/>
    <x v="3"/>
    <s v="AZ"/>
  </r>
  <r>
    <s v="June"/>
    <n v="1096"/>
    <n v="6119"/>
    <s v="Algea Killer 8 oz"/>
    <n v="9"/>
    <n v="14"/>
    <n v="5"/>
    <n v="0.5"/>
    <x v="2"/>
    <x v="2"/>
    <s v="AZ"/>
  </r>
  <r>
    <s v="June"/>
    <n v="1097"/>
    <n v="9212"/>
    <s v="1 Gal Muratic Acid"/>
    <n v="4"/>
    <n v="7"/>
    <n v="3"/>
    <n v="0.30000000000000004"/>
    <x v="3"/>
    <x v="3"/>
    <s v="NV"/>
  </r>
  <r>
    <s v="June"/>
    <n v="1098"/>
    <n v="2877"/>
    <s v="Net"/>
    <n v="11.4"/>
    <n v="16.3"/>
    <n v="4.9000000000000004"/>
    <n v="0.49000000000000005"/>
    <x v="1"/>
    <x v="1"/>
    <s v="NM"/>
  </r>
  <r>
    <s v="July"/>
    <n v="1099"/>
    <n v="2877"/>
    <s v="Net"/>
    <n v="11.4"/>
    <n v="16.3"/>
    <n v="4.9000000000000004"/>
    <n v="0.49000000000000005"/>
    <x v="2"/>
    <x v="2"/>
    <s v="CA"/>
  </r>
  <r>
    <s v="July"/>
    <n v="1100"/>
    <n v="6119"/>
    <s v="Algea Killer 8 oz"/>
    <n v="9"/>
    <n v="14"/>
    <n v="5"/>
    <n v="0.5"/>
    <x v="0"/>
    <x v="0"/>
    <s v="UT"/>
  </r>
  <r>
    <s v="July"/>
    <n v="1101"/>
    <n v="2499"/>
    <s v="8 ft Hose"/>
    <n v="6.2"/>
    <n v="9.1999999999999993"/>
    <n v="2.9999999999999991"/>
    <n v="0.29999999999999993"/>
    <x v="2"/>
    <x v="2"/>
    <s v="CA"/>
  </r>
  <r>
    <s v="July"/>
    <n v="1102"/>
    <n v="2242"/>
    <s v="AutoVac"/>
    <n v="60"/>
    <n v="124"/>
    <n v="64"/>
    <n v="12.8"/>
    <x v="1"/>
    <x v="1"/>
    <s v="NV"/>
  </r>
  <r>
    <s v="July"/>
    <n v="1103"/>
    <n v="2877"/>
    <s v="Net"/>
    <n v="11.4"/>
    <n v="16.3"/>
    <n v="4.9000000000000004"/>
    <n v="0.49000000000000005"/>
    <x v="1"/>
    <x v="1"/>
    <s v="AZ"/>
  </r>
  <r>
    <s v="July"/>
    <n v="1104"/>
    <n v="2877"/>
    <s v="Net"/>
    <n v="11.4"/>
    <n v="16.3"/>
    <n v="4.9000000000000004"/>
    <n v="0.49000000000000005"/>
    <x v="2"/>
    <x v="2"/>
    <s v="NV"/>
  </r>
  <r>
    <s v="July"/>
    <n v="1105"/>
    <n v="2499"/>
    <s v="8 ft Hose"/>
    <n v="6.2"/>
    <n v="9.1999999999999993"/>
    <n v="2.9999999999999991"/>
    <n v="0.29999999999999993"/>
    <x v="1"/>
    <x v="1"/>
    <s v="AZ"/>
  </r>
  <r>
    <s v="July"/>
    <n v="1106"/>
    <n v="9822"/>
    <s v="Pool Cover"/>
    <n v="58.3"/>
    <n v="98.4"/>
    <n v="40.100000000000009"/>
    <n v="8.0200000000000014"/>
    <x v="1"/>
    <x v="1"/>
    <s v="CA"/>
  </r>
  <r>
    <s v="July"/>
    <n v="1107"/>
    <n v="1109"/>
    <s v="Chlorine Test Kit"/>
    <n v="3"/>
    <n v="8"/>
    <n v="5"/>
    <n v="0.5"/>
    <x v="3"/>
    <x v="3"/>
    <s v="NM"/>
  </r>
  <r>
    <s v="July"/>
    <n v="1108"/>
    <n v="9822"/>
    <s v="Pool Cover"/>
    <n v="58.3"/>
    <n v="98.4"/>
    <n v="40.100000000000009"/>
    <n v="8.0200000000000014"/>
    <x v="2"/>
    <x v="2"/>
    <s v="NV"/>
  </r>
  <r>
    <s v="July"/>
    <n v="1109"/>
    <n v="8722"/>
    <s v="Water Pump"/>
    <n v="344"/>
    <n v="502"/>
    <n v="158"/>
    <n v="31.6"/>
    <x v="1"/>
    <x v="1"/>
    <s v="CA"/>
  </r>
  <r>
    <s v="July"/>
    <n v="1110"/>
    <n v="8722"/>
    <s v="Water Pump"/>
    <n v="344"/>
    <n v="502"/>
    <n v="158"/>
    <n v="31.6"/>
    <x v="3"/>
    <x v="3"/>
    <s v="NV"/>
  </r>
  <r>
    <s v="July"/>
    <n v="1111"/>
    <n v="6622"/>
    <s v="5 Gal Chlorine"/>
    <n v="42"/>
    <n v="77"/>
    <n v="35"/>
    <n v="7"/>
    <x v="3"/>
    <x v="3"/>
    <s v="CA"/>
  </r>
  <r>
    <s v="July"/>
    <n v="1112"/>
    <n v="6622"/>
    <s v="5 Gal Chlorine"/>
    <n v="42"/>
    <n v="77"/>
    <n v="35"/>
    <n v="7"/>
    <x v="2"/>
    <x v="2"/>
    <s v="AZ"/>
  </r>
  <r>
    <s v="July"/>
    <n v="1113"/>
    <n v="9822"/>
    <s v="Pool Cover"/>
    <n v="58.3"/>
    <n v="98.4"/>
    <n v="40.100000000000009"/>
    <n v="8.0200000000000014"/>
    <x v="0"/>
    <x v="0"/>
    <s v="CA"/>
  </r>
  <r>
    <s v="July"/>
    <n v="1114"/>
    <n v="2242"/>
    <s v="AutoVac"/>
    <n v="60"/>
    <n v="124"/>
    <n v="64"/>
    <n v="12.8"/>
    <x v="1"/>
    <x v="1"/>
    <s v="AZ"/>
  </r>
  <r>
    <s v="July"/>
    <n v="1115"/>
    <n v="8722"/>
    <s v="Water Pump"/>
    <n v="344"/>
    <n v="502"/>
    <n v="158"/>
    <n v="31.6"/>
    <x v="0"/>
    <x v="0"/>
    <s v="AZ"/>
  </r>
  <r>
    <s v="July"/>
    <n v="1116"/>
    <n v="6622"/>
    <s v="5 Gal Chlorine"/>
    <n v="42"/>
    <n v="77"/>
    <n v="35"/>
    <n v="7"/>
    <x v="2"/>
    <x v="2"/>
    <s v="NV"/>
  </r>
  <r>
    <s v="July"/>
    <n v="1117"/>
    <n v="8722"/>
    <s v="Water Pump"/>
    <n v="344"/>
    <n v="502"/>
    <n v="158"/>
    <n v="31.6"/>
    <x v="3"/>
    <x v="3"/>
    <s v="NM"/>
  </r>
  <r>
    <s v="July"/>
    <n v="1118"/>
    <n v="9822"/>
    <s v="Pool Cover"/>
    <n v="58.3"/>
    <n v="98.4"/>
    <n v="40.100000000000009"/>
    <n v="8.0200000000000014"/>
    <x v="1"/>
    <x v="1"/>
    <s v="CA"/>
  </r>
  <r>
    <s v="July"/>
    <n v="1119"/>
    <n v="2242"/>
    <s v="AutoVac"/>
    <n v="60"/>
    <n v="124"/>
    <n v="64"/>
    <n v="12.8"/>
    <x v="0"/>
    <x v="0"/>
    <s v="UT"/>
  </r>
  <r>
    <s v="July"/>
    <n v="1120"/>
    <n v="2242"/>
    <s v="AutoVac"/>
    <n v="60"/>
    <n v="124"/>
    <n v="64"/>
    <n v="12.8"/>
    <x v="2"/>
    <x v="2"/>
    <s v="CA"/>
  </r>
  <r>
    <s v="July"/>
    <n v="1121"/>
    <n v="4421"/>
    <s v="Skimmer"/>
    <n v="45"/>
    <n v="87"/>
    <n v="42"/>
    <n v="8.4"/>
    <x v="2"/>
    <x v="2"/>
    <s v="NV"/>
  </r>
  <r>
    <s v="July"/>
    <n v="1122"/>
    <n v="8722"/>
    <s v="Water Pump"/>
    <n v="344"/>
    <n v="502"/>
    <n v="158"/>
    <n v="31.6"/>
    <x v="2"/>
    <x v="2"/>
    <s v="AZ"/>
  </r>
  <r>
    <s v="July"/>
    <n v="1123"/>
    <n v="9822"/>
    <s v="Pool Cover"/>
    <n v="58.3"/>
    <n v="98.4"/>
    <n v="40.100000000000009"/>
    <n v="8.0200000000000014"/>
    <x v="2"/>
    <x v="2"/>
    <s v="NV"/>
  </r>
  <r>
    <s v="July"/>
    <n v="1124"/>
    <n v="4421"/>
    <s v="Skimmer"/>
    <n v="45"/>
    <n v="87"/>
    <n v="42"/>
    <n v="8.4"/>
    <x v="2"/>
    <x v="2"/>
    <s v="AZ"/>
  </r>
  <r>
    <s v="Aug"/>
    <n v="1125"/>
    <n v="2242"/>
    <s v="AutoVac"/>
    <n v="60"/>
    <n v="124"/>
    <n v="64"/>
    <n v="12.8"/>
    <x v="2"/>
    <x v="2"/>
    <s v="CA"/>
  </r>
  <r>
    <s v="Aug"/>
    <n v="1126"/>
    <n v="9212"/>
    <s v="1 Gal Muratic Acid"/>
    <n v="4"/>
    <n v="7"/>
    <n v="3"/>
    <n v="0.30000000000000004"/>
    <x v="2"/>
    <x v="2"/>
    <s v="NM"/>
  </r>
  <r>
    <s v="Aug"/>
    <n v="1127"/>
    <n v="8722"/>
    <s v="Water Pump"/>
    <n v="344"/>
    <n v="502"/>
    <n v="158"/>
    <n v="31.6"/>
    <x v="0"/>
    <x v="0"/>
    <s v="NV"/>
  </r>
  <r>
    <s v="Aug"/>
    <n v="1128"/>
    <n v="6622"/>
    <s v="5 Gal Chlorine"/>
    <n v="42"/>
    <n v="77"/>
    <n v="35"/>
    <n v="7"/>
    <x v="1"/>
    <x v="1"/>
    <s v="CA"/>
  </r>
  <r>
    <s v="Aug"/>
    <n v="1129"/>
    <n v="9822"/>
    <s v="Pool Cover"/>
    <n v="58.3"/>
    <n v="98.4"/>
    <n v="40.100000000000009"/>
    <n v="8.0200000000000014"/>
    <x v="3"/>
    <x v="3"/>
    <s v="NV"/>
  </r>
  <r>
    <s v="Aug"/>
    <n v="1130"/>
    <n v="4421"/>
    <s v="Skimmer"/>
    <n v="45"/>
    <n v="87"/>
    <n v="42"/>
    <n v="8.4"/>
    <x v="3"/>
    <x v="3"/>
    <s v="CA"/>
  </r>
  <r>
    <s v="Aug"/>
    <n v="1131"/>
    <n v="9212"/>
    <s v="1 Gal Muratic Acid"/>
    <n v="4"/>
    <n v="7"/>
    <n v="3"/>
    <n v="0.30000000000000004"/>
    <x v="3"/>
    <x v="3"/>
    <s v="AZ"/>
  </r>
  <r>
    <s v="Aug"/>
    <n v="1132"/>
    <n v="9212"/>
    <s v="1 Gal Muratic Acid"/>
    <n v="4"/>
    <n v="7"/>
    <n v="3"/>
    <n v="0.30000000000000004"/>
    <x v="3"/>
    <x v="3"/>
    <s v="CA"/>
  </r>
  <r>
    <s v="Aug"/>
    <n v="1133"/>
    <n v="9822"/>
    <s v="Pool Cover"/>
    <n v="58.3"/>
    <n v="98.4"/>
    <n v="40.100000000000009"/>
    <n v="8.0200000000000014"/>
    <x v="0"/>
    <x v="0"/>
    <s v="AZ"/>
  </r>
  <r>
    <s v="Aug"/>
    <n v="1134"/>
    <n v="9822"/>
    <s v="Pool Cover"/>
    <n v="58.3"/>
    <n v="98.4"/>
    <n v="40.100000000000009"/>
    <n v="8.0200000000000014"/>
    <x v="2"/>
    <x v="2"/>
    <s v="AZ"/>
  </r>
  <r>
    <s v="Aug"/>
    <n v="1135"/>
    <n v="8722"/>
    <s v="Water Pump"/>
    <n v="344"/>
    <n v="502"/>
    <n v="158"/>
    <n v="31.6"/>
    <x v="0"/>
    <x v="0"/>
    <s v="NV"/>
  </r>
  <r>
    <s v="Aug"/>
    <n v="1136"/>
    <n v="2242"/>
    <s v="AutoVac"/>
    <n v="60"/>
    <n v="124"/>
    <n v="64"/>
    <n v="12.8"/>
    <x v="2"/>
    <x v="2"/>
    <s v="NM"/>
  </r>
  <r>
    <s v="Aug"/>
    <n v="1137"/>
    <n v="9822"/>
    <s v="Pool Cover"/>
    <n v="58.3"/>
    <n v="98.4"/>
    <n v="40.100000000000009"/>
    <n v="8.0200000000000014"/>
    <x v="1"/>
    <x v="1"/>
    <s v="CA"/>
  </r>
  <r>
    <s v="Aug"/>
    <n v="1138"/>
    <n v="8722"/>
    <s v="Water Pump"/>
    <n v="344"/>
    <n v="502"/>
    <n v="158"/>
    <n v="31.6"/>
    <x v="0"/>
    <x v="0"/>
    <s v="UT"/>
  </r>
  <r>
    <s v="Aug"/>
    <n v="1139"/>
    <n v="4421"/>
    <s v="Skimmer"/>
    <n v="45"/>
    <n v="87"/>
    <n v="42"/>
    <n v="8.4"/>
    <x v="2"/>
    <x v="2"/>
    <s v="CA"/>
  </r>
  <r>
    <s v="Aug"/>
    <n v="1140"/>
    <n v="4421"/>
    <s v="Skimmer"/>
    <n v="45"/>
    <n v="87"/>
    <n v="42"/>
    <n v="8.4"/>
    <x v="1"/>
    <x v="1"/>
    <s v="NV"/>
  </r>
  <r>
    <s v="Aug"/>
    <n v="1141"/>
    <n v="9212"/>
    <s v="1 Gal Muratic Acid"/>
    <n v="4"/>
    <n v="7"/>
    <n v="3"/>
    <n v="0.30000000000000004"/>
    <x v="1"/>
    <x v="1"/>
    <s v="AZ"/>
  </r>
  <r>
    <s v="Sept"/>
    <n v="1142"/>
    <n v="2242"/>
    <s v="AutoVac"/>
    <n v="60"/>
    <n v="124"/>
    <n v="64"/>
    <n v="12.8"/>
    <x v="1"/>
    <x v="1"/>
    <s v="NV"/>
  </r>
  <r>
    <s v="Sept"/>
    <n v="1143"/>
    <n v="9822"/>
    <s v="Pool Cover"/>
    <n v="58.3"/>
    <n v="98.4"/>
    <n v="40.100000000000009"/>
    <n v="8.0200000000000014"/>
    <x v="3"/>
    <x v="3"/>
    <s v="AZ"/>
  </r>
  <r>
    <s v="Sept"/>
    <n v="1144"/>
    <n v="2242"/>
    <s v="AutoVac"/>
    <n v="60"/>
    <n v="124"/>
    <n v="64"/>
    <n v="12.8"/>
    <x v="3"/>
    <x v="3"/>
    <s v="CA"/>
  </r>
  <r>
    <s v="Sept"/>
    <n v="1145"/>
    <n v="4421"/>
    <s v="Skimmer"/>
    <n v="45"/>
    <n v="87"/>
    <n v="42"/>
    <n v="8.4"/>
    <x v="3"/>
    <x v="3"/>
    <s v="NM"/>
  </r>
  <r>
    <s v="Sept"/>
    <n v="1146"/>
    <n v="8722"/>
    <s v="Water Pump"/>
    <n v="344"/>
    <n v="502"/>
    <n v="158"/>
    <n v="31.6"/>
    <x v="3"/>
    <x v="3"/>
    <s v="NV"/>
  </r>
  <r>
    <s v="Sept"/>
    <n v="1147"/>
    <n v="9822"/>
    <s v="Pool Cover"/>
    <n v="58.3"/>
    <n v="98.4"/>
    <n v="40.100000000000009"/>
    <n v="8.0200000000000014"/>
    <x v="0"/>
    <x v="0"/>
    <s v="CA"/>
  </r>
  <r>
    <s v="Sept"/>
    <n v="1148"/>
    <n v="9212"/>
    <s v="1 Gal Muratic Acid"/>
    <n v="4"/>
    <n v="7"/>
    <n v="3"/>
    <n v="0.30000000000000004"/>
    <x v="2"/>
    <x v="2"/>
    <s v="AZ"/>
  </r>
  <r>
    <s v="Sept"/>
    <n v="1149"/>
    <n v="8722"/>
    <s v="Water Pump"/>
    <n v="344"/>
    <n v="502"/>
    <n v="158"/>
    <n v="31.6"/>
    <x v="0"/>
    <x v="0"/>
    <s v="AZ"/>
  </r>
  <r>
    <s v="Oct"/>
    <n v="1150"/>
    <n v="2242"/>
    <s v="AutoVac"/>
    <n v="60"/>
    <n v="124"/>
    <n v="64"/>
    <n v="12.8"/>
    <x v="2"/>
    <x v="2"/>
    <s v="UT"/>
  </r>
  <r>
    <s v="Oct"/>
    <n v="1151"/>
    <n v="2242"/>
    <s v="AutoVac"/>
    <n v="60"/>
    <n v="124"/>
    <n v="64"/>
    <n v="12.8"/>
    <x v="1"/>
    <x v="1"/>
    <s v="CA"/>
  </r>
  <r>
    <s v="Oct"/>
    <n v="1152"/>
    <n v="4421"/>
    <s v="Skimmer"/>
    <n v="45"/>
    <n v="87"/>
    <n v="42"/>
    <n v="8.4"/>
    <x v="0"/>
    <x v="0"/>
    <s v="NV"/>
  </r>
  <r>
    <s v="Oct"/>
    <n v="1153"/>
    <n v="8722"/>
    <s v="Water Pump"/>
    <n v="344"/>
    <n v="502"/>
    <n v="158"/>
    <n v="31.6"/>
    <x v="2"/>
    <x v="2"/>
    <s v="AZ"/>
  </r>
  <r>
    <s v="Oct"/>
    <n v="1154"/>
    <n v="9822"/>
    <s v="Pool Cover"/>
    <n v="58.3"/>
    <n v="98.4"/>
    <n v="40.100000000000009"/>
    <n v="8.0200000000000014"/>
    <x v="1"/>
    <x v="1"/>
    <s v="NV"/>
  </r>
  <r>
    <s v="Oct"/>
    <n v="1155"/>
    <n v="4421"/>
    <s v="Skimmer"/>
    <n v="45"/>
    <n v="87"/>
    <n v="42"/>
    <n v="8.4"/>
    <x v="2"/>
    <x v="2"/>
    <s v="AZ"/>
  </r>
  <r>
    <s v="Oct"/>
    <n v="1156"/>
    <n v="2242"/>
    <s v="AutoVac"/>
    <n v="60"/>
    <n v="124"/>
    <n v="64"/>
    <n v="12.8"/>
    <x v="2"/>
    <x v="2"/>
    <s v="CA"/>
  </r>
  <r>
    <s v="Oct"/>
    <n v="1157"/>
    <n v="9212"/>
    <s v="1 Gal Muratic Acid"/>
    <n v="4"/>
    <n v="7"/>
    <n v="3"/>
    <n v="0.30000000000000004"/>
    <x v="2"/>
    <x v="2"/>
    <s v="NM"/>
  </r>
  <r>
    <s v="Nov"/>
    <n v="1158"/>
    <n v="8722"/>
    <s v="Water Pump"/>
    <n v="344"/>
    <n v="502"/>
    <n v="158"/>
    <n v="31.6"/>
    <x v="0"/>
    <x v="0"/>
    <s v="NV"/>
  </r>
  <r>
    <s v="Nov"/>
    <n v="1159"/>
    <n v="6622"/>
    <s v="5 Gal Chlorine"/>
    <n v="42"/>
    <n v="77"/>
    <n v="35"/>
    <n v="7"/>
    <x v="2"/>
    <x v="2"/>
    <s v="CA"/>
  </r>
  <r>
    <s v="Nov"/>
    <n v="1160"/>
    <n v="9822"/>
    <s v="Pool Cover"/>
    <n v="58.3"/>
    <n v="98.4"/>
    <n v="40.100000000000009"/>
    <n v="8.0200000000000014"/>
    <x v="3"/>
    <x v="3"/>
    <s v="NV"/>
  </r>
  <r>
    <s v="Nov"/>
    <n v="1161"/>
    <n v="4421"/>
    <s v="Skimmer"/>
    <n v="45"/>
    <n v="87"/>
    <n v="42"/>
    <n v="8.4"/>
    <x v="1"/>
    <x v="1"/>
    <s v="CA"/>
  </r>
  <r>
    <s v="Nov"/>
    <n v="1162"/>
    <n v="9212"/>
    <s v="1 Gal Muratic Acid"/>
    <n v="4"/>
    <n v="7"/>
    <n v="3"/>
    <n v="0.30000000000000004"/>
    <x v="0"/>
    <x v="0"/>
    <s v="AZ"/>
  </r>
  <r>
    <s v="Nov"/>
    <n v="1163"/>
    <n v="9212"/>
    <s v="1 Gal Muratic Acid"/>
    <n v="4"/>
    <n v="7"/>
    <n v="3"/>
    <n v="0.30000000000000004"/>
    <x v="2"/>
    <x v="2"/>
    <s v="CA"/>
  </r>
  <r>
    <s v="Nov"/>
    <n v="1164"/>
    <n v="9822"/>
    <s v="Pool Cover"/>
    <n v="58.3"/>
    <n v="98.4"/>
    <n v="40.100000000000009"/>
    <n v="8.0200000000000014"/>
    <x v="2"/>
    <x v="2"/>
    <s v="AZ"/>
  </r>
  <r>
    <s v="Nov"/>
    <n v="1165"/>
    <n v="9822"/>
    <s v="Pool Cover"/>
    <n v="58.3"/>
    <n v="98.4"/>
    <n v="40.100000000000009"/>
    <n v="8.0200000000000014"/>
    <x v="2"/>
    <x v="2"/>
    <s v="AZ"/>
  </r>
  <r>
    <s v="Nov"/>
    <n v="1166"/>
    <n v="8722"/>
    <s v="Water Pump"/>
    <n v="344"/>
    <n v="502"/>
    <n v="158"/>
    <n v="31.6"/>
    <x v="2"/>
    <x v="2"/>
    <s v="NV"/>
  </r>
  <r>
    <s v="Dec"/>
    <n v="1167"/>
    <n v="2242"/>
    <s v="AutoVac"/>
    <n v="60"/>
    <n v="124"/>
    <n v="64"/>
    <n v="12.8"/>
    <x v="2"/>
    <x v="2"/>
    <s v="NM"/>
  </r>
  <r>
    <s v="Dec"/>
    <n v="1168"/>
    <n v="9822"/>
    <s v="Pool Cover"/>
    <n v="58.3"/>
    <n v="98.4"/>
    <n v="40.100000000000009"/>
    <n v="8.0200000000000014"/>
    <x v="2"/>
    <x v="2"/>
    <s v="CA"/>
  </r>
  <r>
    <s v="Dec"/>
    <n v="1169"/>
    <n v="8722"/>
    <s v="Water Pump"/>
    <n v="344"/>
    <n v="502"/>
    <n v="158"/>
    <n v="31.6"/>
    <x v="2"/>
    <x v="2"/>
    <s v="UT"/>
  </r>
  <r>
    <s v="Dec"/>
    <n v="1170"/>
    <n v="4421"/>
    <s v="Skimmer"/>
    <n v="45"/>
    <n v="87"/>
    <n v="42"/>
    <n v="8.4"/>
    <x v="0"/>
    <x v="0"/>
    <s v="CA"/>
  </r>
  <r>
    <s v="Dec"/>
    <n v="1171"/>
    <n v="4421"/>
    <s v="Skimmer"/>
    <n v="45"/>
    <n v="87"/>
    <n v="42"/>
    <n v="8.4"/>
    <x v="1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s v="FD06MTG001"/>
    <s v="FD"/>
    <s v="Ford"/>
    <s v="MTG"/>
    <s v="Mustang"/>
    <s v="06"/>
    <n v="15"/>
    <n v="40326.800000000003"/>
    <n v="2688.4533333333334"/>
    <s v="Black"/>
    <x v="0"/>
    <n v="50000"/>
    <s v="YES"/>
    <s v="FD06MTGBLA001"/>
  </r>
  <r>
    <s v="FD06MTG002"/>
    <s v="FD"/>
    <s v="Ford"/>
    <s v="MTG"/>
    <s v="Mustang"/>
    <s v="06"/>
    <n v="15"/>
    <n v="44974.8"/>
    <n v="2998.32"/>
    <s v="White"/>
    <x v="1"/>
    <n v="50000"/>
    <s v="YES"/>
    <s v="FD06MTGWHI002"/>
  </r>
  <r>
    <s v="FD08MTG003"/>
    <s v="FD"/>
    <s v="Ford"/>
    <s v="MTG"/>
    <s v="Mustang"/>
    <s v="08"/>
    <n v="13"/>
    <n v="44946.5"/>
    <n v="3457.4230769230771"/>
    <s v="Green"/>
    <x v="2"/>
    <n v="50000"/>
    <s v="YES"/>
    <s v="FD08MTGGRE003"/>
  </r>
  <r>
    <s v="FD08MTG004"/>
    <s v="FD"/>
    <s v="Ford"/>
    <s v="MTG"/>
    <s v="Mustang"/>
    <s v="08"/>
    <n v="13"/>
    <n v="37558.800000000003"/>
    <n v="2889.1384615384618"/>
    <s v="Black"/>
    <x v="3"/>
    <n v="50000"/>
    <s v="YES"/>
    <s v="FD08MTGBLA004"/>
  </r>
  <r>
    <s v="FD08MTG005"/>
    <s v="FD"/>
    <s v="Ford"/>
    <s v="MTG"/>
    <s v="Mustang"/>
    <s v="08"/>
    <n v="13"/>
    <n v="36438.5"/>
    <n v="2802.9615384615386"/>
    <s v="White"/>
    <x v="0"/>
    <n v="50000"/>
    <s v="YES"/>
    <s v="FD08MTGWHI005"/>
  </r>
  <r>
    <s v="FD06FCS006"/>
    <s v="FD"/>
    <s v="Ford"/>
    <s v="FCS"/>
    <s v="Focus"/>
    <s v="06"/>
    <n v="15"/>
    <n v="46311.4"/>
    <n v="3087.4266666666667"/>
    <s v="Green"/>
    <x v="4"/>
    <n v="75000"/>
    <s v="YES"/>
    <s v="FD06FCSGRE006"/>
  </r>
  <r>
    <s v="FD06FCS007"/>
    <s v="FD"/>
    <s v="Ford"/>
    <s v="FCS"/>
    <s v="Focus"/>
    <s v="06"/>
    <n v="15"/>
    <n v="52229.5"/>
    <n v="3481.9666666666667"/>
    <s v="Green"/>
    <x v="2"/>
    <n v="75000"/>
    <s v="YES"/>
    <s v="FD06FCSGRE007"/>
  </r>
  <r>
    <s v="FD09FCS008"/>
    <s v="FD"/>
    <s v="Ford"/>
    <s v="FCS"/>
    <s v="Focus"/>
    <s v="09"/>
    <n v="12"/>
    <n v="35137"/>
    <n v="2928.0833333333335"/>
    <s v="Black"/>
    <x v="5"/>
    <n v="75000"/>
    <s v="YES"/>
    <s v="FD09FCSBLA008"/>
  </r>
  <r>
    <s v="FD13FCS009"/>
    <s v="FD"/>
    <s v="Ford"/>
    <s v="FCS"/>
    <s v="Focus"/>
    <s v="13"/>
    <n v="8"/>
    <n v="27637.1"/>
    <n v="3454.6374999999998"/>
    <s v="Black"/>
    <x v="0"/>
    <n v="75000"/>
    <s v="YES"/>
    <s v="FD13FCSBLA009"/>
  </r>
  <r>
    <s v="FD13FCS010"/>
    <s v="FD"/>
    <s v="Ford"/>
    <s v="FCS"/>
    <s v="Focus"/>
    <s v="13"/>
    <n v="8"/>
    <n v="27534.799999999999"/>
    <n v="3441.85"/>
    <s v="White"/>
    <x v="6"/>
    <n v="75000"/>
    <s v="YES"/>
    <s v="FD13FCSWHI010"/>
  </r>
  <r>
    <s v="FD12FCS011"/>
    <s v="FD"/>
    <s v="Ford"/>
    <s v="FCS"/>
    <s v="Focus"/>
    <s v="12"/>
    <n v="9"/>
    <n v="19341.7"/>
    <n v="2149.077777777778"/>
    <s v="White"/>
    <x v="7"/>
    <n v="75000"/>
    <s v="YES"/>
    <s v="FD12FCSWHI011"/>
  </r>
  <r>
    <s v="FD13FCS012"/>
    <s v="FD"/>
    <s v="Ford"/>
    <s v="FCS"/>
    <s v="Focus"/>
    <s v="13"/>
    <n v="8"/>
    <n v="22521.599999999999"/>
    <n v="2815.2"/>
    <s v="Black"/>
    <x v="8"/>
    <n v="75000"/>
    <s v="YES"/>
    <s v="FD13FCSBLA012"/>
  </r>
  <r>
    <s v="FD13FCS013"/>
    <s v="FD"/>
    <s v="Ford"/>
    <s v="FCS"/>
    <s v="Focus"/>
    <s v="13"/>
    <n v="8"/>
    <n v="13682.9"/>
    <n v="1710.3625"/>
    <s v="Black"/>
    <x v="9"/>
    <n v="75000"/>
    <s v="YES"/>
    <s v="FD13FCSBLA013"/>
  </r>
  <r>
    <s v="GM09CMR014"/>
    <s v="GM"/>
    <s v="General Motors"/>
    <s v="CMR"/>
    <s v="Camera"/>
    <s v="09"/>
    <n v="12"/>
    <n v="28464.799999999999"/>
    <n v="2372.0666666666666"/>
    <s v="White"/>
    <x v="10"/>
    <n v="100000"/>
    <s v="YES"/>
    <s v="GM09CMRWHI014"/>
  </r>
  <r>
    <s v="GM12CMR015"/>
    <s v="GM"/>
    <s v="General Motors"/>
    <s v="CMR"/>
    <s v="Camera"/>
    <s v="12"/>
    <n v="9"/>
    <n v="19421.099999999999"/>
    <n v="2157.8999999999996"/>
    <s v="Black"/>
    <x v="11"/>
    <n v="100000"/>
    <s v="YES"/>
    <s v="GM12CMRBLA015"/>
  </r>
  <r>
    <s v="GM14CMR016"/>
    <s v="GM"/>
    <s v="General Motors"/>
    <s v="CMR"/>
    <s v="Camera"/>
    <s v="14"/>
    <n v="7"/>
    <n v="14289.6"/>
    <n v="2041.3714285714286"/>
    <s v="White"/>
    <x v="12"/>
    <n v="100000"/>
    <s v="YES"/>
    <s v="GM14CMRWHI016"/>
  </r>
  <r>
    <s v="GM10SLV017"/>
    <s v="GM"/>
    <s v="General Motors"/>
    <s v="SLV"/>
    <s v="Silverado"/>
    <s v="10"/>
    <n v="11"/>
    <n v="31144.400000000001"/>
    <n v="2831.3090909090911"/>
    <s v="Black"/>
    <x v="13"/>
    <n v="100000"/>
    <s v="YES"/>
    <s v="GM10SLVBLA017"/>
  </r>
  <r>
    <s v="GM98SLV018"/>
    <s v="GM"/>
    <s v="General Motors"/>
    <s v="SLV"/>
    <s v="Silverado"/>
    <s v="98"/>
    <n v="23"/>
    <n v="83162.7"/>
    <n v="3615.7695652173911"/>
    <s v="Black"/>
    <x v="10"/>
    <n v="100000"/>
    <s v="YES"/>
    <s v="GM98SLVBLA018"/>
  </r>
  <r>
    <s v="GM00SLV019"/>
    <s v="GM"/>
    <s v="General Motors"/>
    <s v="SLV"/>
    <s v="Silverado"/>
    <s v="00"/>
    <n v="21"/>
    <n v="80685.8"/>
    <n v="3842.1809523809525"/>
    <s v="Blue"/>
    <x v="8"/>
    <n v="100000"/>
    <s v="YES"/>
    <s v="GM00SLVBLU019"/>
  </r>
  <r>
    <s v="TY96CAM020"/>
    <s v="TY"/>
    <s v="Toyota"/>
    <s v="CAM"/>
    <s v="Camry"/>
    <s v="96"/>
    <n v="25"/>
    <n v="114660.6"/>
    <n v="4586.424"/>
    <s v="Green"/>
    <x v="14"/>
    <n v="100000"/>
    <s v="NO"/>
    <s v="TY96CAMGRE020"/>
  </r>
  <r>
    <s v="TY98CAM021"/>
    <s v="TY"/>
    <s v="Toyota"/>
    <s v="CAM"/>
    <s v="Camry"/>
    <s v="98"/>
    <n v="23"/>
    <n v="93382.6"/>
    <n v="4060.1130434782613"/>
    <s v="Black"/>
    <x v="15"/>
    <n v="100000"/>
    <s v="YES"/>
    <s v="TY98CAMBLA021"/>
  </r>
  <r>
    <s v="TY00CAM022"/>
    <s v="TY"/>
    <s v="Toyota"/>
    <s v="CAM"/>
    <s v="Camry"/>
    <s v="00"/>
    <n v="21"/>
    <n v="85928"/>
    <n v="4091.8095238095239"/>
    <s v="Green"/>
    <x v="4"/>
    <n v="100000"/>
    <s v="YES"/>
    <s v="TY00CAMGRE022"/>
  </r>
  <r>
    <s v="TY02CAM023"/>
    <s v="TY"/>
    <s v="Toyota"/>
    <s v="CAM"/>
    <s v="Camry"/>
    <s v="02"/>
    <n v="19"/>
    <n v="67829.100000000006"/>
    <n v="3569.9526315789476"/>
    <s v="Black"/>
    <x v="0"/>
    <n v="100000"/>
    <s v="YES"/>
    <s v="TY02CAMBLA023"/>
  </r>
  <r>
    <s v="TY09CAM024"/>
    <s v="TY"/>
    <s v="Toyota"/>
    <s v="CAM"/>
    <s v="Camry"/>
    <s v="09"/>
    <n v="12"/>
    <n v="48114.2"/>
    <n v="4009.5166666666664"/>
    <s v="White"/>
    <x v="5"/>
    <n v="100000"/>
    <s v="YES"/>
    <s v="TY09CAMWHI024"/>
  </r>
  <r>
    <s v="TY02COR025"/>
    <s v="TY"/>
    <s v="Toyota"/>
    <s v="COR"/>
    <s v="Corolla"/>
    <s v="02"/>
    <n v="19"/>
    <n v="64467.4"/>
    <n v="3393.0210526315791"/>
    <s v="Red"/>
    <x v="16"/>
    <n v="100000"/>
    <s v="YES"/>
    <s v="TY02CORRED025"/>
  </r>
  <r>
    <s v="TY03COR026"/>
    <s v="TY"/>
    <s v="Toyota"/>
    <s v="COR"/>
    <s v="Corolla"/>
    <s v="03"/>
    <n v="18"/>
    <n v="73444.399999999994"/>
    <n v="4080.2444444444441"/>
    <s v="Black"/>
    <x v="16"/>
    <n v="100000"/>
    <s v="YES"/>
    <s v="TY03CORBLA026"/>
  </r>
  <r>
    <s v="TY14COR027"/>
    <s v="TY"/>
    <s v="Toyota"/>
    <s v="COR"/>
    <s v="Corolla"/>
    <s v="14"/>
    <n v="7"/>
    <n v="17556.3"/>
    <n v="2508.042857142857"/>
    <s v="Blue"/>
    <x v="6"/>
    <n v="100000"/>
    <s v="YES"/>
    <s v="TY14CORBLU027"/>
  </r>
  <r>
    <s v="TY12COR028"/>
    <s v="TY"/>
    <s v="Toyota"/>
    <s v="COR"/>
    <s v="Corolla"/>
    <s v="12"/>
    <n v="9"/>
    <n v="29601.9"/>
    <n v="3289.1000000000004"/>
    <s v="Black"/>
    <x v="10"/>
    <n v="100000"/>
    <s v="YES"/>
    <s v="TY12CORBLA028"/>
  </r>
  <r>
    <s v="TY12CAM029"/>
    <s v="TY"/>
    <s v="Toyota"/>
    <s v="CAM"/>
    <s v="Camry"/>
    <s v="12"/>
    <n v="9"/>
    <n v="22128.2"/>
    <n v="2458.6888888888889"/>
    <s v="Blue"/>
    <x v="14"/>
    <n v="100000"/>
    <s v="YES"/>
    <s v="TY12CAMBLU029"/>
  </r>
  <r>
    <s v="HO99CIV030"/>
    <s v="HO"/>
    <s v="Honda"/>
    <s v="CIV"/>
    <s v="Civic"/>
    <s v="99"/>
    <n v="22"/>
    <n v="82374"/>
    <n v="3744.2727272727275"/>
    <s v="White"/>
    <x v="9"/>
    <n v="75000"/>
    <s v="NO"/>
    <s v="HO99CIVWHI030"/>
  </r>
  <r>
    <s v="HO01CIV031"/>
    <s v="HO"/>
    <s v="Honda"/>
    <s v="CIV"/>
    <s v="Civic"/>
    <s v="01"/>
    <n v="20"/>
    <n v="69891.899999999994"/>
    <n v="3494.5949999999998"/>
    <s v="Blue"/>
    <x v="3"/>
    <n v="75000"/>
    <s v="YES"/>
    <s v="HO01CIVBLU031"/>
  </r>
  <r>
    <s v="HO10CIV032"/>
    <s v="HO"/>
    <s v="Honda"/>
    <s v="CIV"/>
    <s v="Civic"/>
    <s v="10"/>
    <n v="11"/>
    <n v="22573"/>
    <n v="2052.090909090909"/>
    <s v="Blue"/>
    <x v="12"/>
    <n v="75000"/>
    <s v="YES"/>
    <s v="HO10CIVBLU032"/>
  </r>
  <r>
    <s v="HO10CIV033"/>
    <s v="HO"/>
    <s v="Honda"/>
    <s v="CIV"/>
    <s v="Civic"/>
    <s v="10"/>
    <n v="11"/>
    <n v="33477.199999999997"/>
    <n v="3043.3818181818178"/>
    <s v="Black"/>
    <x v="15"/>
    <n v="75000"/>
    <s v="YES"/>
    <s v="HO10CIVBLA033"/>
  </r>
  <r>
    <s v="HO11CIV034"/>
    <s v="HO"/>
    <s v="Honda"/>
    <s v="CIV"/>
    <s v="Civic"/>
    <s v="11"/>
    <n v="10"/>
    <n v="30555.3"/>
    <n v="3055.5299999999997"/>
    <s v="Black"/>
    <x v="2"/>
    <n v="75000"/>
    <s v="YES"/>
    <s v="HO11CIVBLA034"/>
  </r>
  <r>
    <s v="HO12CIV035"/>
    <s v="HO"/>
    <s v="Honda"/>
    <s v="CIV"/>
    <s v="Civic"/>
    <s v="12"/>
    <n v="9"/>
    <n v="24513.200000000001"/>
    <n v="2723.6888888888889"/>
    <s v="Black"/>
    <x v="13"/>
    <n v="75000"/>
    <s v="YES"/>
    <s v="HO12CIVBLA035"/>
  </r>
  <r>
    <s v="HO13CIV036"/>
    <s v="HO"/>
    <s v="Honda"/>
    <s v="CIV"/>
    <s v="Civic"/>
    <s v="13"/>
    <n v="8"/>
    <n v="13867.6"/>
    <n v="1733.45"/>
    <s v="Black"/>
    <x v="14"/>
    <n v="75000"/>
    <s v="YES"/>
    <s v="HO13CIVBLA036"/>
  </r>
  <r>
    <s v="HO05ODY037"/>
    <s v="HO"/>
    <s v="Honda"/>
    <s v="ODY"/>
    <s v="Odyssey"/>
    <s v="05"/>
    <n v="16"/>
    <n v="60389.5"/>
    <n v="3774.34375"/>
    <s v="White"/>
    <x v="5"/>
    <n v="100000"/>
    <s v="YES"/>
    <s v="HO05ODYWHI037"/>
  </r>
  <r>
    <s v="HO07ODY038"/>
    <s v="HO"/>
    <s v="Honda"/>
    <s v="ODY"/>
    <s v="Odyssey"/>
    <s v="07"/>
    <n v="14"/>
    <n v="50854.1"/>
    <n v="3632.4357142857143"/>
    <s v="Black"/>
    <x v="15"/>
    <n v="100000"/>
    <s v="YES"/>
    <s v="HO07ODYBLA038"/>
  </r>
  <r>
    <s v="HO08ODY039"/>
    <s v="HO"/>
    <s v="Honda"/>
    <s v="ODY"/>
    <s v="Odyssey"/>
    <s v="08"/>
    <n v="13"/>
    <n v="42504.6"/>
    <n v="3269.5846153846151"/>
    <s v="White"/>
    <x v="9"/>
    <n v="100000"/>
    <s v="YES"/>
    <s v="HO08ODYWHI039"/>
  </r>
  <r>
    <s v="HO01ODY040"/>
    <s v="HO"/>
    <s v="Honda"/>
    <s v="ODY"/>
    <s v="Odyssey"/>
    <s v="01"/>
    <n v="20"/>
    <n v="68658.899999999994"/>
    <n v="3432.9449999999997"/>
    <s v="Black"/>
    <x v="0"/>
    <n v="100000"/>
    <s v="YES"/>
    <s v="HO01ODYBLA040"/>
  </r>
  <r>
    <s v="HO14ODY041"/>
    <s v="HO"/>
    <s v="Honda"/>
    <s v="ODY"/>
    <s v="Odyssey"/>
    <s v="14"/>
    <n v="7"/>
    <n v="3708.1"/>
    <n v="529.7285714285714"/>
    <s v="Black"/>
    <x v="1"/>
    <n v="100000"/>
    <s v="YES"/>
    <s v="HO14ODYBLA041"/>
  </r>
  <r>
    <s v="CR04PTC042"/>
    <s v="CR"/>
    <s v="Chrysler"/>
    <s v="PTC"/>
    <s v="PT Cruiser"/>
    <s v="04"/>
    <n v="17"/>
    <n v="64542"/>
    <n v="3796.5882352941176"/>
    <s v="Blue"/>
    <x v="0"/>
    <n v="75000"/>
    <s v="YES"/>
    <s v="CR04PTCBLU042"/>
  </r>
  <r>
    <s v="CR07PTC043"/>
    <s v="CR"/>
    <s v="Chrysler"/>
    <s v="PTC"/>
    <s v="PT Cruiser"/>
    <s v="07"/>
    <n v="14"/>
    <n v="42074.2"/>
    <n v="3005.2999999999997"/>
    <s v="Green"/>
    <x v="16"/>
    <n v="75000"/>
    <s v="YES"/>
    <s v="CR07PTCGRE043"/>
  </r>
  <r>
    <s v="CR11PTC044"/>
    <s v="CR"/>
    <s v="Chrysler"/>
    <s v="PTC"/>
    <s v="PT Cruiser"/>
    <s v="11"/>
    <n v="10"/>
    <n v="27394.2"/>
    <n v="2739.42"/>
    <s v="Black"/>
    <x v="8"/>
    <n v="75000"/>
    <s v="YES"/>
    <s v="CR11PTCBLA044"/>
  </r>
  <r>
    <s v="CR99CAR045"/>
    <s v="CR"/>
    <s v="Chrysler"/>
    <s v="CAR"/>
    <s v="Caravan"/>
    <s v="99"/>
    <n v="22"/>
    <n v="79420.600000000006"/>
    <n v="3610.0272727272732"/>
    <s v="Green"/>
    <x v="13"/>
    <n v="75000"/>
    <s v="NO"/>
    <s v="CR99CARGRE045"/>
  </r>
  <r>
    <s v="CR00CAR046"/>
    <s v="CR"/>
    <s v="Chrysler"/>
    <s v="CAR"/>
    <s v="Caravan"/>
    <s v="00"/>
    <n v="21"/>
    <n v="77243.100000000006"/>
    <n v="3678.2428571428572"/>
    <s v="Black"/>
    <x v="3"/>
    <n v="75000"/>
    <s v="NO"/>
    <s v="CR00CARBLA046"/>
  </r>
  <r>
    <s v="CR04CAR047"/>
    <s v="CR"/>
    <s v="Chrysler"/>
    <s v="CAR"/>
    <s v="Caravan"/>
    <s v="04"/>
    <n v="17"/>
    <n v="72527.199999999997"/>
    <n v="4266.3058823529409"/>
    <s v="White"/>
    <x v="11"/>
    <n v="75000"/>
    <s v="YES"/>
    <s v="CR04CARWHI047"/>
  </r>
  <r>
    <s v="CR04CAR048"/>
    <s v="CR"/>
    <s v="Chrysler"/>
    <s v="CAR"/>
    <s v="Caravan"/>
    <s v="04"/>
    <n v="17"/>
    <n v="52699.4"/>
    <n v="3099.964705882353"/>
    <s v="Red"/>
    <x v="11"/>
    <n v="75000"/>
    <s v="YES"/>
    <s v="CR04CARRED048"/>
  </r>
  <r>
    <s v="HY11ELA049"/>
    <s v="HY"/>
    <s v="Hyundai"/>
    <s v="ELA"/>
    <s v="Elantra"/>
    <s v="11"/>
    <n v="10"/>
    <n v="29102.3"/>
    <n v="2910.23"/>
    <s v="Black"/>
    <x v="12"/>
    <n v="100000"/>
    <s v="YES"/>
    <s v="HY11ELABLA049"/>
  </r>
  <r>
    <s v="HY12ELA050"/>
    <s v="HY"/>
    <s v="Hyundai"/>
    <s v="ELA"/>
    <s v="Elantra"/>
    <s v="12"/>
    <n v="9"/>
    <n v="22282"/>
    <n v="2475.7777777777778"/>
    <s v="Blue"/>
    <x v="1"/>
    <n v="100000"/>
    <s v="YES"/>
    <s v="HY12ELABLU050"/>
  </r>
  <r>
    <s v="HY13ELA051"/>
    <s v="HY"/>
    <s v="Hyundai"/>
    <s v="ELA"/>
    <s v="Elantra"/>
    <s v="13"/>
    <n v="8"/>
    <n v="20223.900000000001"/>
    <n v="2527.9875000000002"/>
    <s v="Black"/>
    <x v="6"/>
    <n v="100000"/>
    <s v="YES"/>
    <s v="HY13ELABLA051"/>
  </r>
  <r>
    <s v="HY13ELA052"/>
    <s v="HY"/>
    <s v="Hyundai"/>
    <s v="ELA"/>
    <s v="Elantra"/>
    <s v="13"/>
    <n v="8"/>
    <n v="22188.5"/>
    <n v="2773.5625"/>
    <s v="Blue"/>
    <x v="4"/>
    <n v="100000"/>
    <s v="YES"/>
    <s v="HY13ELABLU052"/>
  </r>
  <r>
    <s v=""/>
    <s v=""/>
    <s v=""/>
    <s v=""/>
    <s v=""/>
    <s v=""/>
    <s v=""/>
    <m/>
    <s v=""/>
    <s v=""/>
    <x v="17"/>
    <m/>
    <s v=""/>
    <s v=""/>
  </r>
  <r>
    <s v=""/>
    <s v=""/>
    <s v=""/>
    <s v=""/>
    <s v=""/>
    <s v=""/>
    <s v=""/>
    <m/>
    <s v=""/>
    <s v=""/>
    <x v="17"/>
    <m/>
    <s v=""/>
    <s v=""/>
  </r>
  <r>
    <s v=""/>
    <m/>
    <m/>
    <s v=""/>
    <s v=""/>
    <s v=""/>
    <s v=""/>
    <m/>
    <s v=""/>
    <s v=""/>
    <x v="17"/>
    <m/>
    <s v=""/>
    <s v=""/>
  </r>
  <r>
    <s v=""/>
    <m/>
    <m/>
    <s v=""/>
    <s v=""/>
    <s v=""/>
    <s v=""/>
    <m/>
    <s v=""/>
    <s v=""/>
    <x v="17"/>
    <m/>
    <s v=""/>
    <s v=""/>
  </r>
  <r>
    <s v=""/>
    <m/>
    <m/>
    <s v=""/>
    <s v=""/>
    <s v=""/>
    <s v=""/>
    <m/>
    <s v=""/>
    <s v=""/>
    <x v="17"/>
    <m/>
    <s v=""/>
    <s v=""/>
  </r>
  <r>
    <s v=""/>
    <m/>
    <m/>
    <s v=""/>
    <s v=""/>
    <s v=""/>
    <s v=""/>
    <m/>
    <s v=""/>
    <s v=""/>
    <x v="17"/>
    <m/>
    <s v=""/>
    <s v=""/>
  </r>
  <r>
    <s v=""/>
    <m/>
    <m/>
    <s v=""/>
    <s v=""/>
    <s v=""/>
    <s v=""/>
    <m/>
    <s v=""/>
    <s v=""/>
    <x v="17"/>
    <m/>
    <s v=""/>
    <s v=""/>
  </r>
  <r>
    <s v=""/>
    <m/>
    <m/>
    <s v=""/>
    <s v=""/>
    <s v=""/>
    <s v=""/>
    <m/>
    <s v=""/>
    <s v=""/>
    <x v="17"/>
    <m/>
    <s v=""/>
    <s v=""/>
  </r>
  <r>
    <s v=""/>
    <s v=""/>
    <s v=""/>
    <s v=""/>
    <s v=""/>
    <s v=""/>
    <s v=""/>
    <m/>
    <s v=""/>
    <s v=""/>
    <x v="17"/>
    <m/>
    <s v=""/>
    <s v=""/>
  </r>
  <r>
    <s v=""/>
    <s v=""/>
    <s v=""/>
    <s v=""/>
    <s v=""/>
    <s v=""/>
    <s v=""/>
    <m/>
    <s v=""/>
    <s v=""/>
    <x v="17"/>
    <m/>
    <s v=""/>
    <s v=""/>
  </r>
  <r>
    <s v=""/>
    <s v=""/>
    <s v=""/>
    <s v=""/>
    <s v=""/>
    <s v=""/>
    <s v=""/>
    <m/>
    <s v=""/>
    <s v=""/>
    <x v="17"/>
    <m/>
    <s v=""/>
    <s v=""/>
  </r>
  <r>
    <s v=""/>
    <s v=""/>
    <s v=""/>
    <s v=""/>
    <s v=""/>
    <s v=""/>
    <s v=""/>
    <m/>
    <s v=""/>
    <s v=""/>
    <x v="17"/>
    <m/>
    <s v=""/>
    <s v=""/>
  </r>
  <r>
    <s v=""/>
    <s v=""/>
    <s v=""/>
    <s v=""/>
    <s v=""/>
    <s v=""/>
    <s v=""/>
    <m/>
    <s v=""/>
    <s v=""/>
    <x v="17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C7BDD-0A6C-4A95-BC2F-A24AC49EBF3F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>
      <items count="5">
        <item x="0"/>
        <item x="2"/>
        <item x="3"/>
        <item x="1"/>
        <item t="default"/>
      </items>
    </pivotField>
    <pivotField axis="axisRow" showAll="0" sortType="a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15">
      <pivotArea outline="0" collapsedLevelsAreSubtotals="1" fieldPosition="0"/>
    </format>
  </format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B11CE-F1DF-458A-91E3-D2504D5A656D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 rowHeaderCaption="Driver" fieldListSortAscending="1">
  <location ref="A3:B22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9">
        <item x="17"/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0"/>
  </rowFields>
  <rowItems count="19">
    <i>
      <x v="13"/>
    </i>
    <i>
      <x v="7"/>
    </i>
    <i>
      <x v="4"/>
    </i>
    <i>
      <x v="14"/>
    </i>
    <i>
      <x v="3"/>
    </i>
    <i>
      <x v="2"/>
    </i>
    <i>
      <x v="1"/>
    </i>
    <i>
      <x v="5"/>
    </i>
    <i>
      <x v="12"/>
    </i>
    <i>
      <x v="11"/>
    </i>
    <i>
      <x v="6"/>
    </i>
    <i>
      <x v="16"/>
    </i>
    <i>
      <x v="8"/>
    </i>
    <i>
      <x v="9"/>
    </i>
    <i>
      <x v="15"/>
    </i>
    <i>
      <x v="10"/>
    </i>
    <i>
      <x v="17"/>
    </i>
    <i>
      <x/>
    </i>
    <i t="grand">
      <x/>
    </i>
  </rowItems>
  <colItems count="1">
    <i/>
  </colItems>
  <dataFields count="1">
    <dataField name="Sum of Mi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D863A6-BA83-437D-8FDE-9EC564628705}" autoFormatId="16" applyNumberFormats="0" applyBorderFormats="0" applyFontFormats="0" applyPatternFormats="0" applyAlignmentFormats="0" applyWidthHeightFormats="0">
  <queryTableRefresh nextId="15">
    <queryTableFields count="14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6BA863-00CD-4A0A-9EA1-3C03B8FE7F91}" name="car_inventory" displayName="car_inventory" ref="A1:N66" tableType="queryTable" totalsRowShown="0">
  <sortState xmlns:xlrd2="http://schemas.microsoft.com/office/spreadsheetml/2017/richdata2" ref="A2:N66">
    <sortCondition ref="I2:I66"/>
  </sortState>
  <tableColumns count="14">
    <tableColumn id="1" xr3:uid="{3175AB64-F3B9-47A5-8E3A-089211F28DBC}" uniqueName="1" name="Car ID" queryTableFieldId="1" dataDxfId="14"/>
    <tableColumn id="2" xr3:uid="{25623566-61E0-4BB7-86C7-2D1E025AFAFE}" uniqueName="2" name="Make" queryTableFieldId="2" dataDxfId="13"/>
    <tableColumn id="3" xr3:uid="{F68A3D0B-1F79-4528-B671-4BE4C9FA36D1}" uniqueName="3" name="Make (Full Name)" queryTableFieldId="3" dataDxfId="12"/>
    <tableColumn id="4" xr3:uid="{77F1F230-3705-4934-9FB7-E0730AC7EC3A}" uniqueName="4" name="Model" queryTableFieldId="4" dataDxfId="11"/>
    <tableColumn id="5" xr3:uid="{650F0BEE-76C0-4222-8A80-C33D2CECD394}" uniqueName="5" name="Model (Full Name)" queryTableFieldId="5" dataDxfId="10"/>
    <tableColumn id="6" xr3:uid="{468D5EC0-978B-4FF8-9F9B-51478231E275}" uniqueName="6" name="Manufacture Year" queryTableFieldId="6" dataDxfId="9"/>
    <tableColumn id="7" xr3:uid="{66FDCEAD-2406-42D8-91EA-D859F2FF3B78}" uniqueName="7" name="Age" queryTableFieldId="7" dataDxfId="8"/>
    <tableColumn id="8" xr3:uid="{A3FBE1AF-9235-4F11-BD4A-C97A7C343D99}" uniqueName="8" name="Miles" queryTableFieldId="8"/>
    <tableColumn id="9" xr3:uid="{BFD49ABB-4876-4954-BEAE-2F5C22F1555D}" uniqueName="9" name="Miles / Year" queryTableFieldId="9" dataDxfId="7"/>
    <tableColumn id="10" xr3:uid="{73947141-CA77-4EB4-B6C0-D060474CBB2C}" uniqueName="10" name="Color" queryTableFieldId="10" dataDxfId="6"/>
    <tableColumn id="11" xr3:uid="{A4977718-1823-44C1-9C74-0B0D47451F55}" uniqueName="11" name="Driver" queryTableFieldId="11" dataDxfId="5"/>
    <tableColumn id="12" xr3:uid="{AB63E0FF-0371-4AC4-877B-877C644B7139}" uniqueName="12" name="Warantee Miles" queryTableFieldId="12"/>
    <tableColumn id="13" xr3:uid="{6418CD01-6862-4949-A168-58CE93C25A46}" uniqueName="13" name="Covered?" queryTableFieldId="13" dataDxfId="4"/>
    <tableColumn id="14" xr3:uid="{ED49A41E-EF72-46FA-9936-83AB23145293}" uniqueName="14" name="New Car ID" queryTableFieldId="14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7DED-F1EC-4046-945B-9BF78B922619}">
  <dimension ref="A1:AC28"/>
  <sheetViews>
    <sheetView topLeftCell="A2" zoomScaleNormal="100" workbookViewId="0">
      <selection activeCell="A4" sqref="A4:B23"/>
    </sheetView>
  </sheetViews>
  <sheetFormatPr defaultRowHeight="14.5" x14ac:dyDescent="0.35"/>
  <cols>
    <col min="1" max="1" width="15.1796875" bestFit="1" customWidth="1"/>
    <col min="2" max="2" width="9.7265625" bestFit="1" customWidth="1"/>
    <col min="3" max="3" width="12" bestFit="1" customWidth="1"/>
    <col min="4" max="4" width="13" bestFit="1" customWidth="1"/>
    <col min="5" max="8" width="13" customWidth="1"/>
    <col min="9" max="9" width="14.08984375" bestFit="1" customWidth="1"/>
    <col min="10" max="13" width="14.08984375" customWidth="1"/>
    <col min="14" max="18" width="11.54296875" bestFit="1" customWidth="1"/>
    <col min="19" max="19" width="11.90625" bestFit="1" customWidth="1"/>
    <col min="20" max="23" width="11.90625" customWidth="1"/>
    <col min="24" max="28" width="11.54296875" bestFit="1" customWidth="1"/>
    <col min="29" max="29" width="11.90625" bestFit="1" customWidth="1"/>
  </cols>
  <sheetData>
    <row r="1" spans="1:29" x14ac:dyDescent="0.35">
      <c r="A1" t="s">
        <v>0</v>
      </c>
      <c r="C1" t="s">
        <v>50</v>
      </c>
    </row>
    <row r="2" spans="1:29" x14ac:dyDescent="0.35">
      <c r="D2" t="s">
        <v>4</v>
      </c>
      <c r="I2" t="s">
        <v>51</v>
      </c>
      <c r="N2" t="s">
        <v>5</v>
      </c>
      <c r="S2" t="s">
        <v>52</v>
      </c>
      <c r="X2" t="s">
        <v>49</v>
      </c>
      <c r="AC2" t="s">
        <v>53</v>
      </c>
    </row>
    <row r="3" spans="1:29" x14ac:dyDescent="0.35">
      <c r="A3" t="s">
        <v>1</v>
      </c>
      <c r="B3" t="s">
        <v>2</v>
      </c>
      <c r="C3" t="s">
        <v>3</v>
      </c>
      <c r="D3" s="4">
        <v>44197</v>
      </c>
      <c r="E3" s="4">
        <f>D3+7</f>
        <v>44204</v>
      </c>
      <c r="F3" s="4">
        <f t="shared" ref="F3:H3" si="0">E3+7</f>
        <v>44211</v>
      </c>
      <c r="G3" s="4">
        <f t="shared" si="0"/>
        <v>44218</v>
      </c>
      <c r="H3" s="4">
        <f t="shared" si="0"/>
        <v>44225</v>
      </c>
      <c r="I3" s="6">
        <v>44197</v>
      </c>
      <c r="J3" s="6">
        <f>I3+7</f>
        <v>44204</v>
      </c>
      <c r="K3" s="6">
        <f t="shared" ref="K3:L3" si="1">J3+7</f>
        <v>44211</v>
      </c>
      <c r="L3" s="6">
        <f t="shared" si="1"/>
        <v>44218</v>
      </c>
      <c r="M3" s="6">
        <f>L3+7</f>
        <v>44225</v>
      </c>
      <c r="N3" s="8">
        <v>44197</v>
      </c>
      <c r="O3" s="8">
        <f>N3+7</f>
        <v>44204</v>
      </c>
      <c r="P3" s="8">
        <f t="shared" ref="P3:R3" si="2">O3+7</f>
        <v>44211</v>
      </c>
      <c r="Q3" s="8">
        <f t="shared" si="2"/>
        <v>44218</v>
      </c>
      <c r="R3" s="8">
        <f t="shared" si="2"/>
        <v>44225</v>
      </c>
      <c r="S3" s="11">
        <v>44197</v>
      </c>
      <c r="T3" s="11">
        <f>S3+7</f>
        <v>44204</v>
      </c>
      <c r="U3" s="11">
        <f t="shared" ref="U3:W3" si="3">T3+7</f>
        <v>44211</v>
      </c>
      <c r="V3" s="11">
        <f t="shared" si="3"/>
        <v>44218</v>
      </c>
      <c r="W3" s="11">
        <f t="shared" si="3"/>
        <v>44225</v>
      </c>
      <c r="X3" s="13">
        <v>44197</v>
      </c>
      <c r="Y3" s="13">
        <f>X3+7</f>
        <v>44204</v>
      </c>
      <c r="Z3" s="13">
        <f t="shared" ref="Z3:AB3" si="4">Y3+7</f>
        <v>44211</v>
      </c>
      <c r="AA3" s="13">
        <f t="shared" si="4"/>
        <v>44218</v>
      </c>
      <c r="AB3" s="13">
        <f t="shared" si="4"/>
        <v>44225</v>
      </c>
      <c r="AC3" s="14"/>
    </row>
    <row r="4" spans="1:29" x14ac:dyDescent="0.35">
      <c r="A4" t="s">
        <v>6</v>
      </c>
      <c r="B4" t="s">
        <v>45</v>
      </c>
      <c r="C4" s="2">
        <v>15.9</v>
      </c>
      <c r="D4" s="5">
        <v>40</v>
      </c>
      <c r="E4" s="5">
        <v>42</v>
      </c>
      <c r="F4" s="5">
        <v>39</v>
      </c>
      <c r="G4" s="5">
        <v>30</v>
      </c>
      <c r="H4" s="5">
        <v>46</v>
      </c>
      <c r="I4" s="7">
        <f t="shared" ref="I4:I23" si="5">IF(D4&gt;40,D4-40,0)</f>
        <v>0</v>
      </c>
      <c r="J4" s="7">
        <f t="shared" ref="J4:M19" si="6">IF(E4&gt;40,E4-40,0)</f>
        <v>2</v>
      </c>
      <c r="K4" s="7">
        <f t="shared" si="6"/>
        <v>0</v>
      </c>
      <c r="L4" s="7">
        <f t="shared" si="6"/>
        <v>0</v>
      </c>
      <c r="M4" s="7">
        <f t="shared" si="6"/>
        <v>6</v>
      </c>
      <c r="N4" s="9">
        <f>$C4*D4</f>
        <v>636</v>
      </c>
      <c r="O4" s="9">
        <f>$C4*E4</f>
        <v>667.80000000000007</v>
      </c>
      <c r="P4" s="9">
        <f t="shared" ref="P4:R19" si="7">$C4*F4</f>
        <v>620.1</v>
      </c>
      <c r="Q4" s="9">
        <f t="shared" si="7"/>
        <v>477</v>
      </c>
      <c r="R4" s="9">
        <f t="shared" si="7"/>
        <v>731.4</v>
      </c>
      <c r="S4" s="10">
        <f>0.5*$C4*I4</f>
        <v>0</v>
      </c>
      <c r="T4" s="10">
        <f t="shared" ref="T4:W19" si="8">0.5*$C4*J4</f>
        <v>15.9</v>
      </c>
      <c r="U4" s="10">
        <f t="shared" si="8"/>
        <v>0</v>
      </c>
      <c r="V4" s="10">
        <f t="shared" si="8"/>
        <v>0</v>
      </c>
      <c r="W4" s="10">
        <f>0.5*$C4*M4</f>
        <v>47.7</v>
      </c>
      <c r="X4" s="12">
        <f>N4+S4</f>
        <v>636</v>
      </c>
      <c r="Y4" s="12">
        <f>O4+T4</f>
        <v>683.7</v>
      </c>
      <c r="Z4" s="12">
        <f>P4+U4</f>
        <v>620.1</v>
      </c>
      <c r="AA4" s="12">
        <f>Q4+V4</f>
        <v>477</v>
      </c>
      <c r="AB4" s="12">
        <f t="shared" ref="Z4:AB19" si="9">R4+W4</f>
        <v>779.1</v>
      </c>
      <c r="AC4" s="15">
        <f>SUM(X4:AB4)</f>
        <v>3195.9</v>
      </c>
    </row>
    <row r="5" spans="1:29" x14ac:dyDescent="0.35">
      <c r="A5" t="s">
        <v>7</v>
      </c>
      <c r="B5" t="s">
        <v>44</v>
      </c>
      <c r="C5" s="2">
        <v>10</v>
      </c>
      <c r="D5" s="5">
        <v>42</v>
      </c>
      <c r="E5" s="5">
        <v>41</v>
      </c>
      <c r="F5" s="5">
        <v>40</v>
      </c>
      <c r="G5" s="5">
        <v>38</v>
      </c>
      <c r="H5" s="5">
        <v>44</v>
      </c>
      <c r="I5" s="7">
        <f t="shared" si="5"/>
        <v>2</v>
      </c>
      <c r="J5" s="7">
        <f t="shared" si="6"/>
        <v>1</v>
      </c>
      <c r="K5" s="7">
        <f t="shared" si="6"/>
        <v>0</v>
      </c>
      <c r="L5" s="7">
        <f t="shared" si="6"/>
        <v>0</v>
      </c>
      <c r="M5" s="7">
        <f t="shared" si="6"/>
        <v>4</v>
      </c>
      <c r="N5" s="9">
        <f t="shared" ref="N5:O23" si="10">$C5*D5</f>
        <v>420</v>
      </c>
      <c r="O5" s="9">
        <f t="shared" si="10"/>
        <v>410</v>
      </c>
      <c r="P5" s="9">
        <f t="shared" si="7"/>
        <v>400</v>
      </c>
      <c r="Q5" s="9">
        <f t="shared" si="7"/>
        <v>380</v>
      </c>
      <c r="R5" s="9">
        <f t="shared" si="7"/>
        <v>440</v>
      </c>
      <c r="S5" s="10">
        <f t="shared" ref="S5:S23" si="11">0.5*$C5*I5</f>
        <v>10</v>
      </c>
      <c r="T5" s="10">
        <f t="shared" si="8"/>
        <v>5</v>
      </c>
      <c r="U5" s="10">
        <f t="shared" si="8"/>
        <v>0</v>
      </c>
      <c r="V5" s="10">
        <f t="shared" si="8"/>
        <v>0</v>
      </c>
      <c r="W5" s="10">
        <f t="shared" si="8"/>
        <v>20</v>
      </c>
      <c r="X5" s="12">
        <f t="shared" ref="X5:X23" si="12">N5+S5</f>
        <v>430</v>
      </c>
      <c r="Y5" s="12">
        <f t="shared" ref="Y5:Y23" si="13">O5+T5</f>
        <v>415</v>
      </c>
      <c r="Z5" s="12">
        <f t="shared" si="9"/>
        <v>400</v>
      </c>
      <c r="AA5" s="12">
        <f t="shared" si="9"/>
        <v>380</v>
      </c>
      <c r="AB5" s="12">
        <f t="shared" si="9"/>
        <v>460</v>
      </c>
      <c r="AC5" s="15">
        <f t="shared" ref="AC5:AC23" si="14">SUM(X5:AB5)</f>
        <v>2085</v>
      </c>
    </row>
    <row r="6" spans="1:29" x14ac:dyDescent="0.35">
      <c r="A6" t="s">
        <v>8</v>
      </c>
      <c r="B6" t="s">
        <v>43</v>
      </c>
      <c r="C6" s="2">
        <v>22.1</v>
      </c>
      <c r="D6" s="5">
        <v>49</v>
      </c>
      <c r="E6" s="5">
        <v>40</v>
      </c>
      <c r="F6" s="5">
        <v>33</v>
      </c>
      <c r="G6" s="5">
        <v>20</v>
      </c>
      <c r="H6" s="5">
        <v>18</v>
      </c>
      <c r="I6" s="7">
        <f t="shared" si="5"/>
        <v>9</v>
      </c>
      <c r="J6" s="7">
        <f t="shared" si="6"/>
        <v>0</v>
      </c>
      <c r="K6" s="7">
        <f t="shared" si="6"/>
        <v>0</v>
      </c>
      <c r="L6" s="7">
        <f t="shared" si="6"/>
        <v>0</v>
      </c>
      <c r="M6" s="7">
        <f t="shared" si="6"/>
        <v>0</v>
      </c>
      <c r="N6" s="9">
        <f t="shared" si="10"/>
        <v>1082.9000000000001</v>
      </c>
      <c r="O6" s="9">
        <f t="shared" si="10"/>
        <v>884</v>
      </c>
      <c r="P6" s="9">
        <f t="shared" si="7"/>
        <v>729.30000000000007</v>
      </c>
      <c r="Q6" s="9">
        <f t="shared" si="7"/>
        <v>442</v>
      </c>
      <c r="R6" s="9">
        <f t="shared" si="7"/>
        <v>397.8</v>
      </c>
      <c r="S6" s="10">
        <f t="shared" si="11"/>
        <v>99.45</v>
      </c>
      <c r="T6" s="10">
        <f t="shared" si="8"/>
        <v>0</v>
      </c>
      <c r="U6" s="10">
        <f t="shared" si="8"/>
        <v>0</v>
      </c>
      <c r="V6" s="10">
        <f t="shared" si="8"/>
        <v>0</v>
      </c>
      <c r="W6" s="10">
        <f t="shared" si="8"/>
        <v>0</v>
      </c>
      <c r="X6" s="12">
        <f t="shared" si="12"/>
        <v>1182.3500000000001</v>
      </c>
      <c r="Y6" s="12">
        <f t="shared" si="13"/>
        <v>884</v>
      </c>
      <c r="Z6" s="12">
        <f t="shared" si="9"/>
        <v>729.30000000000007</v>
      </c>
      <c r="AA6" s="12">
        <f t="shared" si="9"/>
        <v>442</v>
      </c>
      <c r="AB6" s="12">
        <f t="shared" si="9"/>
        <v>397.8</v>
      </c>
      <c r="AC6" s="15">
        <f t="shared" si="14"/>
        <v>3635.4500000000007</v>
      </c>
    </row>
    <row r="7" spans="1:29" x14ac:dyDescent="0.35">
      <c r="A7" t="s">
        <v>9</v>
      </c>
      <c r="B7" t="s">
        <v>42</v>
      </c>
      <c r="C7" s="2">
        <v>19.100000000000001</v>
      </c>
      <c r="D7" s="5">
        <v>41</v>
      </c>
      <c r="E7" s="5">
        <v>50</v>
      </c>
      <c r="F7" s="5">
        <v>47</v>
      </c>
      <c r="G7" s="5">
        <v>30</v>
      </c>
      <c r="H7" s="5">
        <v>39</v>
      </c>
      <c r="I7" s="7">
        <f t="shared" si="5"/>
        <v>1</v>
      </c>
      <c r="J7" s="7">
        <f t="shared" si="6"/>
        <v>10</v>
      </c>
      <c r="K7" s="7">
        <f t="shared" si="6"/>
        <v>7</v>
      </c>
      <c r="L7" s="7">
        <f t="shared" si="6"/>
        <v>0</v>
      </c>
      <c r="M7" s="7">
        <f t="shared" si="6"/>
        <v>0</v>
      </c>
      <c r="N7" s="9">
        <f t="shared" si="10"/>
        <v>783.1</v>
      </c>
      <c r="O7" s="9">
        <f t="shared" si="10"/>
        <v>955.00000000000011</v>
      </c>
      <c r="P7" s="9">
        <f t="shared" si="7"/>
        <v>897.7</v>
      </c>
      <c r="Q7" s="9">
        <f t="shared" si="7"/>
        <v>573</v>
      </c>
      <c r="R7" s="9">
        <f t="shared" si="7"/>
        <v>744.90000000000009</v>
      </c>
      <c r="S7" s="10">
        <f t="shared" si="11"/>
        <v>9.5500000000000007</v>
      </c>
      <c r="T7" s="10">
        <f t="shared" si="8"/>
        <v>95.5</v>
      </c>
      <c r="U7" s="10">
        <f t="shared" si="8"/>
        <v>66.850000000000009</v>
      </c>
      <c r="V7" s="10">
        <f t="shared" si="8"/>
        <v>0</v>
      </c>
      <c r="W7" s="10">
        <f t="shared" si="8"/>
        <v>0</v>
      </c>
      <c r="X7" s="12">
        <f t="shared" si="12"/>
        <v>792.65</v>
      </c>
      <c r="Y7" s="12">
        <f t="shared" si="13"/>
        <v>1050.5</v>
      </c>
      <c r="Z7" s="12">
        <f t="shared" si="9"/>
        <v>964.55000000000007</v>
      </c>
      <c r="AA7" s="12">
        <f t="shared" si="9"/>
        <v>573</v>
      </c>
      <c r="AB7" s="12">
        <f t="shared" si="9"/>
        <v>744.90000000000009</v>
      </c>
      <c r="AC7" s="15">
        <f t="shared" si="14"/>
        <v>4125.6000000000004</v>
      </c>
    </row>
    <row r="8" spans="1:29" x14ac:dyDescent="0.35">
      <c r="A8" t="s">
        <v>10</v>
      </c>
      <c r="B8" t="s">
        <v>41</v>
      </c>
      <c r="C8" s="2">
        <v>6.9</v>
      </c>
      <c r="D8" s="5">
        <v>39</v>
      </c>
      <c r="E8" s="5">
        <v>52</v>
      </c>
      <c r="F8" s="5">
        <v>42</v>
      </c>
      <c r="G8" s="5">
        <v>40</v>
      </c>
      <c r="H8" s="5">
        <v>40</v>
      </c>
      <c r="I8" s="7">
        <f t="shared" si="5"/>
        <v>0</v>
      </c>
      <c r="J8" s="7">
        <f t="shared" si="6"/>
        <v>12</v>
      </c>
      <c r="K8" s="7">
        <f t="shared" si="6"/>
        <v>2</v>
      </c>
      <c r="L8" s="7">
        <f t="shared" si="6"/>
        <v>0</v>
      </c>
      <c r="M8" s="7">
        <f t="shared" si="6"/>
        <v>0</v>
      </c>
      <c r="N8" s="9">
        <f t="shared" si="10"/>
        <v>269.10000000000002</v>
      </c>
      <c r="O8" s="9">
        <f t="shared" si="10"/>
        <v>358.8</v>
      </c>
      <c r="P8" s="9">
        <f t="shared" si="7"/>
        <v>289.8</v>
      </c>
      <c r="Q8" s="9">
        <f t="shared" si="7"/>
        <v>276</v>
      </c>
      <c r="R8" s="9">
        <f t="shared" si="7"/>
        <v>276</v>
      </c>
      <c r="S8" s="10">
        <f t="shared" si="11"/>
        <v>0</v>
      </c>
      <c r="T8" s="10">
        <f t="shared" si="8"/>
        <v>41.400000000000006</v>
      </c>
      <c r="U8" s="10">
        <f t="shared" si="8"/>
        <v>6.9</v>
      </c>
      <c r="V8" s="10">
        <f t="shared" si="8"/>
        <v>0</v>
      </c>
      <c r="W8" s="10">
        <f t="shared" si="8"/>
        <v>0</v>
      </c>
      <c r="X8" s="12">
        <f t="shared" si="12"/>
        <v>269.10000000000002</v>
      </c>
      <c r="Y8" s="12">
        <f t="shared" si="13"/>
        <v>400.20000000000005</v>
      </c>
      <c r="Z8" s="12">
        <f t="shared" si="9"/>
        <v>296.7</v>
      </c>
      <c r="AA8" s="12">
        <f t="shared" si="9"/>
        <v>276</v>
      </c>
      <c r="AB8" s="12">
        <f t="shared" si="9"/>
        <v>276</v>
      </c>
      <c r="AC8" s="15">
        <f t="shared" si="14"/>
        <v>1518</v>
      </c>
    </row>
    <row r="9" spans="1:29" x14ac:dyDescent="0.35">
      <c r="A9" t="s">
        <v>11</v>
      </c>
      <c r="B9" t="s">
        <v>40</v>
      </c>
      <c r="C9" s="2">
        <v>14.6</v>
      </c>
      <c r="D9" s="5">
        <v>44</v>
      </c>
      <c r="E9" s="5">
        <v>51</v>
      </c>
      <c r="F9" s="5">
        <v>42</v>
      </c>
      <c r="G9" s="5">
        <v>40</v>
      </c>
      <c r="H9" s="5">
        <v>20</v>
      </c>
      <c r="I9" s="7">
        <f t="shared" si="5"/>
        <v>4</v>
      </c>
      <c r="J9" s="7">
        <f t="shared" si="6"/>
        <v>11</v>
      </c>
      <c r="K9" s="7">
        <f t="shared" si="6"/>
        <v>2</v>
      </c>
      <c r="L9" s="7">
        <f t="shared" si="6"/>
        <v>0</v>
      </c>
      <c r="M9" s="7">
        <f t="shared" si="6"/>
        <v>0</v>
      </c>
      <c r="N9" s="9">
        <f t="shared" si="10"/>
        <v>642.4</v>
      </c>
      <c r="O9" s="9">
        <f t="shared" si="10"/>
        <v>744.6</v>
      </c>
      <c r="P9" s="9">
        <f t="shared" si="7"/>
        <v>613.19999999999993</v>
      </c>
      <c r="Q9" s="9">
        <f t="shared" si="7"/>
        <v>584</v>
      </c>
      <c r="R9" s="9">
        <f t="shared" si="7"/>
        <v>292</v>
      </c>
      <c r="S9" s="10">
        <f t="shared" si="11"/>
        <v>29.2</v>
      </c>
      <c r="T9" s="10">
        <f t="shared" si="8"/>
        <v>80.3</v>
      </c>
      <c r="U9" s="10">
        <f t="shared" si="8"/>
        <v>14.6</v>
      </c>
      <c r="V9" s="10">
        <f t="shared" si="8"/>
        <v>0</v>
      </c>
      <c r="W9" s="10">
        <f t="shared" si="8"/>
        <v>0</v>
      </c>
      <c r="X9" s="12">
        <f t="shared" si="12"/>
        <v>671.6</v>
      </c>
      <c r="Y9" s="12">
        <f t="shared" si="13"/>
        <v>824.9</v>
      </c>
      <c r="Z9" s="12">
        <f t="shared" si="9"/>
        <v>627.79999999999995</v>
      </c>
      <c r="AA9" s="12">
        <f t="shared" si="9"/>
        <v>584</v>
      </c>
      <c r="AB9" s="12">
        <f t="shared" si="9"/>
        <v>292</v>
      </c>
      <c r="AC9" s="15">
        <f t="shared" si="14"/>
        <v>3000.3</v>
      </c>
    </row>
    <row r="10" spans="1:29" x14ac:dyDescent="0.35">
      <c r="A10" t="s">
        <v>12</v>
      </c>
      <c r="B10" t="s">
        <v>39</v>
      </c>
      <c r="C10" s="2">
        <v>18</v>
      </c>
      <c r="D10" s="5">
        <v>55</v>
      </c>
      <c r="E10" s="5">
        <v>60</v>
      </c>
      <c r="F10" s="5">
        <v>45</v>
      </c>
      <c r="G10" s="5">
        <v>40</v>
      </c>
      <c r="H10" s="5">
        <v>49</v>
      </c>
      <c r="I10" s="7">
        <f t="shared" si="5"/>
        <v>15</v>
      </c>
      <c r="J10" s="7">
        <f t="shared" si="6"/>
        <v>20</v>
      </c>
      <c r="K10" s="7">
        <f t="shared" si="6"/>
        <v>5</v>
      </c>
      <c r="L10" s="7">
        <f t="shared" si="6"/>
        <v>0</v>
      </c>
      <c r="M10" s="7">
        <f t="shared" si="6"/>
        <v>9</v>
      </c>
      <c r="N10" s="9">
        <f t="shared" si="10"/>
        <v>990</v>
      </c>
      <c r="O10" s="9">
        <f t="shared" si="10"/>
        <v>1080</v>
      </c>
      <c r="P10" s="9">
        <f t="shared" si="7"/>
        <v>810</v>
      </c>
      <c r="Q10" s="9">
        <f t="shared" si="7"/>
        <v>720</v>
      </c>
      <c r="R10" s="9">
        <f t="shared" si="7"/>
        <v>882</v>
      </c>
      <c r="S10" s="10">
        <f t="shared" si="11"/>
        <v>135</v>
      </c>
      <c r="T10" s="10">
        <f t="shared" si="8"/>
        <v>180</v>
      </c>
      <c r="U10" s="10">
        <f t="shared" si="8"/>
        <v>45</v>
      </c>
      <c r="V10" s="10">
        <f t="shared" si="8"/>
        <v>0</v>
      </c>
      <c r="W10" s="10">
        <f t="shared" si="8"/>
        <v>81</v>
      </c>
      <c r="X10" s="12">
        <f t="shared" si="12"/>
        <v>1125</v>
      </c>
      <c r="Y10" s="12">
        <f t="shared" si="13"/>
        <v>1260</v>
      </c>
      <c r="Z10" s="12">
        <f t="shared" si="9"/>
        <v>855</v>
      </c>
      <c r="AA10" s="12">
        <f t="shared" si="9"/>
        <v>720</v>
      </c>
      <c r="AB10" s="12">
        <f t="shared" si="9"/>
        <v>963</v>
      </c>
      <c r="AC10" s="15">
        <f t="shared" si="14"/>
        <v>4923</v>
      </c>
    </row>
    <row r="11" spans="1:29" x14ac:dyDescent="0.35">
      <c r="A11" t="s">
        <v>13</v>
      </c>
      <c r="B11" t="s">
        <v>38</v>
      </c>
      <c r="C11" s="2">
        <v>17.5</v>
      </c>
      <c r="D11" s="5">
        <v>33</v>
      </c>
      <c r="E11" s="5">
        <v>22</v>
      </c>
      <c r="F11" s="5">
        <v>54</v>
      </c>
      <c r="G11" s="5">
        <v>40</v>
      </c>
      <c r="H11" s="5">
        <v>20</v>
      </c>
      <c r="I11" s="7">
        <f t="shared" si="5"/>
        <v>0</v>
      </c>
      <c r="J11" s="7">
        <f t="shared" si="6"/>
        <v>0</v>
      </c>
      <c r="K11" s="7">
        <f t="shared" si="6"/>
        <v>14</v>
      </c>
      <c r="L11" s="7">
        <f t="shared" si="6"/>
        <v>0</v>
      </c>
      <c r="M11" s="7">
        <f t="shared" si="6"/>
        <v>0</v>
      </c>
      <c r="N11" s="9">
        <f t="shared" si="10"/>
        <v>577.5</v>
      </c>
      <c r="O11" s="9">
        <f t="shared" si="10"/>
        <v>385</v>
      </c>
      <c r="P11" s="9">
        <f t="shared" si="7"/>
        <v>945</v>
      </c>
      <c r="Q11" s="9">
        <f t="shared" si="7"/>
        <v>700</v>
      </c>
      <c r="R11" s="9">
        <f t="shared" si="7"/>
        <v>350</v>
      </c>
      <c r="S11" s="10">
        <f t="shared" si="11"/>
        <v>0</v>
      </c>
      <c r="T11" s="10">
        <f t="shared" si="8"/>
        <v>0</v>
      </c>
      <c r="U11" s="10">
        <f t="shared" si="8"/>
        <v>122.5</v>
      </c>
      <c r="V11" s="10">
        <f t="shared" si="8"/>
        <v>0</v>
      </c>
      <c r="W11" s="10">
        <f t="shared" si="8"/>
        <v>0</v>
      </c>
      <c r="X11" s="12">
        <f t="shared" si="12"/>
        <v>577.5</v>
      </c>
      <c r="Y11" s="12">
        <f t="shared" si="13"/>
        <v>385</v>
      </c>
      <c r="Z11" s="12">
        <f t="shared" si="9"/>
        <v>1067.5</v>
      </c>
      <c r="AA11" s="12">
        <f t="shared" si="9"/>
        <v>700</v>
      </c>
      <c r="AB11" s="12">
        <f t="shared" si="9"/>
        <v>350</v>
      </c>
      <c r="AC11" s="15">
        <f t="shared" si="14"/>
        <v>3080</v>
      </c>
    </row>
    <row r="12" spans="1:29" x14ac:dyDescent="0.35">
      <c r="A12" t="s">
        <v>14</v>
      </c>
      <c r="B12" t="s">
        <v>37</v>
      </c>
      <c r="C12" s="2">
        <v>14.7</v>
      </c>
      <c r="D12" s="5">
        <v>29</v>
      </c>
      <c r="E12" s="5">
        <v>40</v>
      </c>
      <c r="F12" s="5">
        <v>42</v>
      </c>
      <c r="G12" s="5">
        <v>40</v>
      </c>
      <c r="H12" s="5">
        <v>40</v>
      </c>
      <c r="I12" s="7">
        <f t="shared" si="5"/>
        <v>0</v>
      </c>
      <c r="J12" s="7">
        <f t="shared" si="6"/>
        <v>0</v>
      </c>
      <c r="K12" s="7">
        <f t="shared" si="6"/>
        <v>2</v>
      </c>
      <c r="L12" s="7">
        <f t="shared" si="6"/>
        <v>0</v>
      </c>
      <c r="M12" s="7">
        <f t="shared" si="6"/>
        <v>0</v>
      </c>
      <c r="N12" s="9">
        <f t="shared" si="10"/>
        <v>426.29999999999995</v>
      </c>
      <c r="O12" s="9">
        <f t="shared" si="10"/>
        <v>588</v>
      </c>
      <c r="P12" s="9">
        <f t="shared" si="7"/>
        <v>617.4</v>
      </c>
      <c r="Q12" s="9">
        <f t="shared" si="7"/>
        <v>588</v>
      </c>
      <c r="R12" s="9">
        <f t="shared" si="7"/>
        <v>588</v>
      </c>
      <c r="S12" s="10">
        <f t="shared" si="11"/>
        <v>0</v>
      </c>
      <c r="T12" s="10">
        <f t="shared" si="8"/>
        <v>0</v>
      </c>
      <c r="U12" s="10">
        <f t="shared" si="8"/>
        <v>14.7</v>
      </c>
      <c r="V12" s="10">
        <f t="shared" si="8"/>
        <v>0</v>
      </c>
      <c r="W12" s="10">
        <f t="shared" si="8"/>
        <v>0</v>
      </c>
      <c r="X12" s="12">
        <f t="shared" si="12"/>
        <v>426.29999999999995</v>
      </c>
      <c r="Y12" s="12">
        <f t="shared" si="13"/>
        <v>588</v>
      </c>
      <c r="Z12" s="12">
        <f t="shared" si="9"/>
        <v>632.1</v>
      </c>
      <c r="AA12" s="12">
        <f t="shared" si="9"/>
        <v>588</v>
      </c>
      <c r="AB12" s="12">
        <f t="shared" si="9"/>
        <v>588</v>
      </c>
      <c r="AC12" s="15">
        <f t="shared" si="14"/>
        <v>2822.4</v>
      </c>
    </row>
    <row r="13" spans="1:29" x14ac:dyDescent="0.35">
      <c r="A13" t="s">
        <v>15</v>
      </c>
      <c r="B13" t="s">
        <v>36</v>
      </c>
      <c r="C13" s="2">
        <v>13.9</v>
      </c>
      <c r="D13" s="5">
        <v>40</v>
      </c>
      <c r="E13" s="5">
        <v>40</v>
      </c>
      <c r="F13" s="5">
        <v>42</v>
      </c>
      <c r="G13" s="5">
        <v>40</v>
      </c>
      <c r="H13" s="5">
        <v>40</v>
      </c>
      <c r="I13" s="7">
        <f t="shared" si="5"/>
        <v>0</v>
      </c>
      <c r="J13" s="7">
        <f t="shared" si="6"/>
        <v>0</v>
      </c>
      <c r="K13" s="7">
        <f t="shared" si="6"/>
        <v>2</v>
      </c>
      <c r="L13" s="7">
        <f t="shared" si="6"/>
        <v>0</v>
      </c>
      <c r="M13" s="7">
        <f t="shared" si="6"/>
        <v>0</v>
      </c>
      <c r="N13" s="9">
        <f t="shared" si="10"/>
        <v>556</v>
      </c>
      <c r="O13" s="9">
        <f t="shared" si="10"/>
        <v>556</v>
      </c>
      <c r="P13" s="9">
        <f t="shared" si="7"/>
        <v>583.80000000000007</v>
      </c>
      <c r="Q13" s="9">
        <f t="shared" si="7"/>
        <v>556</v>
      </c>
      <c r="R13" s="9">
        <f t="shared" si="7"/>
        <v>556</v>
      </c>
      <c r="S13" s="10">
        <f t="shared" si="11"/>
        <v>0</v>
      </c>
      <c r="T13" s="10">
        <f t="shared" si="8"/>
        <v>0</v>
      </c>
      <c r="U13" s="10">
        <f t="shared" si="8"/>
        <v>13.9</v>
      </c>
      <c r="V13" s="10">
        <f t="shared" si="8"/>
        <v>0</v>
      </c>
      <c r="W13" s="10">
        <f t="shared" si="8"/>
        <v>0</v>
      </c>
      <c r="X13" s="12">
        <f t="shared" si="12"/>
        <v>556</v>
      </c>
      <c r="Y13" s="12">
        <f t="shared" si="13"/>
        <v>556</v>
      </c>
      <c r="Z13" s="12">
        <f t="shared" si="9"/>
        <v>597.70000000000005</v>
      </c>
      <c r="AA13" s="12">
        <f t="shared" si="9"/>
        <v>556</v>
      </c>
      <c r="AB13" s="12">
        <f t="shared" si="9"/>
        <v>556</v>
      </c>
      <c r="AC13" s="15">
        <f t="shared" si="14"/>
        <v>2821.7</v>
      </c>
    </row>
    <row r="14" spans="1:29" x14ac:dyDescent="0.35">
      <c r="A14" t="s">
        <v>16</v>
      </c>
      <c r="B14" t="s">
        <v>35</v>
      </c>
      <c r="C14" s="2">
        <v>11.2</v>
      </c>
      <c r="D14" s="5">
        <v>40</v>
      </c>
      <c r="E14" s="5">
        <v>40</v>
      </c>
      <c r="F14" s="5">
        <v>42</v>
      </c>
      <c r="G14" s="5">
        <v>39</v>
      </c>
      <c r="H14" s="5">
        <v>40</v>
      </c>
      <c r="I14" s="7">
        <f t="shared" si="5"/>
        <v>0</v>
      </c>
      <c r="J14" s="7">
        <f t="shared" si="6"/>
        <v>0</v>
      </c>
      <c r="K14" s="7">
        <f t="shared" si="6"/>
        <v>2</v>
      </c>
      <c r="L14" s="7">
        <f t="shared" si="6"/>
        <v>0</v>
      </c>
      <c r="M14" s="7">
        <f t="shared" si="6"/>
        <v>0</v>
      </c>
      <c r="N14" s="9">
        <f t="shared" si="10"/>
        <v>448</v>
      </c>
      <c r="O14" s="9">
        <f t="shared" si="10"/>
        <v>448</v>
      </c>
      <c r="P14" s="9">
        <f t="shared" si="7"/>
        <v>470.4</v>
      </c>
      <c r="Q14" s="9">
        <f t="shared" si="7"/>
        <v>436.79999999999995</v>
      </c>
      <c r="R14" s="9">
        <f t="shared" si="7"/>
        <v>448</v>
      </c>
      <c r="S14" s="10">
        <f t="shared" si="11"/>
        <v>0</v>
      </c>
      <c r="T14" s="10">
        <f t="shared" si="8"/>
        <v>0</v>
      </c>
      <c r="U14" s="10">
        <f t="shared" si="8"/>
        <v>11.2</v>
      </c>
      <c r="V14" s="10">
        <f t="shared" si="8"/>
        <v>0</v>
      </c>
      <c r="W14" s="10">
        <f t="shared" si="8"/>
        <v>0</v>
      </c>
      <c r="X14" s="12">
        <f t="shared" si="12"/>
        <v>448</v>
      </c>
      <c r="Y14" s="12">
        <f t="shared" si="13"/>
        <v>448</v>
      </c>
      <c r="Z14" s="12">
        <f t="shared" si="9"/>
        <v>481.59999999999997</v>
      </c>
      <c r="AA14" s="12">
        <f t="shared" si="9"/>
        <v>436.79999999999995</v>
      </c>
      <c r="AB14" s="12">
        <f t="shared" si="9"/>
        <v>448</v>
      </c>
      <c r="AC14" s="15">
        <f t="shared" si="14"/>
        <v>2262.3999999999996</v>
      </c>
    </row>
    <row r="15" spans="1:29" x14ac:dyDescent="0.35">
      <c r="A15" t="s">
        <v>17</v>
      </c>
      <c r="B15" t="s">
        <v>34</v>
      </c>
      <c r="C15" s="2">
        <v>10.1</v>
      </c>
      <c r="D15" s="5">
        <v>40</v>
      </c>
      <c r="E15" s="5">
        <v>40</v>
      </c>
      <c r="F15" s="5">
        <v>41</v>
      </c>
      <c r="G15" s="5">
        <v>42</v>
      </c>
      <c r="H15" s="5">
        <v>40</v>
      </c>
      <c r="I15" s="7">
        <f t="shared" si="5"/>
        <v>0</v>
      </c>
      <c r="J15" s="7">
        <f t="shared" si="6"/>
        <v>0</v>
      </c>
      <c r="K15" s="7">
        <f t="shared" si="6"/>
        <v>1</v>
      </c>
      <c r="L15" s="7">
        <f t="shared" si="6"/>
        <v>2</v>
      </c>
      <c r="M15" s="7">
        <f t="shared" si="6"/>
        <v>0</v>
      </c>
      <c r="N15" s="9">
        <f t="shared" si="10"/>
        <v>404</v>
      </c>
      <c r="O15" s="9">
        <f t="shared" si="10"/>
        <v>404</v>
      </c>
      <c r="P15" s="9">
        <f t="shared" si="7"/>
        <v>414.09999999999997</v>
      </c>
      <c r="Q15" s="9">
        <f t="shared" si="7"/>
        <v>424.2</v>
      </c>
      <c r="R15" s="9">
        <f t="shared" si="7"/>
        <v>404</v>
      </c>
      <c r="S15" s="10">
        <f t="shared" si="11"/>
        <v>0</v>
      </c>
      <c r="T15" s="10">
        <f t="shared" si="8"/>
        <v>0</v>
      </c>
      <c r="U15" s="10">
        <f t="shared" si="8"/>
        <v>5.05</v>
      </c>
      <c r="V15" s="10">
        <f t="shared" si="8"/>
        <v>10.1</v>
      </c>
      <c r="W15" s="10">
        <f t="shared" si="8"/>
        <v>0</v>
      </c>
      <c r="X15" s="12">
        <f t="shared" si="12"/>
        <v>404</v>
      </c>
      <c r="Y15" s="12">
        <f t="shared" si="13"/>
        <v>404</v>
      </c>
      <c r="Z15" s="12">
        <f t="shared" si="9"/>
        <v>419.15</v>
      </c>
      <c r="AA15" s="12">
        <f t="shared" si="9"/>
        <v>434.3</v>
      </c>
      <c r="AB15" s="12">
        <f t="shared" si="9"/>
        <v>404</v>
      </c>
      <c r="AC15" s="15">
        <f t="shared" si="14"/>
        <v>2065.4499999999998</v>
      </c>
    </row>
    <row r="16" spans="1:29" x14ac:dyDescent="0.35">
      <c r="A16" t="s">
        <v>18</v>
      </c>
      <c r="B16" t="s">
        <v>33</v>
      </c>
      <c r="C16" s="2">
        <v>9</v>
      </c>
      <c r="D16" s="5">
        <v>42</v>
      </c>
      <c r="E16" s="5">
        <v>42</v>
      </c>
      <c r="F16" s="5">
        <v>39</v>
      </c>
      <c r="G16" s="5">
        <v>42</v>
      </c>
      <c r="H16" s="5">
        <v>40</v>
      </c>
      <c r="I16" s="7">
        <f t="shared" si="5"/>
        <v>2</v>
      </c>
      <c r="J16" s="7">
        <f t="shared" si="6"/>
        <v>2</v>
      </c>
      <c r="K16" s="7">
        <f t="shared" si="6"/>
        <v>0</v>
      </c>
      <c r="L16" s="7">
        <f t="shared" si="6"/>
        <v>2</v>
      </c>
      <c r="M16" s="7">
        <f t="shared" si="6"/>
        <v>0</v>
      </c>
      <c r="N16" s="9">
        <f t="shared" si="10"/>
        <v>378</v>
      </c>
      <c r="O16" s="9">
        <f t="shared" si="10"/>
        <v>378</v>
      </c>
      <c r="P16" s="9">
        <f t="shared" si="7"/>
        <v>351</v>
      </c>
      <c r="Q16" s="9">
        <f t="shared" si="7"/>
        <v>378</v>
      </c>
      <c r="R16" s="9">
        <f t="shared" si="7"/>
        <v>360</v>
      </c>
      <c r="S16" s="10">
        <f t="shared" si="11"/>
        <v>9</v>
      </c>
      <c r="T16" s="10">
        <f t="shared" si="8"/>
        <v>9</v>
      </c>
      <c r="U16" s="10">
        <f t="shared" si="8"/>
        <v>0</v>
      </c>
      <c r="V16" s="10">
        <f t="shared" si="8"/>
        <v>9</v>
      </c>
      <c r="W16" s="10">
        <f t="shared" si="8"/>
        <v>0</v>
      </c>
      <c r="X16" s="12">
        <f t="shared" si="12"/>
        <v>387</v>
      </c>
      <c r="Y16" s="12">
        <f t="shared" si="13"/>
        <v>387</v>
      </c>
      <c r="Z16" s="12">
        <f t="shared" si="9"/>
        <v>351</v>
      </c>
      <c r="AA16" s="12">
        <f t="shared" si="9"/>
        <v>387</v>
      </c>
      <c r="AB16" s="12">
        <f t="shared" si="9"/>
        <v>360</v>
      </c>
      <c r="AC16" s="15">
        <f t="shared" si="14"/>
        <v>1872</v>
      </c>
    </row>
    <row r="17" spans="1:29" x14ac:dyDescent="0.35">
      <c r="A17" t="s">
        <v>19</v>
      </c>
      <c r="B17" t="s">
        <v>32</v>
      </c>
      <c r="C17" s="2">
        <v>8.44</v>
      </c>
      <c r="D17" s="5">
        <v>40</v>
      </c>
      <c r="E17" s="5">
        <v>43</v>
      </c>
      <c r="F17" s="5">
        <v>39</v>
      </c>
      <c r="G17" s="5">
        <v>41</v>
      </c>
      <c r="H17" s="5">
        <v>40</v>
      </c>
      <c r="I17" s="7">
        <f t="shared" si="5"/>
        <v>0</v>
      </c>
      <c r="J17" s="7">
        <f t="shared" si="6"/>
        <v>3</v>
      </c>
      <c r="K17" s="7">
        <f t="shared" si="6"/>
        <v>0</v>
      </c>
      <c r="L17" s="7">
        <f t="shared" si="6"/>
        <v>1</v>
      </c>
      <c r="M17" s="7">
        <f t="shared" si="6"/>
        <v>0</v>
      </c>
      <c r="N17" s="9">
        <f t="shared" si="10"/>
        <v>337.59999999999997</v>
      </c>
      <c r="O17" s="9">
        <f t="shared" si="10"/>
        <v>362.91999999999996</v>
      </c>
      <c r="P17" s="9">
        <f t="shared" si="7"/>
        <v>329.15999999999997</v>
      </c>
      <c r="Q17" s="9">
        <f t="shared" si="7"/>
        <v>346.03999999999996</v>
      </c>
      <c r="R17" s="9">
        <f t="shared" si="7"/>
        <v>337.59999999999997</v>
      </c>
      <c r="S17" s="10">
        <f t="shared" si="11"/>
        <v>0</v>
      </c>
      <c r="T17" s="10">
        <f t="shared" si="8"/>
        <v>12.66</v>
      </c>
      <c r="U17" s="10">
        <f t="shared" si="8"/>
        <v>0</v>
      </c>
      <c r="V17" s="10">
        <f t="shared" si="8"/>
        <v>4.22</v>
      </c>
      <c r="W17" s="10">
        <f t="shared" si="8"/>
        <v>0</v>
      </c>
      <c r="X17" s="12">
        <f t="shared" si="12"/>
        <v>337.59999999999997</v>
      </c>
      <c r="Y17" s="12">
        <f t="shared" si="13"/>
        <v>375.58</v>
      </c>
      <c r="Z17" s="12">
        <f t="shared" si="9"/>
        <v>329.15999999999997</v>
      </c>
      <c r="AA17" s="12">
        <f t="shared" si="9"/>
        <v>350.26</v>
      </c>
      <c r="AB17" s="12">
        <f t="shared" si="9"/>
        <v>337.59999999999997</v>
      </c>
      <c r="AC17" s="15">
        <f t="shared" si="14"/>
        <v>1730.1999999999998</v>
      </c>
    </row>
    <row r="18" spans="1:29" x14ac:dyDescent="0.35">
      <c r="A18" t="s">
        <v>20</v>
      </c>
      <c r="B18" t="s">
        <v>31</v>
      </c>
      <c r="C18" s="2">
        <v>14.2</v>
      </c>
      <c r="D18" s="5">
        <v>40</v>
      </c>
      <c r="E18" s="5">
        <v>42</v>
      </c>
      <c r="F18" s="5">
        <v>39</v>
      </c>
      <c r="G18" s="5">
        <v>40</v>
      </c>
      <c r="H18" s="5">
        <v>40</v>
      </c>
      <c r="I18" s="7">
        <f t="shared" si="5"/>
        <v>0</v>
      </c>
      <c r="J18" s="7">
        <f t="shared" si="6"/>
        <v>2</v>
      </c>
      <c r="K18" s="7">
        <f t="shared" si="6"/>
        <v>0</v>
      </c>
      <c r="L18" s="7">
        <f t="shared" si="6"/>
        <v>0</v>
      </c>
      <c r="M18" s="7">
        <f t="shared" si="6"/>
        <v>0</v>
      </c>
      <c r="N18" s="9">
        <f t="shared" si="10"/>
        <v>568</v>
      </c>
      <c r="O18" s="9">
        <f t="shared" si="10"/>
        <v>596.4</v>
      </c>
      <c r="P18" s="9">
        <f t="shared" si="7"/>
        <v>553.79999999999995</v>
      </c>
      <c r="Q18" s="9">
        <f t="shared" si="7"/>
        <v>568</v>
      </c>
      <c r="R18" s="9">
        <f t="shared" si="7"/>
        <v>568</v>
      </c>
      <c r="S18" s="10">
        <f t="shared" si="11"/>
        <v>0</v>
      </c>
      <c r="T18" s="10">
        <f t="shared" si="8"/>
        <v>14.2</v>
      </c>
      <c r="U18" s="10">
        <f t="shared" si="8"/>
        <v>0</v>
      </c>
      <c r="V18" s="10">
        <f t="shared" si="8"/>
        <v>0</v>
      </c>
      <c r="W18" s="10">
        <f t="shared" si="8"/>
        <v>0</v>
      </c>
      <c r="X18" s="12">
        <f t="shared" si="12"/>
        <v>568</v>
      </c>
      <c r="Y18" s="12">
        <f t="shared" si="13"/>
        <v>610.6</v>
      </c>
      <c r="Z18" s="12">
        <f t="shared" si="9"/>
        <v>553.79999999999995</v>
      </c>
      <c r="AA18" s="12">
        <f t="shared" si="9"/>
        <v>568</v>
      </c>
      <c r="AB18" s="12">
        <f t="shared" si="9"/>
        <v>568</v>
      </c>
      <c r="AC18" s="15">
        <f t="shared" si="14"/>
        <v>2868.3999999999996</v>
      </c>
    </row>
    <row r="19" spans="1:29" x14ac:dyDescent="0.35">
      <c r="A19" t="s">
        <v>21</v>
      </c>
      <c r="B19" t="s">
        <v>30</v>
      </c>
      <c r="C19" s="2">
        <v>18.2</v>
      </c>
      <c r="D19" s="5">
        <v>41</v>
      </c>
      <c r="E19" s="5">
        <v>42</v>
      </c>
      <c r="F19" s="5">
        <v>40</v>
      </c>
      <c r="G19" s="5">
        <v>28</v>
      </c>
      <c r="H19" s="5">
        <v>40</v>
      </c>
      <c r="I19" s="7">
        <f t="shared" si="5"/>
        <v>1</v>
      </c>
      <c r="J19" s="7">
        <f t="shared" si="6"/>
        <v>2</v>
      </c>
      <c r="K19" s="7">
        <f t="shared" si="6"/>
        <v>0</v>
      </c>
      <c r="L19" s="7">
        <f t="shared" si="6"/>
        <v>0</v>
      </c>
      <c r="M19" s="7">
        <f t="shared" si="6"/>
        <v>0</v>
      </c>
      <c r="N19" s="9">
        <f t="shared" si="10"/>
        <v>746.19999999999993</v>
      </c>
      <c r="O19" s="9">
        <f t="shared" si="10"/>
        <v>764.4</v>
      </c>
      <c r="P19" s="9">
        <f t="shared" si="7"/>
        <v>728</v>
      </c>
      <c r="Q19" s="9">
        <f t="shared" si="7"/>
        <v>509.59999999999997</v>
      </c>
      <c r="R19" s="9">
        <f t="shared" si="7"/>
        <v>728</v>
      </c>
      <c r="S19" s="10">
        <f t="shared" si="11"/>
        <v>9.1</v>
      </c>
      <c r="T19" s="10">
        <f t="shared" si="8"/>
        <v>18.2</v>
      </c>
      <c r="U19" s="10">
        <f t="shared" si="8"/>
        <v>0</v>
      </c>
      <c r="V19" s="10">
        <f t="shared" si="8"/>
        <v>0</v>
      </c>
      <c r="W19" s="10">
        <f t="shared" si="8"/>
        <v>0</v>
      </c>
      <c r="X19" s="12">
        <f t="shared" si="12"/>
        <v>755.3</v>
      </c>
      <c r="Y19" s="12">
        <f t="shared" si="13"/>
        <v>782.6</v>
      </c>
      <c r="Z19" s="12">
        <f t="shared" si="9"/>
        <v>728</v>
      </c>
      <c r="AA19" s="12">
        <f t="shared" si="9"/>
        <v>509.59999999999997</v>
      </c>
      <c r="AB19" s="12">
        <f t="shared" si="9"/>
        <v>728</v>
      </c>
      <c r="AC19" s="15">
        <f t="shared" si="14"/>
        <v>3503.5</v>
      </c>
    </row>
    <row r="20" spans="1:29" x14ac:dyDescent="0.35">
      <c r="A20" t="s">
        <v>22</v>
      </c>
      <c r="B20" t="s">
        <v>29</v>
      </c>
      <c r="C20" s="2">
        <v>45</v>
      </c>
      <c r="D20" s="5">
        <v>39</v>
      </c>
      <c r="E20" s="5">
        <v>60</v>
      </c>
      <c r="F20" s="5">
        <v>40</v>
      </c>
      <c r="G20" s="5">
        <v>20</v>
      </c>
      <c r="H20" s="5">
        <v>40</v>
      </c>
      <c r="I20" s="7">
        <f t="shared" si="5"/>
        <v>0</v>
      </c>
      <c r="J20" s="7">
        <f t="shared" ref="J20:M23" si="15">IF(E20&gt;40,E20-40,0)</f>
        <v>20</v>
      </c>
      <c r="K20" s="7">
        <f t="shared" si="15"/>
        <v>0</v>
      </c>
      <c r="L20" s="7">
        <f t="shared" si="15"/>
        <v>0</v>
      </c>
      <c r="M20" s="7">
        <f t="shared" si="15"/>
        <v>0</v>
      </c>
      <c r="N20" s="9">
        <f t="shared" si="10"/>
        <v>1755</v>
      </c>
      <c r="O20" s="9">
        <f t="shared" si="10"/>
        <v>2700</v>
      </c>
      <c r="P20" s="9">
        <f t="shared" ref="P20:P23" si="16">$C20*F20</f>
        <v>1800</v>
      </c>
      <c r="Q20" s="9">
        <f t="shared" ref="Q20:Q23" si="17">$C20*G20</f>
        <v>900</v>
      </c>
      <c r="R20" s="9">
        <f t="shared" ref="R20:R23" si="18">$C20*H20</f>
        <v>1800</v>
      </c>
      <c r="S20" s="10">
        <f t="shared" si="11"/>
        <v>0</v>
      </c>
      <c r="T20" s="10">
        <f t="shared" ref="T20:T23" si="19">0.5*$C20*J20</f>
        <v>450</v>
      </c>
      <c r="U20" s="10">
        <f t="shared" ref="U20:U23" si="20">0.5*$C20*K20</f>
        <v>0</v>
      </c>
      <c r="V20" s="10">
        <f t="shared" ref="V20:W23" si="21">0.5*$C20*L20</f>
        <v>0</v>
      </c>
      <c r="W20" s="10">
        <f t="shared" si="21"/>
        <v>0</v>
      </c>
      <c r="X20" s="12">
        <f t="shared" si="12"/>
        <v>1755</v>
      </c>
      <c r="Y20" s="12">
        <f t="shared" si="13"/>
        <v>3150</v>
      </c>
      <c r="Z20" s="12">
        <f t="shared" ref="Z20:Z23" si="22">P20+U20</f>
        <v>1800</v>
      </c>
      <c r="AA20" s="12">
        <f t="shared" ref="AA20:AA23" si="23">Q20+V20</f>
        <v>900</v>
      </c>
      <c r="AB20" s="12">
        <f t="shared" ref="AB20:AB23" si="24">R20+W20</f>
        <v>1800</v>
      </c>
      <c r="AC20" s="15">
        <f t="shared" si="14"/>
        <v>9405</v>
      </c>
    </row>
    <row r="21" spans="1:29" x14ac:dyDescent="0.35">
      <c r="A21" t="s">
        <v>23</v>
      </c>
      <c r="B21" t="s">
        <v>28</v>
      </c>
      <c r="C21" s="2">
        <v>30</v>
      </c>
      <c r="D21" s="5">
        <v>38</v>
      </c>
      <c r="E21" s="5">
        <v>47</v>
      </c>
      <c r="F21" s="5">
        <v>45</v>
      </c>
      <c r="G21" s="5">
        <v>47</v>
      </c>
      <c r="H21" s="5">
        <v>43</v>
      </c>
      <c r="I21" s="7">
        <f t="shared" si="5"/>
        <v>0</v>
      </c>
      <c r="J21" s="7">
        <f t="shared" si="15"/>
        <v>7</v>
      </c>
      <c r="K21" s="7">
        <f t="shared" si="15"/>
        <v>5</v>
      </c>
      <c r="L21" s="7">
        <f t="shared" si="15"/>
        <v>7</v>
      </c>
      <c r="M21" s="7">
        <f t="shared" si="15"/>
        <v>3</v>
      </c>
      <c r="N21" s="9">
        <f t="shared" si="10"/>
        <v>1140</v>
      </c>
      <c r="O21" s="9">
        <f t="shared" si="10"/>
        <v>1410</v>
      </c>
      <c r="P21" s="9">
        <f t="shared" si="16"/>
        <v>1350</v>
      </c>
      <c r="Q21" s="9">
        <f t="shared" si="17"/>
        <v>1410</v>
      </c>
      <c r="R21" s="9">
        <f t="shared" si="18"/>
        <v>1290</v>
      </c>
      <c r="S21" s="10">
        <f t="shared" si="11"/>
        <v>0</v>
      </c>
      <c r="T21" s="10">
        <f t="shared" si="19"/>
        <v>105</v>
      </c>
      <c r="U21" s="10">
        <f t="shared" si="20"/>
        <v>75</v>
      </c>
      <c r="V21" s="10">
        <f t="shared" si="21"/>
        <v>105</v>
      </c>
      <c r="W21" s="10">
        <f t="shared" si="21"/>
        <v>45</v>
      </c>
      <c r="X21" s="12">
        <f t="shared" si="12"/>
        <v>1140</v>
      </c>
      <c r="Y21" s="12">
        <f t="shared" si="13"/>
        <v>1515</v>
      </c>
      <c r="Z21" s="12">
        <f t="shared" si="22"/>
        <v>1425</v>
      </c>
      <c r="AA21" s="12">
        <f t="shared" si="23"/>
        <v>1515</v>
      </c>
      <c r="AB21" s="12">
        <f t="shared" si="24"/>
        <v>1335</v>
      </c>
      <c r="AC21" s="15">
        <f t="shared" si="14"/>
        <v>6930</v>
      </c>
    </row>
    <row r="22" spans="1:29" x14ac:dyDescent="0.35">
      <c r="A22" t="s">
        <v>24</v>
      </c>
      <c r="B22" t="s">
        <v>27</v>
      </c>
      <c r="C22" s="2">
        <v>21.5</v>
      </c>
      <c r="D22" s="5">
        <v>43</v>
      </c>
      <c r="E22" s="5">
        <v>37</v>
      </c>
      <c r="F22" s="5">
        <v>36</v>
      </c>
      <c r="G22" s="5">
        <v>43</v>
      </c>
      <c r="H22" s="5">
        <v>41</v>
      </c>
      <c r="I22" s="7">
        <f t="shared" si="5"/>
        <v>3</v>
      </c>
      <c r="J22" s="7">
        <f t="shared" si="15"/>
        <v>0</v>
      </c>
      <c r="K22" s="7">
        <f t="shared" si="15"/>
        <v>0</v>
      </c>
      <c r="L22" s="7">
        <f t="shared" si="15"/>
        <v>3</v>
      </c>
      <c r="M22" s="7">
        <f t="shared" si="15"/>
        <v>1</v>
      </c>
      <c r="N22" s="9">
        <f t="shared" si="10"/>
        <v>924.5</v>
      </c>
      <c r="O22" s="9">
        <f t="shared" si="10"/>
        <v>795.5</v>
      </c>
      <c r="P22" s="9">
        <f t="shared" si="16"/>
        <v>774</v>
      </c>
      <c r="Q22" s="9">
        <f t="shared" si="17"/>
        <v>924.5</v>
      </c>
      <c r="R22" s="9">
        <f t="shared" si="18"/>
        <v>881.5</v>
      </c>
      <c r="S22" s="10">
        <f t="shared" si="11"/>
        <v>32.25</v>
      </c>
      <c r="T22" s="10">
        <f t="shared" si="19"/>
        <v>0</v>
      </c>
      <c r="U22" s="10">
        <f t="shared" si="20"/>
        <v>0</v>
      </c>
      <c r="V22" s="10">
        <f t="shared" si="21"/>
        <v>32.25</v>
      </c>
      <c r="W22" s="10">
        <f t="shared" si="21"/>
        <v>10.75</v>
      </c>
      <c r="X22" s="12">
        <f t="shared" si="12"/>
        <v>956.75</v>
      </c>
      <c r="Y22" s="12">
        <f t="shared" si="13"/>
        <v>795.5</v>
      </c>
      <c r="Z22" s="12">
        <f t="shared" si="22"/>
        <v>774</v>
      </c>
      <c r="AA22" s="12">
        <f t="shared" si="23"/>
        <v>956.75</v>
      </c>
      <c r="AB22" s="12">
        <f t="shared" si="24"/>
        <v>892.25</v>
      </c>
      <c r="AC22" s="15">
        <f t="shared" si="14"/>
        <v>4375.25</v>
      </c>
    </row>
    <row r="23" spans="1:29" x14ac:dyDescent="0.35">
      <c r="A23" t="s">
        <v>25</v>
      </c>
      <c r="B23" t="s">
        <v>26</v>
      </c>
      <c r="C23" s="2">
        <v>13.7</v>
      </c>
      <c r="D23" s="5">
        <v>38</v>
      </c>
      <c r="E23" s="5">
        <v>34</v>
      </c>
      <c r="F23" s="5">
        <v>33</v>
      </c>
      <c r="G23" s="5">
        <v>41</v>
      </c>
      <c r="H23" s="5">
        <v>42</v>
      </c>
      <c r="I23" s="7">
        <f t="shared" si="5"/>
        <v>0</v>
      </c>
      <c r="J23" s="7">
        <f t="shared" si="15"/>
        <v>0</v>
      </c>
      <c r="K23" s="7">
        <f t="shared" si="15"/>
        <v>0</v>
      </c>
      <c r="L23" s="7">
        <f t="shared" si="15"/>
        <v>1</v>
      </c>
      <c r="M23" s="7">
        <f t="shared" si="15"/>
        <v>2</v>
      </c>
      <c r="N23" s="9">
        <f t="shared" si="10"/>
        <v>520.6</v>
      </c>
      <c r="O23" s="9">
        <f t="shared" si="10"/>
        <v>465.79999999999995</v>
      </c>
      <c r="P23" s="9">
        <f t="shared" si="16"/>
        <v>452.09999999999997</v>
      </c>
      <c r="Q23" s="9">
        <f t="shared" si="17"/>
        <v>561.69999999999993</v>
      </c>
      <c r="R23" s="9">
        <f t="shared" si="18"/>
        <v>575.4</v>
      </c>
      <c r="S23" s="10">
        <f t="shared" si="11"/>
        <v>0</v>
      </c>
      <c r="T23" s="10">
        <f t="shared" si="19"/>
        <v>0</v>
      </c>
      <c r="U23" s="10">
        <f t="shared" si="20"/>
        <v>0</v>
      </c>
      <c r="V23" s="10">
        <f t="shared" si="21"/>
        <v>6.85</v>
      </c>
      <c r="W23" s="10">
        <f t="shared" si="21"/>
        <v>13.7</v>
      </c>
      <c r="X23" s="12">
        <f t="shared" si="12"/>
        <v>520.6</v>
      </c>
      <c r="Y23" s="12">
        <f t="shared" si="13"/>
        <v>465.79999999999995</v>
      </c>
      <c r="Z23" s="12">
        <f t="shared" si="22"/>
        <v>452.09999999999997</v>
      </c>
      <c r="AA23" s="12">
        <f t="shared" si="23"/>
        <v>568.54999999999995</v>
      </c>
      <c r="AB23" s="12">
        <f t="shared" si="24"/>
        <v>589.1</v>
      </c>
      <c r="AC23" s="15">
        <f t="shared" si="14"/>
        <v>2596.15</v>
      </c>
    </row>
    <row r="24" spans="1:29" x14ac:dyDescent="0.35">
      <c r="N24" s="1"/>
      <c r="O24" s="1"/>
      <c r="P24" s="1"/>
      <c r="Q24" s="1"/>
      <c r="R24" s="1"/>
    </row>
    <row r="25" spans="1:29" x14ac:dyDescent="0.35">
      <c r="A25" t="s">
        <v>46</v>
      </c>
      <c r="C25" s="1">
        <f>MAX(C4:C23)</f>
        <v>45</v>
      </c>
      <c r="D25" s="3">
        <f>MAX(D4:D23)</f>
        <v>55</v>
      </c>
      <c r="E25" s="3">
        <f t="shared" ref="E25:H25" si="25">MAX(E4:E23)</f>
        <v>60</v>
      </c>
      <c r="F25" s="3">
        <f t="shared" si="25"/>
        <v>54</v>
      </c>
      <c r="G25" s="3">
        <f t="shared" si="25"/>
        <v>47</v>
      </c>
      <c r="H25" s="3">
        <f t="shared" si="25"/>
        <v>49</v>
      </c>
      <c r="I25" s="3">
        <f>MAX(I4:I23)</f>
        <v>15</v>
      </c>
      <c r="J25" s="3">
        <f t="shared" ref="J25:M25" si="26">MAX(J4:J23)</f>
        <v>20</v>
      </c>
      <c r="K25" s="3">
        <f t="shared" si="26"/>
        <v>14</v>
      </c>
      <c r="L25" s="3">
        <f t="shared" si="26"/>
        <v>7</v>
      </c>
      <c r="M25" s="3">
        <f t="shared" si="26"/>
        <v>9</v>
      </c>
      <c r="N25" s="2">
        <f>MAX(N4:N23)</f>
        <v>1755</v>
      </c>
      <c r="O25" s="2">
        <f t="shared" ref="O25:S25" si="27">MAX(O4:O23)</f>
        <v>2700</v>
      </c>
      <c r="P25" s="2">
        <f t="shared" si="27"/>
        <v>1800</v>
      </c>
      <c r="Q25" s="2">
        <f t="shared" si="27"/>
        <v>1410</v>
      </c>
      <c r="R25" s="2">
        <f t="shared" si="27"/>
        <v>1800</v>
      </c>
      <c r="S25" s="2">
        <f t="shared" si="27"/>
        <v>135</v>
      </c>
      <c r="T25" s="2">
        <f>MAX(T4:T23)</f>
        <v>450</v>
      </c>
      <c r="U25" s="2">
        <f t="shared" ref="U25" si="28">MAX(U4:U23)</f>
        <v>122.5</v>
      </c>
      <c r="V25" s="2">
        <f>MAX(V4:V23)</f>
        <v>105</v>
      </c>
      <c r="W25" s="2">
        <f t="shared" ref="W25:Y25" si="29">MAX(W4:W23)</f>
        <v>81</v>
      </c>
      <c r="X25" s="2">
        <f t="shared" si="29"/>
        <v>1755</v>
      </c>
      <c r="Y25" s="2">
        <f t="shared" si="29"/>
        <v>3150</v>
      </c>
      <c r="Z25" s="2">
        <f>MAX(Z4:Z23)</f>
        <v>1800</v>
      </c>
      <c r="AA25" s="2">
        <f t="shared" ref="AA25:AB25" si="30">MAX(AA4:AA23)</f>
        <v>1515</v>
      </c>
      <c r="AB25" s="2">
        <f t="shared" si="30"/>
        <v>1800</v>
      </c>
      <c r="AC25" s="2">
        <f t="shared" ref="AC25" si="31">MAX(AC4:AC23)</f>
        <v>9405</v>
      </c>
    </row>
    <row r="26" spans="1:29" x14ac:dyDescent="0.35">
      <c r="A26" t="s">
        <v>47</v>
      </c>
      <c r="C26" s="1">
        <f>MIN(C4:C23)</f>
        <v>6.9</v>
      </c>
      <c r="D26" s="3">
        <f>MIN(D4:D23)</f>
        <v>29</v>
      </c>
      <c r="E26" s="3">
        <f t="shared" ref="E26:H26" si="32">MIN(E4:E23)</f>
        <v>22</v>
      </c>
      <c r="F26" s="3">
        <f t="shared" si="32"/>
        <v>33</v>
      </c>
      <c r="G26" s="3">
        <f t="shared" si="32"/>
        <v>20</v>
      </c>
      <c r="H26" s="3">
        <f t="shared" si="32"/>
        <v>18</v>
      </c>
      <c r="I26" s="3">
        <f>MIN(I4:I23)</f>
        <v>0</v>
      </c>
      <c r="J26" s="3">
        <f t="shared" ref="J26:M26" si="33">MIN(J4:J23)</f>
        <v>0</v>
      </c>
      <c r="K26" s="3">
        <f t="shared" si="33"/>
        <v>0</v>
      </c>
      <c r="L26" s="3">
        <f t="shared" si="33"/>
        <v>0</v>
      </c>
      <c r="M26" s="3">
        <f t="shared" si="33"/>
        <v>0</v>
      </c>
      <c r="N26" s="2">
        <f>MIN(N4:N23)</f>
        <v>269.10000000000002</v>
      </c>
      <c r="O26" s="2">
        <f t="shared" ref="O26:S26" si="34">MIN(O4:O23)</f>
        <v>358.8</v>
      </c>
      <c r="P26" s="2">
        <f t="shared" si="34"/>
        <v>289.8</v>
      </c>
      <c r="Q26" s="2">
        <f t="shared" si="34"/>
        <v>276</v>
      </c>
      <c r="R26" s="2">
        <f t="shared" si="34"/>
        <v>276</v>
      </c>
      <c r="S26" s="2">
        <f t="shared" si="34"/>
        <v>0</v>
      </c>
      <c r="T26" s="2">
        <f>MIN(T4:T23)</f>
        <v>0</v>
      </c>
      <c r="U26" s="2">
        <f t="shared" ref="U26" si="35">MIN(U4:U23)</f>
        <v>0</v>
      </c>
      <c r="V26" s="2">
        <f>MIN(V4:V23)</f>
        <v>0</v>
      </c>
      <c r="W26" s="2">
        <f t="shared" ref="W26:Y26" si="36">MIN(W4:W23)</f>
        <v>0</v>
      </c>
      <c r="X26" s="2">
        <f t="shared" si="36"/>
        <v>269.10000000000002</v>
      </c>
      <c r="Y26" s="2">
        <f t="shared" si="36"/>
        <v>375.58</v>
      </c>
      <c r="Z26" s="2">
        <f>MIN(Z4:Z23)</f>
        <v>296.7</v>
      </c>
      <c r="AA26" s="2">
        <f t="shared" ref="AA26:AB26" si="37">MIN(AA4:AA23)</f>
        <v>276</v>
      </c>
      <c r="AB26" s="2">
        <f t="shared" si="37"/>
        <v>276</v>
      </c>
      <c r="AC26" s="2">
        <f t="shared" ref="AC26" si="38">MIN(AC4:AC23)</f>
        <v>1518</v>
      </c>
    </row>
    <row r="27" spans="1:29" x14ac:dyDescent="0.35">
      <c r="A27" t="s">
        <v>48</v>
      </c>
      <c r="C27" s="1">
        <f>AVERAGE(C4:C23)</f>
        <v>16.701999999999995</v>
      </c>
      <c r="D27" s="3">
        <f>AVERAGE(D4:D23)</f>
        <v>40.65</v>
      </c>
      <c r="E27" s="3">
        <f t="shared" ref="E27:H27" si="39">AVERAGE(E4:E23)</f>
        <v>43.25</v>
      </c>
      <c r="F27" s="3">
        <f t="shared" si="39"/>
        <v>41</v>
      </c>
      <c r="G27" s="3">
        <f t="shared" si="39"/>
        <v>37.049999999999997</v>
      </c>
      <c r="H27" s="3">
        <f t="shared" si="39"/>
        <v>38.1</v>
      </c>
      <c r="I27" s="3">
        <f>AVERAGE(I4:I23)</f>
        <v>1.85</v>
      </c>
      <c r="J27" s="3">
        <f t="shared" ref="J27:M27" si="40">AVERAGE(J4:J23)</f>
        <v>4.5999999999999996</v>
      </c>
      <c r="K27" s="3">
        <f t="shared" si="40"/>
        <v>2.1</v>
      </c>
      <c r="L27" s="3">
        <f t="shared" si="40"/>
        <v>0.8</v>
      </c>
      <c r="M27" s="3">
        <f t="shared" si="40"/>
        <v>1.25</v>
      </c>
      <c r="N27" s="2">
        <f>AVERAGE(N4:N23)</f>
        <v>680.2600000000001</v>
      </c>
      <c r="O27" s="2">
        <f t="shared" ref="O27:S27" si="41">AVERAGE(O4:O23)</f>
        <v>747.71100000000001</v>
      </c>
      <c r="P27" s="2">
        <f t="shared" si="41"/>
        <v>686.44299999999998</v>
      </c>
      <c r="Q27" s="2">
        <f t="shared" si="41"/>
        <v>587.74199999999996</v>
      </c>
      <c r="R27" s="2">
        <f t="shared" si="41"/>
        <v>632.53</v>
      </c>
      <c r="S27" s="2">
        <f t="shared" si="41"/>
        <v>16.677500000000002</v>
      </c>
      <c r="T27" s="2">
        <f>AVERAGE(T4:T23)</f>
        <v>51.358000000000004</v>
      </c>
      <c r="U27" s="2">
        <f t="shared" ref="U27" si="42">AVERAGE(U4:U23)</f>
        <v>18.785</v>
      </c>
      <c r="V27" s="2">
        <f>AVERAGE(V4:V23)</f>
        <v>8.3709999999999987</v>
      </c>
      <c r="W27" s="2">
        <f t="shared" ref="W27:Y27" si="43">AVERAGE(W4:W23)</f>
        <v>10.907499999999999</v>
      </c>
      <c r="X27" s="2">
        <f t="shared" si="43"/>
        <v>696.9375</v>
      </c>
      <c r="Y27" s="2">
        <f t="shared" si="43"/>
        <v>799.06899999999996</v>
      </c>
      <c r="Z27" s="2">
        <f>AVERAGE(Z4:Z23)</f>
        <v>705.22799999999995</v>
      </c>
      <c r="AA27" s="2">
        <f t="shared" ref="AA27:AB27" si="44">AVERAGE(AA4:AA23)</f>
        <v>596.11300000000006</v>
      </c>
      <c r="AB27" s="2">
        <f t="shared" si="44"/>
        <v>643.43750000000011</v>
      </c>
      <c r="AC27" s="2">
        <f t="shared" ref="AC27" si="45">AVERAGE(AC4:AC23)</f>
        <v>3440.7849999999989</v>
      </c>
    </row>
    <row r="28" spans="1:29" x14ac:dyDescent="0.35">
      <c r="A28" t="s">
        <v>49</v>
      </c>
      <c r="C28" s="1"/>
      <c r="D28" s="3">
        <f>SUM(D4:D23)</f>
        <v>813</v>
      </c>
      <c r="E28" s="3">
        <f t="shared" ref="E28:H28" si="46">SUM(E4:E23)</f>
        <v>865</v>
      </c>
      <c r="F28" s="3">
        <f t="shared" si="46"/>
        <v>820</v>
      </c>
      <c r="G28" s="3">
        <f t="shared" si="46"/>
        <v>741</v>
      </c>
      <c r="H28" s="3">
        <f t="shared" si="46"/>
        <v>762</v>
      </c>
      <c r="I28" s="3">
        <f>SUM(I4:I23)</f>
        <v>37</v>
      </c>
      <c r="J28" s="3">
        <f t="shared" ref="J28:M28" si="47">SUM(J4:J23)</f>
        <v>92</v>
      </c>
      <c r="K28" s="3">
        <f t="shared" si="47"/>
        <v>42</v>
      </c>
      <c r="L28" s="3">
        <f t="shared" si="47"/>
        <v>16</v>
      </c>
      <c r="M28" s="3">
        <f t="shared" si="47"/>
        <v>25</v>
      </c>
      <c r="N28" s="2">
        <f>SUM(N4:N23)</f>
        <v>13605.200000000003</v>
      </c>
      <c r="O28" s="2">
        <f t="shared" ref="O28:S28" si="48">SUM(O4:O23)</f>
        <v>14954.22</v>
      </c>
      <c r="P28" s="2">
        <f t="shared" si="48"/>
        <v>13728.86</v>
      </c>
      <c r="Q28" s="2">
        <f t="shared" si="48"/>
        <v>11754.84</v>
      </c>
      <c r="R28" s="2">
        <f t="shared" si="48"/>
        <v>12650.6</v>
      </c>
      <c r="S28" s="2">
        <f t="shared" si="48"/>
        <v>333.55</v>
      </c>
      <c r="T28" s="2">
        <f>SUM(T4:T23)</f>
        <v>1027.1600000000001</v>
      </c>
      <c r="U28" s="2">
        <f t="shared" ref="U28" si="49">SUM(U4:U23)</f>
        <v>375.7</v>
      </c>
      <c r="V28" s="2">
        <f>SUM(V4:V23)</f>
        <v>167.42</v>
      </c>
      <c r="W28" s="2">
        <f t="shared" ref="W28:Y28" si="50">SUM(W4:W23)</f>
        <v>218.14999999999998</v>
      </c>
      <c r="X28" s="2">
        <f t="shared" si="50"/>
        <v>13938.75</v>
      </c>
      <c r="Y28" s="2">
        <f t="shared" si="50"/>
        <v>15981.38</v>
      </c>
      <c r="Z28" s="2">
        <f>SUM(Z4:Z23)</f>
        <v>14104.56</v>
      </c>
      <c r="AA28" s="2">
        <f t="shared" ref="AA28:AB28" si="51">SUM(AA4:AA23)</f>
        <v>11922.26</v>
      </c>
      <c r="AB28" s="2">
        <f t="shared" si="51"/>
        <v>12868.750000000002</v>
      </c>
      <c r="AC28" s="2">
        <f t="shared" ref="AC28" si="52">SUM(AC4:AC23)</f>
        <v>68815.699999999983</v>
      </c>
    </row>
  </sheetData>
  <pageMargins left="0.7" right="0.7" top="0.75" bottom="0.75" header="0.3" footer="0.3"/>
  <ignoredErrors>
    <ignoredError sqref="D2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241B-6110-4244-953D-EF4DDDC64C27}">
  <dimension ref="A1:C18"/>
  <sheetViews>
    <sheetView workbookViewId="0">
      <selection activeCell="H18" sqref="H18"/>
    </sheetView>
  </sheetViews>
  <sheetFormatPr defaultRowHeight="14.5" x14ac:dyDescent="0.35"/>
  <cols>
    <col min="1" max="1" width="12.453125" bestFit="1" customWidth="1"/>
  </cols>
  <sheetData>
    <row r="1" spans="1:3" x14ac:dyDescent="0.35">
      <c r="B1" t="s">
        <v>284</v>
      </c>
      <c r="C1" t="s">
        <v>285</v>
      </c>
    </row>
    <row r="3" spans="1:3" x14ac:dyDescent="0.35">
      <c r="A3" s="33" t="s">
        <v>286</v>
      </c>
      <c r="B3" s="22"/>
      <c r="C3" s="22"/>
    </row>
    <row r="4" spans="1:3" x14ac:dyDescent="0.35">
      <c r="A4" s="22" t="s">
        <v>287</v>
      </c>
      <c r="B4" s="35">
        <v>90</v>
      </c>
      <c r="C4" s="35">
        <v>50</v>
      </c>
    </row>
    <row r="5" spans="1:3" x14ac:dyDescent="0.35">
      <c r="A5" s="22" t="s">
        <v>288</v>
      </c>
      <c r="B5" s="35">
        <v>2</v>
      </c>
      <c r="C5" s="35">
        <v>2.5</v>
      </c>
    </row>
    <row r="6" spans="1:3" x14ac:dyDescent="0.35">
      <c r="A6" s="22" t="s">
        <v>289</v>
      </c>
      <c r="B6" s="35">
        <v>4.5</v>
      </c>
      <c r="C6" s="35">
        <v>5.5</v>
      </c>
    </row>
    <row r="7" spans="1:3" x14ac:dyDescent="0.35">
      <c r="A7" s="22" t="s">
        <v>290</v>
      </c>
      <c r="B7" s="35">
        <v>7</v>
      </c>
      <c r="C7" s="35">
        <v>7</v>
      </c>
    </row>
    <row r="8" spans="1:3" x14ac:dyDescent="0.35">
      <c r="A8" s="22" t="s">
        <v>291</v>
      </c>
      <c r="B8" s="35"/>
      <c r="C8" s="35">
        <v>3</v>
      </c>
    </row>
    <row r="9" spans="1:3" x14ac:dyDescent="0.35">
      <c r="A9" s="22" t="s">
        <v>49</v>
      </c>
      <c r="B9" s="35">
        <f>SUM(B4:B8)</f>
        <v>103.5</v>
      </c>
      <c r="C9" s="35">
        <f>SUM(C4:C8)</f>
        <v>68</v>
      </c>
    </row>
    <row r="11" spans="1:3" x14ac:dyDescent="0.35">
      <c r="A11" s="34" t="s">
        <v>292</v>
      </c>
      <c r="B11" s="23"/>
      <c r="C11" s="23"/>
    </row>
    <row r="12" spans="1:3" x14ac:dyDescent="0.35">
      <c r="A12" s="23" t="s">
        <v>293</v>
      </c>
      <c r="B12" s="36">
        <v>11</v>
      </c>
      <c r="C12" s="36">
        <v>21</v>
      </c>
    </row>
    <row r="13" spans="1:3" x14ac:dyDescent="0.35">
      <c r="A13" s="23" t="s">
        <v>294</v>
      </c>
      <c r="B13" s="36">
        <v>8</v>
      </c>
      <c r="C13" s="36"/>
    </row>
    <row r="14" spans="1:3" x14ac:dyDescent="0.35">
      <c r="A14" s="23" t="s">
        <v>295</v>
      </c>
      <c r="B14" s="36"/>
      <c r="C14" s="36">
        <v>3</v>
      </c>
    </row>
    <row r="15" spans="1:3" x14ac:dyDescent="0.35">
      <c r="A15" s="23" t="s">
        <v>296</v>
      </c>
      <c r="B15" s="36">
        <f>SUM(B12:B14)</f>
        <v>19</v>
      </c>
      <c r="C15" s="36">
        <f>SUM(C12:C14)</f>
        <v>24</v>
      </c>
    </row>
    <row r="16" spans="1:3" x14ac:dyDescent="0.35">
      <c r="A16" s="23" t="s">
        <v>297</v>
      </c>
      <c r="B16" s="36">
        <f>B15*2</f>
        <v>38</v>
      </c>
      <c r="C16" s="36">
        <f>C15*2</f>
        <v>48</v>
      </c>
    </row>
    <row r="18" spans="1:3" x14ac:dyDescent="0.35">
      <c r="A18" t="s">
        <v>298</v>
      </c>
      <c r="B18" s="2">
        <f>B16*12+B9</f>
        <v>559.5</v>
      </c>
      <c r="C18" s="2">
        <f>C16*12+C9</f>
        <v>644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B48E-2824-4ECE-869B-A3F959E1E83B}">
  <dimension ref="A1:I35"/>
  <sheetViews>
    <sheetView tabSelected="1" workbookViewId="0">
      <selection activeCell="E44" sqref="E44"/>
    </sheetView>
  </sheetViews>
  <sheetFormatPr defaultRowHeight="14.5" x14ac:dyDescent="0.35"/>
  <cols>
    <col min="1" max="1" width="27.1796875" bestFit="1" customWidth="1"/>
    <col min="2" max="2" width="15.1796875" bestFit="1" customWidth="1"/>
    <col min="3" max="3" width="18.08984375" bestFit="1" customWidth="1"/>
    <col min="4" max="4" width="11.7265625" bestFit="1" customWidth="1"/>
    <col min="6" max="6" width="27.1796875" bestFit="1" customWidth="1"/>
    <col min="7" max="7" width="15.1796875" bestFit="1" customWidth="1"/>
    <col min="8" max="8" width="18.08984375" bestFit="1" customWidth="1"/>
    <col min="9" max="9" width="11.7265625" bestFit="1" customWidth="1"/>
  </cols>
  <sheetData>
    <row r="1" spans="1:9" x14ac:dyDescent="0.35">
      <c r="A1" t="s">
        <v>325</v>
      </c>
      <c r="B1" t="s">
        <v>299</v>
      </c>
      <c r="C1" t="s">
        <v>300</v>
      </c>
      <c r="D1" t="s">
        <v>301</v>
      </c>
      <c r="F1" s="19" t="s">
        <v>328</v>
      </c>
      <c r="G1" s="19" t="s">
        <v>299</v>
      </c>
      <c r="H1" s="19" t="s">
        <v>300</v>
      </c>
      <c r="I1" s="19" t="s">
        <v>301</v>
      </c>
    </row>
    <row r="2" spans="1:9" x14ac:dyDescent="0.35">
      <c r="F2" s="19"/>
      <c r="G2" s="19"/>
      <c r="H2" s="19"/>
      <c r="I2" s="19"/>
    </row>
    <row r="3" spans="1:9" x14ac:dyDescent="0.35">
      <c r="A3" s="37" t="s">
        <v>302</v>
      </c>
      <c r="B3" s="23"/>
      <c r="C3" s="23"/>
      <c r="D3" s="23"/>
      <c r="F3" s="37" t="s">
        <v>302</v>
      </c>
      <c r="G3" s="23"/>
      <c r="H3" s="23"/>
      <c r="I3" s="23"/>
    </row>
    <row r="4" spans="1:9" x14ac:dyDescent="0.35">
      <c r="A4" s="23" t="s">
        <v>303</v>
      </c>
      <c r="B4" s="23">
        <v>280</v>
      </c>
      <c r="C4" s="23">
        <v>100</v>
      </c>
      <c r="D4" s="23">
        <v>350</v>
      </c>
      <c r="F4" s="23" t="s">
        <v>303</v>
      </c>
      <c r="G4" s="23">
        <v>280</v>
      </c>
      <c r="H4" s="23">
        <v>100</v>
      </c>
      <c r="I4" s="23">
        <v>350</v>
      </c>
    </row>
    <row r="5" spans="1:9" x14ac:dyDescent="0.35">
      <c r="A5" s="23" t="s">
        <v>304</v>
      </c>
      <c r="B5" s="23">
        <v>18</v>
      </c>
      <c r="C5" s="23"/>
      <c r="D5" s="23"/>
      <c r="F5" s="23" t="s">
        <v>304</v>
      </c>
      <c r="G5" s="23">
        <v>18</v>
      </c>
      <c r="H5" s="23"/>
      <c r="I5" s="23"/>
    </row>
    <row r="6" spans="1:9" x14ac:dyDescent="0.35">
      <c r="A6" s="23" t="s">
        <v>305</v>
      </c>
      <c r="B6" s="23">
        <v>25</v>
      </c>
      <c r="C6" s="23"/>
      <c r="D6" s="23"/>
      <c r="F6" s="23" t="s">
        <v>305</v>
      </c>
      <c r="G6" s="23">
        <v>25</v>
      </c>
      <c r="H6" s="23"/>
      <c r="I6" s="23"/>
    </row>
    <row r="7" spans="1:9" x14ac:dyDescent="0.35">
      <c r="A7" s="23" t="s">
        <v>306</v>
      </c>
      <c r="B7" s="23">
        <v>15</v>
      </c>
      <c r="C7" s="23"/>
      <c r="D7" s="23"/>
      <c r="F7" s="23" t="s">
        <v>306</v>
      </c>
      <c r="G7" s="23">
        <v>15</v>
      </c>
      <c r="H7" s="23"/>
      <c r="I7" s="23"/>
    </row>
    <row r="8" spans="1:9" x14ac:dyDescent="0.35">
      <c r="A8" s="23" t="s">
        <v>307</v>
      </c>
      <c r="B8" s="23">
        <v>9</v>
      </c>
      <c r="C8" s="23"/>
      <c r="D8" s="23"/>
      <c r="F8" s="23" t="s">
        <v>307</v>
      </c>
      <c r="G8" s="23">
        <v>9</v>
      </c>
      <c r="H8" s="23"/>
      <c r="I8" s="23"/>
    </row>
    <row r="9" spans="1:9" x14ac:dyDescent="0.35">
      <c r="A9" s="23" t="s">
        <v>308</v>
      </c>
      <c r="B9" s="23"/>
      <c r="C9" s="23">
        <v>99</v>
      </c>
      <c r="D9" s="23"/>
      <c r="F9" s="23" t="s">
        <v>308</v>
      </c>
      <c r="G9" s="23"/>
      <c r="H9" s="23">
        <v>99</v>
      </c>
      <c r="I9" s="23"/>
    </row>
    <row r="10" spans="1:9" x14ac:dyDescent="0.35">
      <c r="A10" s="23" t="s">
        <v>309</v>
      </c>
      <c r="B10" s="23"/>
      <c r="C10" s="23">
        <v>95</v>
      </c>
      <c r="D10" s="23"/>
      <c r="F10" s="23" t="s">
        <v>309</v>
      </c>
      <c r="G10" s="23"/>
      <c r="H10" s="23">
        <v>95</v>
      </c>
      <c r="I10" s="23"/>
    </row>
    <row r="11" spans="1:9" x14ac:dyDescent="0.35">
      <c r="A11" s="23" t="s">
        <v>310</v>
      </c>
      <c r="B11" s="23"/>
      <c r="C11" s="23">
        <v>85</v>
      </c>
      <c r="D11" s="23"/>
      <c r="F11" s="23" t="s">
        <v>310</v>
      </c>
      <c r="G11" s="23"/>
      <c r="H11" s="23">
        <v>85</v>
      </c>
      <c r="I11" s="23"/>
    </row>
    <row r="12" spans="1:9" x14ac:dyDescent="0.35">
      <c r="A12" s="23" t="s">
        <v>311</v>
      </c>
      <c r="B12" s="23"/>
      <c r="C12" s="23">
        <v>85</v>
      </c>
      <c r="D12" s="23"/>
      <c r="F12" s="23" t="s">
        <v>311</v>
      </c>
      <c r="G12" s="23"/>
      <c r="H12" s="23">
        <v>85</v>
      </c>
      <c r="I12" s="23"/>
    </row>
    <row r="13" spans="1:9" x14ac:dyDescent="0.35">
      <c r="A13" s="23" t="s">
        <v>312</v>
      </c>
      <c r="B13" s="23"/>
      <c r="C13" s="23"/>
      <c r="D13" s="23">
        <v>555</v>
      </c>
      <c r="F13" s="23" t="s">
        <v>312</v>
      </c>
      <c r="G13" s="23"/>
      <c r="H13" s="23"/>
      <c r="I13" s="23">
        <v>555</v>
      </c>
    </row>
    <row r="14" spans="1:9" x14ac:dyDescent="0.35">
      <c r="A14" s="23" t="s">
        <v>313</v>
      </c>
      <c r="B14" s="23">
        <f>SUM(B4:B13)</f>
        <v>347</v>
      </c>
      <c r="C14" s="23">
        <f>SUM(C4:C13)</f>
        <v>464</v>
      </c>
      <c r="D14" s="23">
        <f>SUM(D4:D13)</f>
        <v>905</v>
      </c>
      <c r="F14" s="23" t="s">
        <v>313</v>
      </c>
      <c r="G14" s="23">
        <f>SUM(G4:G13)</f>
        <v>347</v>
      </c>
      <c r="H14" s="23">
        <f>SUM(H4:H13)</f>
        <v>464</v>
      </c>
      <c r="I14" s="23">
        <f>SUM(I4:I13)</f>
        <v>905</v>
      </c>
    </row>
    <row r="15" spans="1:9" x14ac:dyDescent="0.35">
      <c r="A15" s="23" t="s">
        <v>314</v>
      </c>
      <c r="B15" s="23">
        <v>2</v>
      </c>
      <c r="C15" s="23">
        <v>2</v>
      </c>
      <c r="D15" s="23">
        <v>2</v>
      </c>
      <c r="F15" s="23" t="s">
        <v>314</v>
      </c>
      <c r="G15" s="23">
        <v>4</v>
      </c>
      <c r="H15" s="23">
        <v>4</v>
      </c>
      <c r="I15" s="23">
        <v>4</v>
      </c>
    </row>
    <row r="16" spans="1:9" x14ac:dyDescent="0.35">
      <c r="A16" s="23" t="s">
        <v>315</v>
      </c>
      <c r="B16" s="23">
        <f>B14*B15</f>
        <v>694</v>
      </c>
      <c r="C16" s="23">
        <f>C14*C15</f>
        <v>928</v>
      </c>
      <c r="D16" s="23">
        <f>D14*D15</f>
        <v>1810</v>
      </c>
      <c r="F16" s="23" t="s">
        <v>315</v>
      </c>
      <c r="G16" s="23">
        <f>G14*G15</f>
        <v>1388</v>
      </c>
      <c r="H16" s="23">
        <f>H14*H15</f>
        <v>1856</v>
      </c>
      <c r="I16" s="23">
        <f>I14*I15</f>
        <v>3620</v>
      </c>
    </row>
    <row r="17" spans="1:9" x14ac:dyDescent="0.35">
      <c r="F17" s="19"/>
      <c r="G17" s="19"/>
      <c r="H17" s="19"/>
      <c r="I17" s="19"/>
    </row>
    <row r="18" spans="1:9" x14ac:dyDescent="0.35">
      <c r="A18" s="38" t="s">
        <v>316</v>
      </c>
      <c r="B18" s="24"/>
      <c r="C18" s="24"/>
      <c r="D18" s="24"/>
      <c r="F18" s="38" t="s">
        <v>316</v>
      </c>
      <c r="G18" s="24"/>
      <c r="H18" s="24"/>
      <c r="I18" s="24"/>
    </row>
    <row r="19" spans="1:9" x14ac:dyDescent="0.35">
      <c r="A19" s="24" t="s">
        <v>317</v>
      </c>
      <c r="B19" s="24">
        <v>120</v>
      </c>
      <c r="C19" s="24">
        <v>105</v>
      </c>
      <c r="D19" s="24"/>
      <c r="F19" s="24" t="s">
        <v>317</v>
      </c>
      <c r="G19" s="24">
        <v>120</v>
      </c>
      <c r="H19" s="24">
        <v>105</v>
      </c>
      <c r="I19" s="24"/>
    </row>
    <row r="20" spans="1:9" x14ac:dyDescent="0.35">
      <c r="A20" s="24" t="s">
        <v>320</v>
      </c>
      <c r="B20" s="24">
        <v>5</v>
      </c>
      <c r="C20" s="24">
        <v>5</v>
      </c>
      <c r="D20" s="24">
        <v>5</v>
      </c>
      <c r="F20" s="24" t="s">
        <v>320</v>
      </c>
      <c r="G20" s="24">
        <v>5</v>
      </c>
      <c r="H20" s="24">
        <v>5</v>
      </c>
      <c r="I20" s="24">
        <v>5</v>
      </c>
    </row>
    <row r="21" spans="1:9" x14ac:dyDescent="0.35">
      <c r="A21" s="24" t="s">
        <v>318</v>
      </c>
      <c r="B21" s="24">
        <f>B20*B19</f>
        <v>600</v>
      </c>
      <c r="C21" s="24">
        <f t="shared" ref="C21:D21" si="0">C20*C19</f>
        <v>525</v>
      </c>
      <c r="D21" s="24">
        <f t="shared" si="0"/>
        <v>0</v>
      </c>
      <c r="F21" s="24" t="s">
        <v>318</v>
      </c>
      <c r="G21" s="24">
        <f>G20*G19</f>
        <v>600</v>
      </c>
      <c r="H21" s="24">
        <f t="shared" ref="H21" si="1">H20*H19</f>
        <v>525</v>
      </c>
      <c r="I21" s="24">
        <f t="shared" ref="I21" si="2">I20*I19</f>
        <v>0</v>
      </c>
    </row>
    <row r="22" spans="1:9" x14ac:dyDescent="0.35">
      <c r="F22" s="19"/>
      <c r="G22" s="19"/>
      <c r="H22" s="19"/>
      <c r="I22" s="19"/>
    </row>
    <row r="23" spans="1:9" s="19" customFormat="1" x14ac:dyDescent="0.35">
      <c r="A23" s="39" t="s">
        <v>326</v>
      </c>
      <c r="B23" s="40"/>
      <c r="C23" s="40"/>
      <c r="D23" s="40"/>
      <c r="F23" s="39" t="s">
        <v>326</v>
      </c>
      <c r="G23" s="40"/>
      <c r="H23" s="40"/>
      <c r="I23" s="40"/>
    </row>
    <row r="24" spans="1:9" x14ac:dyDescent="0.35">
      <c r="A24" s="40" t="s">
        <v>321</v>
      </c>
      <c r="B24" s="40">
        <v>40</v>
      </c>
      <c r="C24" s="40">
        <v>0</v>
      </c>
      <c r="D24" s="40">
        <v>0</v>
      </c>
      <c r="F24" s="40" t="s">
        <v>321</v>
      </c>
      <c r="G24" s="40">
        <v>40</v>
      </c>
      <c r="H24" s="40">
        <v>0</v>
      </c>
      <c r="I24" s="40">
        <v>0</v>
      </c>
    </row>
    <row r="25" spans="1:9" x14ac:dyDescent="0.35">
      <c r="A25" s="40" t="s">
        <v>322</v>
      </c>
      <c r="B25" s="40">
        <v>4</v>
      </c>
      <c r="C25" s="40">
        <v>4</v>
      </c>
      <c r="D25" s="40">
        <v>4</v>
      </c>
      <c r="F25" s="40" t="s">
        <v>322</v>
      </c>
      <c r="G25" s="40">
        <v>4</v>
      </c>
      <c r="H25" s="40">
        <v>4</v>
      </c>
      <c r="I25" s="40">
        <v>4</v>
      </c>
    </row>
    <row r="26" spans="1:9" x14ac:dyDescent="0.35">
      <c r="A26" s="40" t="s">
        <v>49</v>
      </c>
      <c r="B26" s="40">
        <f>B25*B24</f>
        <v>160</v>
      </c>
      <c r="C26" s="40">
        <f t="shared" ref="C26:D26" si="3">C25*C24</f>
        <v>0</v>
      </c>
      <c r="D26" s="40">
        <f t="shared" si="3"/>
        <v>0</v>
      </c>
      <c r="F26" s="40" t="s">
        <v>49</v>
      </c>
      <c r="G26" s="40">
        <f>G25*G24</f>
        <v>160</v>
      </c>
      <c r="H26" s="40">
        <f t="shared" ref="H26" si="4">H25*H24</f>
        <v>0</v>
      </c>
      <c r="I26" s="40">
        <f t="shared" ref="I26" si="5">I25*I24</f>
        <v>0</v>
      </c>
    </row>
    <row r="27" spans="1:9" x14ac:dyDescent="0.35">
      <c r="F27" s="19"/>
      <c r="G27" s="19"/>
      <c r="H27" s="19"/>
      <c r="I27" s="19"/>
    </row>
    <row r="28" spans="1:9" s="19" customFormat="1" x14ac:dyDescent="0.35">
      <c r="A28" s="41" t="s">
        <v>327</v>
      </c>
      <c r="B28" s="22"/>
      <c r="C28" s="22"/>
      <c r="D28" s="22"/>
      <c r="F28" s="41" t="s">
        <v>327</v>
      </c>
      <c r="G28" s="22"/>
      <c r="H28" s="22"/>
      <c r="I28" s="22"/>
    </row>
    <row r="29" spans="1:9" x14ac:dyDescent="0.35">
      <c r="A29" s="22" t="s">
        <v>323</v>
      </c>
      <c r="B29" s="22">
        <v>50</v>
      </c>
      <c r="C29" s="22">
        <v>50</v>
      </c>
      <c r="D29" s="22">
        <v>0</v>
      </c>
      <c r="F29" s="22" t="s">
        <v>323</v>
      </c>
      <c r="G29" s="22">
        <v>50</v>
      </c>
      <c r="H29" s="22">
        <v>50</v>
      </c>
      <c r="I29" s="22">
        <v>0</v>
      </c>
    </row>
    <row r="30" spans="1:9" x14ac:dyDescent="0.35">
      <c r="A30" s="22" t="s">
        <v>324</v>
      </c>
      <c r="B30" s="22">
        <v>2</v>
      </c>
      <c r="C30" s="22">
        <v>2</v>
      </c>
      <c r="D30" s="22">
        <v>2</v>
      </c>
      <c r="F30" s="22" t="s">
        <v>324</v>
      </c>
      <c r="G30" s="22">
        <v>4</v>
      </c>
      <c r="H30" s="22">
        <v>4</v>
      </c>
      <c r="I30" s="22">
        <v>4</v>
      </c>
    </row>
    <row r="31" spans="1:9" x14ac:dyDescent="0.35">
      <c r="A31" s="22" t="s">
        <v>322</v>
      </c>
      <c r="B31" s="22">
        <v>4</v>
      </c>
      <c r="C31" s="22">
        <v>4</v>
      </c>
      <c r="D31" s="22">
        <v>4</v>
      </c>
      <c r="F31" s="22" t="s">
        <v>322</v>
      </c>
      <c r="G31" s="22">
        <v>4</v>
      </c>
      <c r="H31" s="22">
        <v>4</v>
      </c>
      <c r="I31" s="22">
        <v>4</v>
      </c>
    </row>
    <row r="32" spans="1:9" x14ac:dyDescent="0.35">
      <c r="A32" s="22" t="s">
        <v>49</v>
      </c>
      <c r="B32" s="22">
        <f>B30*B29*B31</f>
        <v>400</v>
      </c>
      <c r="C32" s="22">
        <f t="shared" ref="C32:D32" si="6">C30*C29*C31</f>
        <v>400</v>
      </c>
      <c r="D32" s="22">
        <f t="shared" si="6"/>
        <v>0</v>
      </c>
      <c r="F32" s="22" t="s">
        <v>49</v>
      </c>
      <c r="G32" s="22">
        <f>G30*G29*G31</f>
        <v>800</v>
      </c>
      <c r="H32" s="22">
        <f t="shared" ref="H32" si="7">H30*H29*H31</f>
        <v>800</v>
      </c>
      <c r="I32" s="22">
        <f t="shared" ref="I32" si="8">I30*I29*I31</f>
        <v>0</v>
      </c>
    </row>
    <row r="33" spans="1:9" x14ac:dyDescent="0.35">
      <c r="F33" s="19"/>
      <c r="G33" s="19"/>
      <c r="H33" s="19"/>
      <c r="I33" s="19"/>
    </row>
    <row r="34" spans="1:9" x14ac:dyDescent="0.35">
      <c r="F34" s="19"/>
      <c r="G34" s="19"/>
      <c r="H34" s="19"/>
      <c r="I34" s="19"/>
    </row>
    <row r="35" spans="1:9" x14ac:dyDescent="0.35">
      <c r="A35" s="42" t="s">
        <v>319</v>
      </c>
      <c r="B35" s="42">
        <f>B21+B16+B26+B32</f>
        <v>1854</v>
      </c>
      <c r="C35" s="42">
        <f>C21+C16+C26+C32</f>
        <v>1853</v>
      </c>
      <c r="D35" s="42">
        <f>D21+D16+D26+D32</f>
        <v>1810</v>
      </c>
      <c r="F35" s="42" t="s">
        <v>319</v>
      </c>
      <c r="G35" s="42">
        <f>G21+G16+G26+G32</f>
        <v>2948</v>
      </c>
      <c r="H35" s="42">
        <f>H21+H16+H26+H32</f>
        <v>3181</v>
      </c>
      <c r="I35" s="42">
        <f>I21+I16+I26+I32</f>
        <v>3620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5189-74AA-40D1-A08F-A903F03E65EF}">
  <dimension ref="A1:M27"/>
  <sheetViews>
    <sheetView topLeftCell="F2" workbookViewId="0">
      <selection activeCell="T21" sqref="T21"/>
    </sheetView>
  </sheetViews>
  <sheetFormatPr defaultRowHeight="14.5" x14ac:dyDescent="0.35"/>
  <cols>
    <col min="1" max="1" width="11.26953125" bestFit="1" customWidth="1"/>
    <col min="2" max="2" width="9.7265625" bestFit="1" customWidth="1"/>
    <col min="3" max="3" width="8.7265625" customWidth="1"/>
  </cols>
  <sheetData>
    <row r="1" spans="1:13" ht="122.5" x14ac:dyDescent="0.35">
      <c r="A1" t="s">
        <v>54</v>
      </c>
      <c r="C1" s="17" t="s">
        <v>59</v>
      </c>
      <c r="D1" s="17" t="s">
        <v>56</v>
      </c>
      <c r="E1" s="17" t="s">
        <v>57</v>
      </c>
      <c r="F1" s="17" t="s">
        <v>58</v>
      </c>
      <c r="H1" s="17" t="s">
        <v>59</v>
      </c>
      <c r="I1" s="17" t="s">
        <v>56</v>
      </c>
      <c r="J1" s="17" t="s">
        <v>57</v>
      </c>
      <c r="K1" s="17" t="s">
        <v>58</v>
      </c>
      <c r="M1" s="17" t="s">
        <v>61</v>
      </c>
    </row>
    <row r="2" spans="1:13" x14ac:dyDescent="0.35">
      <c r="B2" t="s">
        <v>60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55</v>
      </c>
      <c r="B3" t="s">
        <v>2</v>
      </c>
    </row>
    <row r="4" spans="1:13" x14ac:dyDescent="0.35">
      <c r="A4" t="s">
        <v>6</v>
      </c>
      <c r="B4" t="s">
        <v>45</v>
      </c>
      <c r="C4">
        <v>10</v>
      </c>
      <c r="D4">
        <v>19</v>
      </c>
      <c r="E4">
        <v>93</v>
      </c>
      <c r="F4">
        <v>1</v>
      </c>
      <c r="H4" s="18">
        <f>C4/C$2</f>
        <v>1</v>
      </c>
      <c r="I4" s="18">
        <f>D4/D$2</f>
        <v>0.95</v>
      </c>
      <c r="J4" s="18">
        <f t="shared" ref="J4:K4" si="0">E4/E$2</f>
        <v>0.93</v>
      </c>
      <c r="K4" s="18">
        <f t="shared" si="0"/>
        <v>1</v>
      </c>
      <c r="M4" s="18" t="b">
        <f>OR(H4&lt;0.5,I4&lt;0.5,J4&lt;0.5,K4=0)</f>
        <v>0</v>
      </c>
    </row>
    <row r="5" spans="1:13" x14ac:dyDescent="0.35">
      <c r="A5" t="s">
        <v>7</v>
      </c>
      <c r="B5" t="s">
        <v>44</v>
      </c>
      <c r="C5">
        <v>9</v>
      </c>
      <c r="D5">
        <v>20</v>
      </c>
      <c r="E5">
        <v>100</v>
      </c>
      <c r="F5">
        <v>1</v>
      </c>
      <c r="H5" s="18">
        <f>C5/C$2</f>
        <v>0.9</v>
      </c>
      <c r="I5" s="18">
        <f t="shared" ref="I5:I23" si="1">D5/D$2</f>
        <v>1</v>
      </c>
      <c r="J5" s="18">
        <f t="shared" ref="J5:J23" si="2">E5/E$2</f>
        <v>1</v>
      </c>
      <c r="K5" s="18">
        <f t="shared" ref="K5:K23" si="3">F5/F$2</f>
        <v>1</v>
      </c>
      <c r="M5" s="18" t="b">
        <f t="shared" ref="M5:M23" si="4">OR(H5&lt;0.5,I5&lt;0.5,J5&lt;0.5,K5=0)</f>
        <v>0</v>
      </c>
    </row>
    <row r="6" spans="1:13" x14ac:dyDescent="0.35">
      <c r="A6" t="s">
        <v>8</v>
      </c>
      <c r="B6" t="s">
        <v>43</v>
      </c>
      <c r="C6">
        <v>8</v>
      </c>
      <c r="D6">
        <v>17</v>
      </c>
      <c r="E6">
        <v>82</v>
      </c>
      <c r="F6">
        <v>1</v>
      </c>
      <c r="H6" s="18">
        <f t="shared" ref="H6:H23" si="5">C6/C$2</f>
        <v>0.8</v>
      </c>
      <c r="I6" s="18">
        <f t="shared" si="1"/>
        <v>0.85</v>
      </c>
      <c r="J6" s="18">
        <f t="shared" si="2"/>
        <v>0.82</v>
      </c>
      <c r="K6" s="18">
        <f t="shared" si="3"/>
        <v>1</v>
      </c>
      <c r="M6" s="18" t="b">
        <f t="shared" si="4"/>
        <v>0</v>
      </c>
    </row>
    <row r="7" spans="1:13" x14ac:dyDescent="0.35">
      <c r="A7" t="s">
        <v>9</v>
      </c>
      <c r="B7" t="s">
        <v>42</v>
      </c>
      <c r="C7">
        <v>9</v>
      </c>
      <c r="D7">
        <v>10</v>
      </c>
      <c r="E7">
        <v>73</v>
      </c>
      <c r="F7">
        <v>1</v>
      </c>
      <c r="H7" s="18">
        <f t="shared" si="5"/>
        <v>0.9</v>
      </c>
      <c r="I7" s="18">
        <f t="shared" si="1"/>
        <v>0.5</v>
      </c>
      <c r="J7" s="18">
        <f t="shared" si="2"/>
        <v>0.73</v>
      </c>
      <c r="K7" s="18">
        <f t="shared" si="3"/>
        <v>1</v>
      </c>
      <c r="M7" s="18" t="b">
        <f t="shared" si="4"/>
        <v>0</v>
      </c>
    </row>
    <row r="8" spans="1:13" x14ac:dyDescent="0.35">
      <c r="A8" t="s">
        <v>10</v>
      </c>
      <c r="B8" t="s">
        <v>41</v>
      </c>
      <c r="C8">
        <v>10</v>
      </c>
      <c r="D8">
        <v>20</v>
      </c>
      <c r="E8">
        <v>59</v>
      </c>
      <c r="F8">
        <v>1</v>
      </c>
      <c r="H8" s="18">
        <f t="shared" si="5"/>
        <v>1</v>
      </c>
      <c r="I8" s="18">
        <f t="shared" si="1"/>
        <v>1</v>
      </c>
      <c r="J8" s="18">
        <f t="shared" si="2"/>
        <v>0.59</v>
      </c>
      <c r="K8" s="18">
        <f t="shared" si="3"/>
        <v>1</v>
      </c>
      <c r="M8" s="18" t="b">
        <f t="shared" si="4"/>
        <v>0</v>
      </c>
    </row>
    <row r="9" spans="1:13" x14ac:dyDescent="0.35">
      <c r="A9" t="s">
        <v>11</v>
      </c>
      <c r="B9" t="s">
        <v>40</v>
      </c>
      <c r="C9">
        <v>9</v>
      </c>
      <c r="D9">
        <v>17</v>
      </c>
      <c r="E9">
        <v>100</v>
      </c>
      <c r="F9">
        <v>1</v>
      </c>
      <c r="H9" s="18">
        <f t="shared" si="5"/>
        <v>0.9</v>
      </c>
      <c r="I9" s="18">
        <f t="shared" si="1"/>
        <v>0.85</v>
      </c>
      <c r="J9" s="18">
        <f t="shared" si="2"/>
        <v>1</v>
      </c>
      <c r="K9" s="18">
        <f t="shared" si="3"/>
        <v>1</v>
      </c>
      <c r="M9" s="18" t="b">
        <f t="shared" si="4"/>
        <v>0</v>
      </c>
    </row>
    <row r="10" spans="1:13" x14ac:dyDescent="0.35">
      <c r="A10" t="s">
        <v>12</v>
      </c>
      <c r="B10" t="s">
        <v>39</v>
      </c>
      <c r="C10">
        <v>8</v>
      </c>
      <c r="D10">
        <v>20</v>
      </c>
      <c r="E10">
        <v>100</v>
      </c>
      <c r="F10">
        <v>0</v>
      </c>
      <c r="H10" s="18">
        <f t="shared" si="5"/>
        <v>0.8</v>
      </c>
      <c r="I10" s="18">
        <f t="shared" si="1"/>
        <v>1</v>
      </c>
      <c r="J10" s="18">
        <f t="shared" si="2"/>
        <v>1</v>
      </c>
      <c r="K10" s="18">
        <f t="shared" si="3"/>
        <v>0</v>
      </c>
      <c r="M10" s="18" t="b">
        <f t="shared" si="4"/>
        <v>1</v>
      </c>
    </row>
    <row r="11" spans="1:13" x14ac:dyDescent="0.35">
      <c r="A11" t="s">
        <v>13</v>
      </c>
      <c r="B11" t="s">
        <v>38</v>
      </c>
      <c r="C11">
        <v>5</v>
      </c>
      <c r="D11">
        <v>6</v>
      </c>
      <c r="E11">
        <v>100</v>
      </c>
      <c r="F11">
        <v>1</v>
      </c>
      <c r="H11" s="18">
        <f t="shared" si="5"/>
        <v>0.5</v>
      </c>
      <c r="I11" s="18">
        <f t="shared" si="1"/>
        <v>0.3</v>
      </c>
      <c r="J11" s="18">
        <f t="shared" si="2"/>
        <v>1</v>
      </c>
      <c r="K11" s="18">
        <f t="shared" si="3"/>
        <v>1</v>
      </c>
      <c r="M11" s="18" t="b">
        <f t="shared" si="4"/>
        <v>1</v>
      </c>
    </row>
    <row r="12" spans="1:13" x14ac:dyDescent="0.35">
      <c r="A12" t="s">
        <v>14</v>
      </c>
      <c r="B12" t="s">
        <v>37</v>
      </c>
      <c r="C12">
        <v>10</v>
      </c>
      <c r="D12">
        <v>20</v>
      </c>
      <c r="E12">
        <v>67</v>
      </c>
      <c r="F12">
        <v>1</v>
      </c>
      <c r="H12" s="18">
        <f t="shared" si="5"/>
        <v>1</v>
      </c>
      <c r="I12" s="18">
        <f t="shared" si="1"/>
        <v>1</v>
      </c>
      <c r="J12" s="18">
        <f t="shared" si="2"/>
        <v>0.67</v>
      </c>
      <c r="K12" s="18">
        <f t="shared" si="3"/>
        <v>1</v>
      </c>
      <c r="M12" s="18" t="b">
        <f t="shared" si="4"/>
        <v>0</v>
      </c>
    </row>
    <row r="13" spans="1:13" x14ac:dyDescent="0.35">
      <c r="A13" t="s">
        <v>15</v>
      </c>
      <c r="B13" t="s">
        <v>36</v>
      </c>
      <c r="C13">
        <v>9</v>
      </c>
      <c r="D13">
        <v>20</v>
      </c>
      <c r="E13">
        <v>58</v>
      </c>
      <c r="F13">
        <v>1</v>
      </c>
      <c r="H13" s="18">
        <f t="shared" si="5"/>
        <v>0.9</v>
      </c>
      <c r="I13" s="18">
        <f t="shared" si="1"/>
        <v>1</v>
      </c>
      <c r="J13" s="18">
        <f t="shared" si="2"/>
        <v>0.57999999999999996</v>
      </c>
      <c r="K13" s="18">
        <f t="shared" si="3"/>
        <v>1</v>
      </c>
      <c r="M13" s="18" t="b">
        <f t="shared" si="4"/>
        <v>0</v>
      </c>
    </row>
    <row r="14" spans="1:13" x14ac:dyDescent="0.35">
      <c r="A14" t="s">
        <v>16</v>
      </c>
      <c r="B14" t="s">
        <v>35</v>
      </c>
      <c r="C14">
        <v>10</v>
      </c>
      <c r="D14">
        <v>19</v>
      </c>
      <c r="E14">
        <v>70</v>
      </c>
      <c r="F14">
        <v>1</v>
      </c>
      <c r="H14" s="18">
        <f t="shared" si="5"/>
        <v>1</v>
      </c>
      <c r="I14" s="18">
        <f t="shared" si="1"/>
        <v>0.95</v>
      </c>
      <c r="J14" s="18">
        <f t="shared" si="2"/>
        <v>0.7</v>
      </c>
      <c r="K14" s="18">
        <f t="shared" si="3"/>
        <v>1</v>
      </c>
      <c r="M14" s="18" t="b">
        <f t="shared" si="4"/>
        <v>0</v>
      </c>
    </row>
    <row r="15" spans="1:13" x14ac:dyDescent="0.35">
      <c r="A15" t="s">
        <v>17</v>
      </c>
      <c r="B15" t="s">
        <v>34</v>
      </c>
      <c r="C15">
        <v>8</v>
      </c>
      <c r="D15">
        <v>17</v>
      </c>
      <c r="E15">
        <v>80</v>
      </c>
      <c r="F15">
        <v>1</v>
      </c>
      <c r="H15" s="18">
        <f t="shared" si="5"/>
        <v>0.8</v>
      </c>
      <c r="I15" s="18">
        <f t="shared" si="1"/>
        <v>0.85</v>
      </c>
      <c r="J15" s="18">
        <f t="shared" si="2"/>
        <v>0.8</v>
      </c>
      <c r="K15" s="18">
        <f t="shared" si="3"/>
        <v>1</v>
      </c>
      <c r="M15" s="18" t="b">
        <f t="shared" si="4"/>
        <v>0</v>
      </c>
    </row>
    <row r="16" spans="1:13" x14ac:dyDescent="0.35">
      <c r="A16" t="s">
        <v>18</v>
      </c>
      <c r="B16" t="s">
        <v>33</v>
      </c>
      <c r="C16">
        <v>9</v>
      </c>
      <c r="D16">
        <v>19</v>
      </c>
      <c r="E16">
        <v>90</v>
      </c>
      <c r="F16">
        <v>0</v>
      </c>
      <c r="H16" s="18">
        <f t="shared" si="5"/>
        <v>0.9</v>
      </c>
      <c r="I16" s="18">
        <f t="shared" si="1"/>
        <v>0.95</v>
      </c>
      <c r="J16" s="18">
        <f t="shared" si="2"/>
        <v>0.9</v>
      </c>
      <c r="K16" s="18">
        <f t="shared" si="3"/>
        <v>0</v>
      </c>
      <c r="M16" s="18" t="b">
        <f t="shared" si="4"/>
        <v>1</v>
      </c>
    </row>
    <row r="17" spans="1:13" x14ac:dyDescent="0.35">
      <c r="A17" t="s">
        <v>19</v>
      </c>
      <c r="B17" t="s">
        <v>32</v>
      </c>
      <c r="C17">
        <v>7</v>
      </c>
      <c r="D17">
        <v>20</v>
      </c>
      <c r="E17">
        <v>45</v>
      </c>
      <c r="F17">
        <v>1</v>
      </c>
      <c r="H17" s="18">
        <f t="shared" si="5"/>
        <v>0.7</v>
      </c>
      <c r="I17" s="18">
        <f t="shared" si="1"/>
        <v>1</v>
      </c>
      <c r="J17" s="18">
        <f t="shared" si="2"/>
        <v>0.45</v>
      </c>
      <c r="K17" s="18">
        <f t="shared" si="3"/>
        <v>1</v>
      </c>
      <c r="M17" s="18" t="b">
        <f t="shared" si="4"/>
        <v>1</v>
      </c>
    </row>
    <row r="18" spans="1:13" x14ac:dyDescent="0.35">
      <c r="A18" t="s">
        <v>20</v>
      </c>
      <c r="B18" t="s">
        <v>31</v>
      </c>
      <c r="C18">
        <v>10</v>
      </c>
      <c r="D18">
        <v>10</v>
      </c>
      <c r="E18">
        <v>90</v>
      </c>
      <c r="F18">
        <v>1</v>
      </c>
      <c r="H18" s="18">
        <f t="shared" si="5"/>
        <v>1</v>
      </c>
      <c r="I18" s="18">
        <f t="shared" si="1"/>
        <v>0.5</v>
      </c>
      <c r="J18" s="18">
        <f t="shared" si="2"/>
        <v>0.9</v>
      </c>
      <c r="K18" s="18">
        <f t="shared" si="3"/>
        <v>1</v>
      </c>
      <c r="M18" s="18" t="b">
        <f t="shared" si="4"/>
        <v>0</v>
      </c>
    </row>
    <row r="19" spans="1:13" x14ac:dyDescent="0.35">
      <c r="A19" t="s">
        <v>21</v>
      </c>
      <c r="B19" t="s">
        <v>30</v>
      </c>
      <c r="C19">
        <v>11</v>
      </c>
      <c r="D19">
        <v>20</v>
      </c>
      <c r="E19">
        <v>80</v>
      </c>
      <c r="F19">
        <v>1</v>
      </c>
      <c r="H19" s="18">
        <f t="shared" si="5"/>
        <v>1.1000000000000001</v>
      </c>
      <c r="I19" s="18">
        <f t="shared" si="1"/>
        <v>1</v>
      </c>
      <c r="J19" s="18">
        <f t="shared" si="2"/>
        <v>0.8</v>
      </c>
      <c r="K19" s="18">
        <f t="shared" si="3"/>
        <v>1</v>
      </c>
      <c r="M19" s="18" t="b">
        <f t="shared" si="4"/>
        <v>0</v>
      </c>
    </row>
    <row r="20" spans="1:13" x14ac:dyDescent="0.35">
      <c r="A20" t="s">
        <v>22</v>
      </c>
      <c r="B20" t="s">
        <v>29</v>
      </c>
      <c r="C20">
        <v>10</v>
      </c>
      <c r="D20">
        <v>14</v>
      </c>
      <c r="E20">
        <v>69</v>
      </c>
      <c r="F20">
        <v>1</v>
      </c>
      <c r="H20" s="18">
        <f t="shared" si="5"/>
        <v>1</v>
      </c>
      <c r="I20" s="18">
        <f t="shared" si="1"/>
        <v>0.7</v>
      </c>
      <c r="J20" s="18">
        <f t="shared" si="2"/>
        <v>0.69</v>
      </c>
      <c r="K20" s="18">
        <f t="shared" si="3"/>
        <v>1</v>
      </c>
      <c r="M20" s="18" t="b">
        <f t="shared" si="4"/>
        <v>0</v>
      </c>
    </row>
    <row r="21" spans="1:13" x14ac:dyDescent="0.35">
      <c r="A21" t="s">
        <v>23</v>
      </c>
      <c r="B21" t="s">
        <v>28</v>
      </c>
      <c r="C21">
        <v>7</v>
      </c>
      <c r="D21">
        <v>13</v>
      </c>
      <c r="E21">
        <v>90</v>
      </c>
      <c r="F21">
        <v>0</v>
      </c>
      <c r="H21" s="18">
        <f t="shared" si="5"/>
        <v>0.7</v>
      </c>
      <c r="I21" s="18">
        <f t="shared" si="1"/>
        <v>0.65</v>
      </c>
      <c r="J21" s="18">
        <f t="shared" si="2"/>
        <v>0.9</v>
      </c>
      <c r="K21" s="18">
        <f t="shared" si="3"/>
        <v>0</v>
      </c>
      <c r="M21" s="18" t="b">
        <f t="shared" si="4"/>
        <v>1</v>
      </c>
    </row>
    <row r="22" spans="1:13" x14ac:dyDescent="0.35">
      <c r="A22" t="s">
        <v>24</v>
      </c>
      <c r="B22" t="s">
        <v>27</v>
      </c>
      <c r="C22">
        <v>8</v>
      </c>
      <c r="D22">
        <v>16</v>
      </c>
      <c r="E22">
        <v>87</v>
      </c>
      <c r="F22">
        <v>1</v>
      </c>
      <c r="H22" s="18">
        <f t="shared" si="5"/>
        <v>0.8</v>
      </c>
      <c r="I22" s="18">
        <f t="shared" si="1"/>
        <v>0.8</v>
      </c>
      <c r="J22" s="18">
        <f t="shared" si="2"/>
        <v>0.87</v>
      </c>
      <c r="K22" s="18">
        <f t="shared" si="3"/>
        <v>1</v>
      </c>
      <c r="M22" s="18" t="b">
        <f t="shared" si="4"/>
        <v>0</v>
      </c>
    </row>
    <row r="23" spans="1:13" x14ac:dyDescent="0.35">
      <c r="A23" t="s">
        <v>25</v>
      </c>
      <c r="B23" t="s">
        <v>26</v>
      </c>
      <c r="C23">
        <v>8</v>
      </c>
      <c r="D23">
        <v>15</v>
      </c>
      <c r="E23">
        <v>85</v>
      </c>
      <c r="F23">
        <v>1</v>
      </c>
      <c r="H23" s="18">
        <f t="shared" si="5"/>
        <v>0.8</v>
      </c>
      <c r="I23" s="18">
        <f t="shared" si="1"/>
        <v>0.75</v>
      </c>
      <c r="J23" s="18">
        <f t="shared" si="2"/>
        <v>0.85</v>
      </c>
      <c r="K23" s="18">
        <f t="shared" si="3"/>
        <v>1</v>
      </c>
      <c r="M23" s="18" t="b">
        <f t="shared" si="4"/>
        <v>0</v>
      </c>
    </row>
    <row r="25" spans="1:13" x14ac:dyDescent="0.35">
      <c r="A25" t="s">
        <v>46</v>
      </c>
      <c r="C25">
        <f>MAX(C4:C23)</f>
        <v>11</v>
      </c>
      <c r="D25">
        <f t="shared" ref="D25:F25" si="6">MAX(D4:D23)</f>
        <v>20</v>
      </c>
      <c r="E25">
        <f t="shared" si="6"/>
        <v>100</v>
      </c>
      <c r="F25">
        <f t="shared" si="6"/>
        <v>1</v>
      </c>
      <c r="H25" s="18">
        <f>MAX(H4:H23)</f>
        <v>1.1000000000000001</v>
      </c>
      <c r="I25" s="18">
        <f t="shared" ref="I25:K25" si="7">MAX(I4:I23)</f>
        <v>1</v>
      </c>
      <c r="J25" s="18">
        <f t="shared" si="7"/>
        <v>1</v>
      </c>
      <c r="K25" s="18">
        <f t="shared" si="7"/>
        <v>1</v>
      </c>
    </row>
    <row r="26" spans="1:13" x14ac:dyDescent="0.35">
      <c r="A26" t="s">
        <v>47</v>
      </c>
      <c r="C26">
        <f>MIN(C4:C23)</f>
        <v>5</v>
      </c>
      <c r="D26">
        <f t="shared" ref="D26:F26" si="8">MIN(D4:D23)</f>
        <v>6</v>
      </c>
      <c r="E26">
        <f t="shared" si="8"/>
        <v>45</v>
      </c>
      <c r="F26">
        <f t="shared" si="8"/>
        <v>0</v>
      </c>
      <c r="H26" s="18">
        <f>MIN(H4:H23)</f>
        <v>0.5</v>
      </c>
      <c r="I26" s="18">
        <f t="shared" ref="I26:K26" si="9">MIN(I4:I23)</f>
        <v>0.3</v>
      </c>
      <c r="J26" s="18">
        <f t="shared" si="9"/>
        <v>0.45</v>
      </c>
      <c r="K26" s="18">
        <f t="shared" si="9"/>
        <v>0</v>
      </c>
    </row>
    <row r="27" spans="1:13" x14ac:dyDescent="0.35">
      <c r="A27" t="s">
        <v>62</v>
      </c>
      <c r="C27">
        <f>AVERAGE(C4:C23)</f>
        <v>8.75</v>
      </c>
      <c r="D27">
        <f t="shared" ref="D27:F27" si="10">AVERAGE(D4:D23)</f>
        <v>16.600000000000001</v>
      </c>
      <c r="E27">
        <f t="shared" si="10"/>
        <v>80.900000000000006</v>
      </c>
      <c r="F27">
        <f t="shared" si="10"/>
        <v>0.85</v>
      </c>
      <c r="H27" s="18">
        <f>AVERAGE(H4:H23)</f>
        <v>0.875</v>
      </c>
      <c r="I27" s="18">
        <f t="shared" ref="I27:K27" si="11">AVERAGE(I4:I23)</f>
        <v>0.82999999999999985</v>
      </c>
      <c r="J27" s="18">
        <f t="shared" si="11"/>
        <v>0.80899999999999994</v>
      </c>
      <c r="K27" s="18">
        <f t="shared" si="11"/>
        <v>0.85</v>
      </c>
    </row>
  </sheetData>
  <conditionalFormatting sqref="C4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 M4:M23">
    <cfRule type="cellIs" dxfId="2" priority="2" operator="lessThan">
      <formula>0.5</formula>
    </cfRule>
  </conditionalFormatting>
  <conditionalFormatting sqref="M4:M23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CE7E8-60BE-4568-ADA4-0A1E74F6AF93}">
  <dimension ref="A1:L13"/>
  <sheetViews>
    <sheetView workbookViewId="0">
      <selection activeCell="F12" sqref="F12"/>
    </sheetView>
  </sheetViews>
  <sheetFormatPr defaultRowHeight="14.5" x14ac:dyDescent="0.35"/>
  <cols>
    <col min="1" max="1" width="19.81640625" bestFit="1" customWidth="1"/>
    <col min="4" max="4" width="10.08984375" bestFit="1" customWidth="1"/>
    <col min="5" max="5" width="10.08984375" customWidth="1"/>
    <col min="6" max="6" width="9.7265625" bestFit="1" customWidth="1"/>
    <col min="7" max="7" width="9.7265625" customWidth="1"/>
    <col min="8" max="8" width="9.08984375" bestFit="1" customWidth="1"/>
    <col min="9" max="9" width="9.08984375" customWidth="1"/>
  </cols>
  <sheetData>
    <row r="1" spans="1:12" x14ac:dyDescent="0.35">
      <c r="A1" t="s">
        <v>63</v>
      </c>
      <c r="C1" s="29" t="s">
        <v>79</v>
      </c>
      <c r="D1" s="29"/>
      <c r="E1" s="29"/>
    </row>
    <row r="2" spans="1:12" x14ac:dyDescent="0.35">
      <c r="C2" t="s">
        <v>78</v>
      </c>
      <c r="E2" t="s">
        <v>78</v>
      </c>
      <c r="G2" t="s">
        <v>78</v>
      </c>
      <c r="I2" t="s">
        <v>78</v>
      </c>
      <c r="K2" t="s">
        <v>78</v>
      </c>
    </row>
    <row r="3" spans="1:12" x14ac:dyDescent="0.35">
      <c r="A3" t="s">
        <v>64</v>
      </c>
      <c r="B3" t="s">
        <v>5</v>
      </c>
      <c r="C3">
        <v>3</v>
      </c>
      <c r="D3" t="s">
        <v>70</v>
      </c>
      <c r="E3">
        <v>5</v>
      </c>
      <c r="F3" t="s">
        <v>71</v>
      </c>
      <c r="G3">
        <v>4</v>
      </c>
      <c r="H3" t="s">
        <v>72</v>
      </c>
      <c r="I3">
        <v>3</v>
      </c>
      <c r="J3" t="s">
        <v>73</v>
      </c>
      <c r="K3">
        <v>2</v>
      </c>
      <c r="L3" t="s">
        <v>49</v>
      </c>
    </row>
    <row r="4" spans="1:12" x14ac:dyDescent="0.35">
      <c r="A4" t="s">
        <v>65</v>
      </c>
      <c r="B4" s="20">
        <v>3</v>
      </c>
      <c r="C4" s="20">
        <f>C$3*B4</f>
        <v>9</v>
      </c>
      <c r="D4" s="21">
        <v>5</v>
      </c>
      <c r="E4" s="21">
        <f>E$3*D4</f>
        <v>25</v>
      </c>
      <c r="F4" s="22">
        <v>5</v>
      </c>
      <c r="G4" s="22">
        <f>G$3*F4</f>
        <v>20</v>
      </c>
      <c r="H4" s="23">
        <v>5</v>
      </c>
      <c r="I4" s="23">
        <f>I$3*H4</f>
        <v>15</v>
      </c>
      <c r="J4" s="24">
        <v>5</v>
      </c>
      <c r="K4" s="24">
        <f>K$3*J4</f>
        <v>10</v>
      </c>
      <c r="L4">
        <f>SUM(C4+E4+G4+I4+K4)</f>
        <v>79</v>
      </c>
    </row>
    <row r="5" spans="1:12" x14ac:dyDescent="0.35">
      <c r="A5" t="s">
        <v>66</v>
      </c>
      <c r="B5" s="20">
        <v>5</v>
      </c>
      <c r="C5" s="20">
        <f t="shared" ref="C5:E8" si="0">C$3*B5</f>
        <v>15</v>
      </c>
      <c r="D5" s="21">
        <v>4</v>
      </c>
      <c r="E5" s="21">
        <f t="shared" si="0"/>
        <v>20</v>
      </c>
      <c r="F5" s="22">
        <v>5</v>
      </c>
      <c r="G5" s="22">
        <f t="shared" ref="G5" si="1">G$3*F5</f>
        <v>20</v>
      </c>
      <c r="H5" s="23">
        <v>4</v>
      </c>
      <c r="I5" s="23">
        <f t="shared" ref="I5" si="2">I$3*H5</f>
        <v>12</v>
      </c>
      <c r="J5" s="24">
        <v>3</v>
      </c>
      <c r="K5" s="24">
        <f t="shared" ref="K5" si="3">K$3*J5</f>
        <v>6</v>
      </c>
      <c r="L5">
        <f t="shared" ref="L5:L8" si="4">SUM(C5+E5+G5+I5+K5)</f>
        <v>73</v>
      </c>
    </row>
    <row r="6" spans="1:12" x14ac:dyDescent="0.35">
      <c r="A6" t="s">
        <v>67</v>
      </c>
      <c r="B6" s="20">
        <v>4</v>
      </c>
      <c r="C6" s="20">
        <f t="shared" si="0"/>
        <v>12</v>
      </c>
      <c r="D6" s="21">
        <v>3</v>
      </c>
      <c r="E6" s="21">
        <f t="shared" si="0"/>
        <v>15</v>
      </c>
      <c r="F6" s="22">
        <v>5</v>
      </c>
      <c r="G6" s="22">
        <f t="shared" ref="G6" si="5">G$3*F6</f>
        <v>20</v>
      </c>
      <c r="H6" s="23">
        <v>3</v>
      </c>
      <c r="I6" s="23">
        <f t="shared" ref="I6" si="6">I$3*H6</f>
        <v>9</v>
      </c>
      <c r="J6" s="24">
        <v>2</v>
      </c>
      <c r="K6" s="24">
        <f t="shared" ref="K6" si="7">K$3*J6</f>
        <v>4</v>
      </c>
      <c r="L6">
        <f t="shared" si="4"/>
        <v>60</v>
      </c>
    </row>
    <row r="7" spans="1:12" x14ac:dyDescent="0.35">
      <c r="A7" t="s">
        <v>68</v>
      </c>
      <c r="B7" s="20">
        <v>3</v>
      </c>
      <c r="C7" s="20">
        <f t="shared" si="0"/>
        <v>9</v>
      </c>
      <c r="D7" s="21">
        <v>1</v>
      </c>
      <c r="E7" s="21">
        <f t="shared" si="0"/>
        <v>5</v>
      </c>
      <c r="F7" s="22">
        <v>3</v>
      </c>
      <c r="G7" s="22">
        <f t="shared" ref="G7" si="8">G$3*F7</f>
        <v>12</v>
      </c>
      <c r="H7" s="23">
        <v>2</v>
      </c>
      <c r="I7" s="23">
        <f t="shared" ref="I7" si="9">I$3*H7</f>
        <v>6</v>
      </c>
      <c r="J7" s="24">
        <v>1</v>
      </c>
      <c r="K7" s="24">
        <f t="shared" ref="K7" si="10">K$3*J7</f>
        <v>2</v>
      </c>
      <c r="L7">
        <f t="shared" si="4"/>
        <v>34</v>
      </c>
    </row>
    <row r="8" spans="1:12" x14ac:dyDescent="0.35">
      <c r="A8" t="s">
        <v>69</v>
      </c>
      <c r="B8" s="20">
        <v>3</v>
      </c>
      <c r="C8" s="20">
        <f t="shared" si="0"/>
        <v>9</v>
      </c>
      <c r="D8" s="21">
        <v>1</v>
      </c>
      <c r="E8" s="21">
        <f t="shared" si="0"/>
        <v>5</v>
      </c>
      <c r="F8" s="22">
        <v>2</v>
      </c>
      <c r="G8" s="22">
        <f t="shared" ref="G8" si="11">G$3*F8</f>
        <v>8</v>
      </c>
      <c r="H8" s="23">
        <v>2</v>
      </c>
      <c r="I8" s="23">
        <f t="shared" ref="I8" si="12">I$3*H8</f>
        <v>6</v>
      </c>
      <c r="J8" s="24">
        <v>1</v>
      </c>
      <c r="K8" s="24">
        <f t="shared" ref="K8" si="13">K$3*J8</f>
        <v>2</v>
      </c>
      <c r="L8">
        <f t="shared" si="4"/>
        <v>30</v>
      </c>
    </row>
    <row r="10" spans="1:12" x14ac:dyDescent="0.35">
      <c r="A10" t="s">
        <v>74</v>
      </c>
    </row>
    <row r="11" spans="1:12" x14ac:dyDescent="0.35">
      <c r="A11" s="29" t="s">
        <v>75</v>
      </c>
      <c r="B11" s="29"/>
    </row>
    <row r="12" spans="1:12" x14ac:dyDescent="0.35">
      <c r="A12" t="s">
        <v>76</v>
      </c>
    </row>
    <row r="13" spans="1:12" x14ac:dyDescent="0.35">
      <c r="A13" t="s">
        <v>77</v>
      </c>
    </row>
  </sheetData>
  <mergeCells count="2">
    <mergeCell ref="A11:B11"/>
    <mergeCell ref="C1:E1"/>
  </mergeCells>
  <conditionalFormatting sqref="L4:L8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882D-9F0B-4191-80BC-8CDBFD6793BD}">
  <dimension ref="A3:B8"/>
  <sheetViews>
    <sheetView workbookViewId="0">
      <selection activeCell="L15" sqref="L15"/>
    </sheetView>
  </sheetViews>
  <sheetFormatPr defaultRowHeight="14.5" x14ac:dyDescent="0.35"/>
  <cols>
    <col min="1" max="1" width="12.36328125" bestFit="1" customWidth="1"/>
    <col min="2" max="2" width="15.08984375" bestFit="1" customWidth="1"/>
  </cols>
  <sheetData>
    <row r="3" spans="1:2" x14ac:dyDescent="0.35">
      <c r="A3" s="31" t="s">
        <v>128</v>
      </c>
      <c r="B3" t="s">
        <v>127</v>
      </c>
    </row>
    <row r="4" spans="1:2" x14ac:dyDescent="0.35">
      <c r="A4" s="32" t="s">
        <v>118</v>
      </c>
      <c r="B4" s="1">
        <v>2410.7000000000003</v>
      </c>
    </row>
    <row r="5" spans="1:2" x14ac:dyDescent="0.35">
      <c r="A5" s="32" t="s">
        <v>122</v>
      </c>
      <c r="B5" s="1">
        <v>3035.3</v>
      </c>
    </row>
    <row r="6" spans="1:2" x14ac:dyDescent="0.35">
      <c r="A6" s="32" t="s">
        <v>120</v>
      </c>
      <c r="B6" s="1">
        <v>5661.0999999999985</v>
      </c>
    </row>
    <row r="7" spans="1:2" x14ac:dyDescent="0.35">
      <c r="A7" s="32" t="s">
        <v>117</v>
      </c>
      <c r="B7" s="1">
        <v>6003.5</v>
      </c>
    </row>
    <row r="8" spans="1:2" x14ac:dyDescent="0.35">
      <c r="A8" s="32" t="s">
        <v>129</v>
      </c>
      <c r="B8" s="1">
        <v>17110.599999999999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9089-1C7B-4CFA-8ACE-B6EFAADEFFA3}">
  <dimension ref="A1:K176"/>
  <sheetViews>
    <sheetView workbookViewId="0">
      <selection activeCell="M11" sqref="M11"/>
    </sheetView>
  </sheetViews>
  <sheetFormatPr defaultRowHeight="14.5" x14ac:dyDescent="0.35"/>
  <cols>
    <col min="2" max="2" width="11.26953125" customWidth="1"/>
    <col min="4" max="4" width="17.36328125" bestFit="1" customWidth="1"/>
    <col min="6" max="6" width="11.08984375" bestFit="1" customWidth="1"/>
    <col min="8" max="8" width="15.90625" customWidth="1"/>
    <col min="9" max="9" width="14.26953125" bestFit="1" customWidth="1"/>
    <col min="10" max="10" width="14.26953125" customWidth="1"/>
  </cols>
  <sheetData>
    <row r="1" spans="1:11" ht="58" x14ac:dyDescent="0.35">
      <c r="A1" s="16" t="s">
        <v>80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  <c r="G1" s="16" t="s">
        <v>86</v>
      </c>
      <c r="H1" s="16" t="s">
        <v>123</v>
      </c>
      <c r="I1" s="27" t="s">
        <v>2</v>
      </c>
      <c r="J1" s="27" t="s">
        <v>1</v>
      </c>
      <c r="K1" s="16" t="s">
        <v>87</v>
      </c>
    </row>
    <row r="2" spans="1:11" x14ac:dyDescent="0.35">
      <c r="A2" s="25" t="s">
        <v>88</v>
      </c>
      <c r="B2" s="26">
        <v>1001</v>
      </c>
      <c r="C2">
        <v>9822</v>
      </c>
      <c r="D2" t="s">
        <v>89</v>
      </c>
      <c r="E2" s="2">
        <v>58.3</v>
      </c>
      <c r="F2" s="2">
        <v>98.4</v>
      </c>
      <c r="G2" s="2">
        <f>F2-E2</f>
        <v>40.100000000000009</v>
      </c>
      <c r="H2" s="2">
        <f>IF(F2&lt;50,G2*10%,G2*20%)</f>
        <v>8.0200000000000014</v>
      </c>
      <c r="I2" s="28" t="s">
        <v>116</v>
      </c>
      <c r="J2" s="28" t="s">
        <v>117</v>
      </c>
      <c r="K2" t="s">
        <v>90</v>
      </c>
    </row>
    <row r="3" spans="1:11" x14ac:dyDescent="0.35">
      <c r="A3" s="25" t="s">
        <v>88</v>
      </c>
      <c r="B3" s="26">
        <v>1002</v>
      </c>
      <c r="C3">
        <v>2877</v>
      </c>
      <c r="D3" t="s">
        <v>91</v>
      </c>
      <c r="E3" s="2">
        <v>11.4</v>
      </c>
      <c r="F3" s="2">
        <v>16.3</v>
      </c>
      <c r="G3" s="2">
        <f t="shared" ref="G3:G66" si="0">F3-E3</f>
        <v>4.9000000000000004</v>
      </c>
      <c r="H3" s="2">
        <f t="shared" ref="H3:H66" si="1">IF(F3&lt;50,G3*10%,G3*20%)</f>
        <v>0.49000000000000005</v>
      </c>
      <c r="I3" s="28" t="s">
        <v>26</v>
      </c>
      <c r="J3" s="28" t="s">
        <v>118</v>
      </c>
      <c r="K3" t="s">
        <v>92</v>
      </c>
    </row>
    <row r="4" spans="1:11" x14ac:dyDescent="0.35">
      <c r="A4" s="25" t="s">
        <v>88</v>
      </c>
      <c r="B4" s="26">
        <v>1003</v>
      </c>
      <c r="C4">
        <v>2499</v>
      </c>
      <c r="D4" t="s">
        <v>93</v>
      </c>
      <c r="E4" s="2">
        <v>6.2</v>
      </c>
      <c r="F4" s="2">
        <v>9.1999999999999993</v>
      </c>
      <c r="G4" s="2">
        <f t="shared" si="0"/>
        <v>2.9999999999999991</v>
      </c>
      <c r="H4" s="2">
        <f t="shared" si="1"/>
        <v>0.29999999999999993</v>
      </c>
      <c r="I4" s="28" t="s">
        <v>119</v>
      </c>
      <c r="J4" s="28" t="s">
        <v>120</v>
      </c>
      <c r="K4" t="s">
        <v>94</v>
      </c>
    </row>
    <row r="5" spans="1:11" x14ac:dyDescent="0.35">
      <c r="A5" s="25" t="s">
        <v>88</v>
      </c>
      <c r="B5" s="26">
        <v>1004</v>
      </c>
      <c r="C5">
        <v>8722</v>
      </c>
      <c r="D5" t="s">
        <v>95</v>
      </c>
      <c r="E5" s="2">
        <v>344</v>
      </c>
      <c r="F5" s="2">
        <v>502</v>
      </c>
      <c r="G5" s="2">
        <f t="shared" si="0"/>
        <v>158</v>
      </c>
      <c r="H5" s="2">
        <f t="shared" si="1"/>
        <v>31.6</v>
      </c>
      <c r="I5" s="28" t="s">
        <v>116</v>
      </c>
      <c r="J5" s="28" t="s">
        <v>117</v>
      </c>
      <c r="K5" t="s">
        <v>94</v>
      </c>
    </row>
    <row r="6" spans="1:11" x14ac:dyDescent="0.35">
      <c r="A6" s="25" t="s">
        <v>88</v>
      </c>
      <c r="B6" s="26">
        <v>1005</v>
      </c>
      <c r="C6">
        <v>1109</v>
      </c>
      <c r="D6" t="s">
        <v>96</v>
      </c>
      <c r="E6" s="2">
        <v>3</v>
      </c>
      <c r="F6" s="2">
        <v>8</v>
      </c>
      <c r="G6" s="2">
        <f t="shared" si="0"/>
        <v>5</v>
      </c>
      <c r="H6" s="2">
        <f t="shared" si="1"/>
        <v>0.5</v>
      </c>
      <c r="I6" s="28" t="s">
        <v>119</v>
      </c>
      <c r="J6" s="28" t="s">
        <v>120</v>
      </c>
      <c r="K6" t="s">
        <v>94</v>
      </c>
    </row>
    <row r="7" spans="1:11" x14ac:dyDescent="0.35">
      <c r="A7" s="25" t="s">
        <v>88</v>
      </c>
      <c r="B7" s="26">
        <v>1006</v>
      </c>
      <c r="C7">
        <v>9822</v>
      </c>
      <c r="D7" t="s">
        <v>89</v>
      </c>
      <c r="E7" s="2">
        <v>58.3</v>
      </c>
      <c r="F7" s="2">
        <v>98.4</v>
      </c>
      <c r="G7" s="2">
        <f t="shared" si="0"/>
        <v>40.100000000000009</v>
      </c>
      <c r="H7" s="2">
        <f t="shared" si="1"/>
        <v>8.0200000000000014</v>
      </c>
      <c r="I7" s="28" t="s">
        <v>119</v>
      </c>
      <c r="J7" s="28" t="s">
        <v>120</v>
      </c>
      <c r="K7" t="s">
        <v>94</v>
      </c>
    </row>
    <row r="8" spans="1:11" x14ac:dyDescent="0.35">
      <c r="A8" s="25" t="s">
        <v>88</v>
      </c>
      <c r="B8" s="26">
        <v>1007</v>
      </c>
      <c r="C8">
        <v>1109</v>
      </c>
      <c r="D8" t="s">
        <v>96</v>
      </c>
      <c r="E8" s="2">
        <v>3</v>
      </c>
      <c r="F8" s="2">
        <v>8</v>
      </c>
      <c r="G8" s="2">
        <f t="shared" si="0"/>
        <v>5</v>
      </c>
      <c r="H8" s="2">
        <f t="shared" si="1"/>
        <v>0.5</v>
      </c>
      <c r="I8" s="28" t="s">
        <v>121</v>
      </c>
      <c r="J8" s="28" t="s">
        <v>122</v>
      </c>
      <c r="K8" t="s">
        <v>90</v>
      </c>
    </row>
    <row r="9" spans="1:11" x14ac:dyDescent="0.35">
      <c r="A9" s="25" t="s">
        <v>88</v>
      </c>
      <c r="B9" s="26">
        <v>1008</v>
      </c>
      <c r="C9">
        <v>2877</v>
      </c>
      <c r="D9" t="s">
        <v>91</v>
      </c>
      <c r="E9" s="2">
        <v>11.4</v>
      </c>
      <c r="F9" s="2">
        <v>16.3</v>
      </c>
      <c r="G9" s="2">
        <f t="shared" si="0"/>
        <v>4.9000000000000004</v>
      </c>
      <c r="H9" s="2">
        <f t="shared" si="1"/>
        <v>0.49000000000000005</v>
      </c>
      <c r="I9" s="28" t="s">
        <v>119</v>
      </c>
      <c r="J9" s="28" t="s">
        <v>120</v>
      </c>
      <c r="K9" t="s">
        <v>90</v>
      </c>
    </row>
    <row r="10" spans="1:11" x14ac:dyDescent="0.35">
      <c r="A10" s="25" t="s">
        <v>88</v>
      </c>
      <c r="B10" s="26">
        <v>1009</v>
      </c>
      <c r="C10">
        <v>1109</v>
      </c>
      <c r="D10" t="s">
        <v>96</v>
      </c>
      <c r="E10" s="2">
        <v>3</v>
      </c>
      <c r="F10" s="2">
        <v>8</v>
      </c>
      <c r="G10" s="2">
        <f t="shared" si="0"/>
        <v>5</v>
      </c>
      <c r="H10" s="2">
        <f t="shared" si="1"/>
        <v>0.5</v>
      </c>
      <c r="I10" s="28" t="s">
        <v>119</v>
      </c>
      <c r="J10" s="28" t="s">
        <v>120</v>
      </c>
      <c r="K10" t="s">
        <v>94</v>
      </c>
    </row>
    <row r="11" spans="1:11" x14ac:dyDescent="0.35">
      <c r="A11" s="25" t="s">
        <v>88</v>
      </c>
      <c r="B11" s="26">
        <v>1010</v>
      </c>
      <c r="C11">
        <v>2877</v>
      </c>
      <c r="D11" t="s">
        <v>91</v>
      </c>
      <c r="E11" s="2">
        <v>11.4</v>
      </c>
      <c r="F11" s="2">
        <v>16.3</v>
      </c>
      <c r="G11" s="2">
        <f t="shared" si="0"/>
        <v>4.9000000000000004</v>
      </c>
      <c r="H11" s="2">
        <f t="shared" si="1"/>
        <v>0.49000000000000005</v>
      </c>
      <c r="I11" s="28" t="s">
        <v>26</v>
      </c>
      <c r="J11" s="28" t="s">
        <v>118</v>
      </c>
      <c r="K11" t="s">
        <v>97</v>
      </c>
    </row>
    <row r="12" spans="1:11" x14ac:dyDescent="0.35">
      <c r="A12" s="25" t="s">
        <v>88</v>
      </c>
      <c r="B12" s="26">
        <v>1011</v>
      </c>
      <c r="C12">
        <v>2877</v>
      </c>
      <c r="D12" t="s">
        <v>91</v>
      </c>
      <c r="E12" s="2">
        <v>11.4</v>
      </c>
      <c r="F12" s="2">
        <v>16.3</v>
      </c>
      <c r="G12" s="2">
        <f t="shared" si="0"/>
        <v>4.9000000000000004</v>
      </c>
      <c r="H12" s="2">
        <f t="shared" si="1"/>
        <v>0.49000000000000005</v>
      </c>
      <c r="I12" s="28" t="s">
        <v>26</v>
      </c>
      <c r="J12" s="28" t="s">
        <v>118</v>
      </c>
      <c r="K12" t="s">
        <v>94</v>
      </c>
    </row>
    <row r="13" spans="1:11" x14ac:dyDescent="0.35">
      <c r="A13" s="25" t="s">
        <v>88</v>
      </c>
      <c r="B13" s="26">
        <v>1012</v>
      </c>
      <c r="C13">
        <v>4421</v>
      </c>
      <c r="D13" t="s">
        <v>98</v>
      </c>
      <c r="E13" s="2">
        <v>45</v>
      </c>
      <c r="F13" s="2">
        <v>87</v>
      </c>
      <c r="G13" s="2">
        <f t="shared" si="0"/>
        <v>42</v>
      </c>
      <c r="H13" s="2">
        <f t="shared" si="1"/>
        <v>8.4</v>
      </c>
      <c r="I13" s="28" t="s">
        <v>119</v>
      </c>
      <c r="J13" s="28" t="s">
        <v>120</v>
      </c>
      <c r="K13" t="s">
        <v>90</v>
      </c>
    </row>
    <row r="14" spans="1:11" x14ac:dyDescent="0.35">
      <c r="A14" s="25" t="s">
        <v>88</v>
      </c>
      <c r="B14" s="26">
        <v>1013</v>
      </c>
      <c r="C14">
        <v>9212</v>
      </c>
      <c r="D14" t="s">
        <v>99</v>
      </c>
      <c r="E14" s="2">
        <v>4</v>
      </c>
      <c r="F14" s="2">
        <v>7</v>
      </c>
      <c r="G14" s="2">
        <f t="shared" si="0"/>
        <v>3</v>
      </c>
      <c r="H14" s="2">
        <f t="shared" si="1"/>
        <v>0.30000000000000004</v>
      </c>
      <c r="I14" s="28" t="s">
        <v>121</v>
      </c>
      <c r="J14" s="28" t="s">
        <v>122</v>
      </c>
      <c r="K14" t="s">
        <v>97</v>
      </c>
    </row>
    <row r="15" spans="1:11" x14ac:dyDescent="0.35">
      <c r="A15" s="25" t="s">
        <v>88</v>
      </c>
      <c r="B15" s="26">
        <v>1014</v>
      </c>
      <c r="C15">
        <v>8722</v>
      </c>
      <c r="D15" t="s">
        <v>95</v>
      </c>
      <c r="E15" s="2">
        <v>344</v>
      </c>
      <c r="F15" s="2">
        <v>502</v>
      </c>
      <c r="G15" s="2">
        <f t="shared" si="0"/>
        <v>158</v>
      </c>
      <c r="H15" s="2">
        <f t="shared" si="1"/>
        <v>31.6</v>
      </c>
      <c r="I15" s="28" t="s">
        <v>116</v>
      </c>
      <c r="J15" s="28" t="s">
        <v>117</v>
      </c>
      <c r="K15" t="s">
        <v>92</v>
      </c>
    </row>
    <row r="16" spans="1:11" x14ac:dyDescent="0.35">
      <c r="A16" s="25" t="s">
        <v>88</v>
      </c>
      <c r="B16" s="26">
        <v>1015</v>
      </c>
      <c r="C16">
        <v>2877</v>
      </c>
      <c r="D16" t="s">
        <v>91</v>
      </c>
      <c r="E16" s="2">
        <v>11.4</v>
      </c>
      <c r="F16" s="2">
        <v>16.3</v>
      </c>
      <c r="G16" s="2">
        <f t="shared" si="0"/>
        <v>4.9000000000000004</v>
      </c>
      <c r="H16" s="2">
        <f t="shared" si="1"/>
        <v>0.49000000000000005</v>
      </c>
      <c r="I16" s="28" t="s">
        <v>121</v>
      </c>
      <c r="J16" s="28" t="s">
        <v>122</v>
      </c>
      <c r="K16" t="s">
        <v>94</v>
      </c>
    </row>
    <row r="17" spans="1:11" x14ac:dyDescent="0.35">
      <c r="A17" s="25" t="s">
        <v>88</v>
      </c>
      <c r="B17" s="26">
        <v>1016</v>
      </c>
      <c r="C17">
        <v>2499</v>
      </c>
      <c r="D17" t="s">
        <v>93</v>
      </c>
      <c r="E17" s="2">
        <v>6.2</v>
      </c>
      <c r="F17" s="2">
        <v>9.1999999999999993</v>
      </c>
      <c r="G17" s="2">
        <f t="shared" si="0"/>
        <v>2.9999999999999991</v>
      </c>
      <c r="H17" s="2">
        <f t="shared" si="1"/>
        <v>0.29999999999999993</v>
      </c>
      <c r="I17" s="28" t="s">
        <v>119</v>
      </c>
      <c r="J17" s="28" t="s">
        <v>120</v>
      </c>
      <c r="K17" t="s">
        <v>92</v>
      </c>
    </row>
    <row r="18" spans="1:11" x14ac:dyDescent="0.35">
      <c r="A18" s="25" t="s">
        <v>100</v>
      </c>
      <c r="B18" s="26">
        <v>1017</v>
      </c>
      <c r="C18">
        <v>2242</v>
      </c>
      <c r="D18" t="s">
        <v>101</v>
      </c>
      <c r="E18" s="2">
        <v>60</v>
      </c>
      <c r="F18" s="2">
        <v>124</v>
      </c>
      <c r="G18" s="2">
        <f t="shared" si="0"/>
        <v>64</v>
      </c>
      <c r="H18" s="2">
        <f t="shared" si="1"/>
        <v>12.8</v>
      </c>
      <c r="I18" s="28" t="s">
        <v>26</v>
      </c>
      <c r="J18" s="28" t="s">
        <v>118</v>
      </c>
      <c r="K18" t="s">
        <v>90</v>
      </c>
    </row>
    <row r="19" spans="1:11" x14ac:dyDescent="0.35">
      <c r="A19" s="25" t="s">
        <v>100</v>
      </c>
      <c r="B19" s="26">
        <v>1018</v>
      </c>
      <c r="C19">
        <v>1109</v>
      </c>
      <c r="D19" t="s">
        <v>96</v>
      </c>
      <c r="E19" s="2">
        <v>3</v>
      </c>
      <c r="F19" s="2">
        <v>8</v>
      </c>
      <c r="G19" s="2">
        <f t="shared" si="0"/>
        <v>5</v>
      </c>
      <c r="H19" s="2">
        <f t="shared" si="1"/>
        <v>0.5</v>
      </c>
      <c r="I19" s="28" t="s">
        <v>119</v>
      </c>
      <c r="J19" s="28" t="s">
        <v>120</v>
      </c>
      <c r="K19" t="s">
        <v>92</v>
      </c>
    </row>
    <row r="20" spans="1:11" x14ac:dyDescent="0.35">
      <c r="A20" s="25" t="s">
        <v>100</v>
      </c>
      <c r="B20" s="26">
        <v>1019</v>
      </c>
      <c r="C20">
        <v>2499</v>
      </c>
      <c r="D20" t="s">
        <v>93</v>
      </c>
      <c r="E20" s="2">
        <v>6.2</v>
      </c>
      <c r="F20" s="2">
        <v>9.1999999999999993</v>
      </c>
      <c r="G20" s="2">
        <f t="shared" si="0"/>
        <v>2.9999999999999991</v>
      </c>
      <c r="H20" s="2">
        <f t="shared" si="1"/>
        <v>0.29999999999999993</v>
      </c>
      <c r="I20" s="28" t="s">
        <v>119</v>
      </c>
      <c r="J20" s="28" t="s">
        <v>120</v>
      </c>
      <c r="K20" t="s">
        <v>97</v>
      </c>
    </row>
    <row r="21" spans="1:11" x14ac:dyDescent="0.35">
      <c r="A21" s="25" t="s">
        <v>100</v>
      </c>
      <c r="B21" s="26">
        <v>1020</v>
      </c>
      <c r="C21">
        <v>2499</v>
      </c>
      <c r="D21" t="s">
        <v>93</v>
      </c>
      <c r="E21" s="2">
        <v>6.2</v>
      </c>
      <c r="F21" s="2">
        <v>9.1999999999999993</v>
      </c>
      <c r="G21" s="2">
        <f t="shared" si="0"/>
        <v>2.9999999999999991</v>
      </c>
      <c r="H21" s="2">
        <f t="shared" si="1"/>
        <v>0.29999999999999993</v>
      </c>
      <c r="I21" s="28" t="s">
        <v>119</v>
      </c>
      <c r="J21" s="28" t="s">
        <v>120</v>
      </c>
      <c r="K21" t="s">
        <v>102</v>
      </c>
    </row>
    <row r="22" spans="1:11" x14ac:dyDescent="0.35">
      <c r="A22" s="25" t="s">
        <v>100</v>
      </c>
      <c r="B22" s="26">
        <v>1021</v>
      </c>
      <c r="C22">
        <v>1109</v>
      </c>
      <c r="D22" t="s">
        <v>96</v>
      </c>
      <c r="E22" s="2">
        <v>3</v>
      </c>
      <c r="F22" s="2">
        <v>8</v>
      </c>
      <c r="G22" s="2">
        <f t="shared" si="0"/>
        <v>5</v>
      </c>
      <c r="H22" s="2">
        <f t="shared" si="1"/>
        <v>0.5</v>
      </c>
      <c r="I22" s="28" t="s">
        <v>26</v>
      </c>
      <c r="J22" s="28" t="s">
        <v>118</v>
      </c>
      <c r="K22" t="s">
        <v>97</v>
      </c>
    </row>
    <row r="23" spans="1:11" x14ac:dyDescent="0.35">
      <c r="A23" s="25" t="s">
        <v>100</v>
      </c>
      <c r="B23" s="26">
        <v>1022</v>
      </c>
      <c r="C23">
        <v>2877</v>
      </c>
      <c r="D23" t="s">
        <v>91</v>
      </c>
      <c r="E23" s="2">
        <v>11.4</v>
      </c>
      <c r="F23" s="2">
        <v>16.3</v>
      </c>
      <c r="G23" s="2">
        <f t="shared" si="0"/>
        <v>4.9000000000000004</v>
      </c>
      <c r="H23" s="2">
        <f t="shared" si="1"/>
        <v>0.49000000000000005</v>
      </c>
      <c r="I23" s="28" t="s">
        <v>119</v>
      </c>
      <c r="J23" s="28" t="s">
        <v>120</v>
      </c>
      <c r="K23" t="s">
        <v>103</v>
      </c>
    </row>
    <row r="24" spans="1:11" x14ac:dyDescent="0.35">
      <c r="A24" s="25" t="s">
        <v>100</v>
      </c>
      <c r="B24" s="26">
        <v>1023</v>
      </c>
      <c r="C24">
        <v>1109</v>
      </c>
      <c r="D24" t="s">
        <v>96</v>
      </c>
      <c r="E24" s="2">
        <v>3</v>
      </c>
      <c r="F24" s="2">
        <v>8</v>
      </c>
      <c r="G24" s="2">
        <f t="shared" si="0"/>
        <v>5</v>
      </c>
      <c r="H24" s="2">
        <f t="shared" si="1"/>
        <v>0.5</v>
      </c>
      <c r="I24" s="28" t="s">
        <v>121</v>
      </c>
      <c r="J24" s="28" t="s">
        <v>122</v>
      </c>
      <c r="K24" t="s">
        <v>90</v>
      </c>
    </row>
    <row r="25" spans="1:11" x14ac:dyDescent="0.35">
      <c r="A25" s="25" t="s">
        <v>100</v>
      </c>
      <c r="B25" s="26">
        <v>1024</v>
      </c>
      <c r="C25">
        <v>9212</v>
      </c>
      <c r="D25" t="s">
        <v>99</v>
      </c>
      <c r="E25" s="2">
        <v>4</v>
      </c>
      <c r="F25" s="2">
        <v>7</v>
      </c>
      <c r="G25" s="2">
        <f t="shared" si="0"/>
        <v>3</v>
      </c>
      <c r="H25" s="2">
        <f t="shared" si="1"/>
        <v>0.30000000000000004</v>
      </c>
      <c r="I25" s="28" t="s">
        <v>26</v>
      </c>
      <c r="J25" s="28" t="s">
        <v>118</v>
      </c>
      <c r="K25" t="s">
        <v>103</v>
      </c>
    </row>
    <row r="26" spans="1:11" x14ac:dyDescent="0.35">
      <c r="A26" s="25" t="s">
        <v>100</v>
      </c>
      <c r="B26" s="26">
        <v>1025</v>
      </c>
      <c r="C26">
        <v>2877</v>
      </c>
      <c r="D26" t="s">
        <v>91</v>
      </c>
      <c r="E26" s="2">
        <v>11.4</v>
      </c>
      <c r="F26" s="2">
        <v>16.3</v>
      </c>
      <c r="G26" s="2">
        <f t="shared" si="0"/>
        <v>4.9000000000000004</v>
      </c>
      <c r="H26" s="2">
        <f t="shared" si="1"/>
        <v>0.49000000000000005</v>
      </c>
      <c r="I26" s="28" t="s">
        <v>121</v>
      </c>
      <c r="J26" s="28" t="s">
        <v>122</v>
      </c>
      <c r="K26" t="s">
        <v>102</v>
      </c>
    </row>
    <row r="27" spans="1:11" x14ac:dyDescent="0.35">
      <c r="A27" s="25" t="s">
        <v>100</v>
      </c>
      <c r="B27" s="26">
        <v>1026</v>
      </c>
      <c r="C27">
        <v>6119</v>
      </c>
      <c r="D27" t="s">
        <v>104</v>
      </c>
      <c r="E27" s="2">
        <v>9</v>
      </c>
      <c r="F27" s="2">
        <v>14</v>
      </c>
      <c r="G27" s="2">
        <f t="shared" si="0"/>
        <v>5</v>
      </c>
      <c r="H27" s="2">
        <f t="shared" si="1"/>
        <v>0.5</v>
      </c>
      <c r="I27" s="28" t="s">
        <v>121</v>
      </c>
      <c r="J27" s="28" t="s">
        <v>122</v>
      </c>
      <c r="K27" t="s">
        <v>90</v>
      </c>
    </row>
    <row r="28" spans="1:11" x14ac:dyDescent="0.35">
      <c r="A28" s="25" t="s">
        <v>100</v>
      </c>
      <c r="B28" s="26">
        <v>1027</v>
      </c>
      <c r="C28">
        <v>6119</v>
      </c>
      <c r="D28" t="s">
        <v>104</v>
      </c>
      <c r="E28" s="2">
        <v>9</v>
      </c>
      <c r="F28" s="2">
        <v>14</v>
      </c>
      <c r="G28" s="2">
        <f t="shared" si="0"/>
        <v>5</v>
      </c>
      <c r="H28" s="2">
        <f t="shared" si="1"/>
        <v>0.5</v>
      </c>
      <c r="I28" s="28" t="s">
        <v>116</v>
      </c>
      <c r="J28" s="28" t="s">
        <v>117</v>
      </c>
      <c r="K28" t="s">
        <v>102</v>
      </c>
    </row>
    <row r="29" spans="1:11" x14ac:dyDescent="0.35">
      <c r="A29" s="25" t="s">
        <v>100</v>
      </c>
      <c r="B29" s="26">
        <v>1028</v>
      </c>
      <c r="C29">
        <v>8722</v>
      </c>
      <c r="D29" t="s">
        <v>95</v>
      </c>
      <c r="E29" s="2">
        <v>344</v>
      </c>
      <c r="F29" s="2">
        <v>502</v>
      </c>
      <c r="G29" s="2">
        <f t="shared" si="0"/>
        <v>158</v>
      </c>
      <c r="H29" s="2">
        <f t="shared" si="1"/>
        <v>31.6</v>
      </c>
      <c r="I29" s="28" t="s">
        <v>116</v>
      </c>
      <c r="J29" s="28" t="s">
        <v>117</v>
      </c>
      <c r="K29" t="s">
        <v>94</v>
      </c>
    </row>
    <row r="30" spans="1:11" x14ac:dyDescent="0.35">
      <c r="A30" s="25" t="s">
        <v>100</v>
      </c>
      <c r="B30" s="26">
        <v>1029</v>
      </c>
      <c r="C30">
        <v>2499</v>
      </c>
      <c r="D30" t="s">
        <v>93</v>
      </c>
      <c r="E30" s="2">
        <v>6.2</v>
      </c>
      <c r="F30" s="2">
        <v>9.1999999999999993</v>
      </c>
      <c r="G30" s="2">
        <f t="shared" si="0"/>
        <v>2.9999999999999991</v>
      </c>
      <c r="H30" s="2">
        <f t="shared" si="1"/>
        <v>0.29999999999999993</v>
      </c>
      <c r="I30" s="28" t="s">
        <v>26</v>
      </c>
      <c r="J30" s="28" t="s">
        <v>118</v>
      </c>
      <c r="K30" t="s">
        <v>94</v>
      </c>
    </row>
    <row r="31" spans="1:11" x14ac:dyDescent="0.35">
      <c r="A31" s="25" t="s">
        <v>100</v>
      </c>
      <c r="B31" s="26">
        <v>1030</v>
      </c>
      <c r="C31">
        <v>4421</v>
      </c>
      <c r="D31" t="s">
        <v>98</v>
      </c>
      <c r="E31" s="2">
        <v>45</v>
      </c>
      <c r="F31" s="2">
        <v>87</v>
      </c>
      <c r="G31" s="2">
        <f t="shared" si="0"/>
        <v>42</v>
      </c>
      <c r="H31" s="2">
        <f t="shared" si="1"/>
        <v>8.4</v>
      </c>
      <c r="I31" s="28" t="s">
        <v>26</v>
      </c>
      <c r="J31" s="28" t="s">
        <v>118</v>
      </c>
      <c r="K31" t="s">
        <v>102</v>
      </c>
    </row>
    <row r="32" spans="1:11" x14ac:dyDescent="0.35">
      <c r="A32" s="25" t="s">
        <v>100</v>
      </c>
      <c r="B32" s="26">
        <v>1031</v>
      </c>
      <c r="C32">
        <v>1109</v>
      </c>
      <c r="D32" t="s">
        <v>96</v>
      </c>
      <c r="E32" s="2">
        <v>3</v>
      </c>
      <c r="F32" s="2">
        <v>8</v>
      </c>
      <c r="G32" s="2">
        <f t="shared" si="0"/>
        <v>5</v>
      </c>
      <c r="H32" s="2">
        <f t="shared" si="1"/>
        <v>0.5</v>
      </c>
      <c r="I32" s="28" t="s">
        <v>26</v>
      </c>
      <c r="J32" s="28" t="s">
        <v>118</v>
      </c>
      <c r="K32" t="s">
        <v>92</v>
      </c>
    </row>
    <row r="33" spans="1:11" x14ac:dyDescent="0.35">
      <c r="A33" s="25" t="s">
        <v>100</v>
      </c>
      <c r="B33" s="26">
        <v>1032</v>
      </c>
      <c r="C33">
        <v>2877</v>
      </c>
      <c r="D33" t="s">
        <v>91</v>
      </c>
      <c r="E33" s="2">
        <v>11.4</v>
      </c>
      <c r="F33" s="2">
        <v>16.3</v>
      </c>
      <c r="G33" s="2">
        <f t="shared" si="0"/>
        <v>4.9000000000000004</v>
      </c>
      <c r="H33" s="2">
        <f t="shared" si="1"/>
        <v>0.49000000000000005</v>
      </c>
      <c r="I33" s="28" t="s">
        <v>116</v>
      </c>
      <c r="J33" s="28" t="s">
        <v>117</v>
      </c>
      <c r="K33" t="s">
        <v>94</v>
      </c>
    </row>
    <row r="34" spans="1:11" x14ac:dyDescent="0.35">
      <c r="A34" s="25" t="s">
        <v>100</v>
      </c>
      <c r="B34" s="26">
        <v>1033</v>
      </c>
      <c r="C34">
        <v>9822</v>
      </c>
      <c r="D34" t="s">
        <v>89</v>
      </c>
      <c r="E34" s="2">
        <v>58.3</v>
      </c>
      <c r="F34" s="2">
        <v>98.4</v>
      </c>
      <c r="G34" s="2">
        <f t="shared" si="0"/>
        <v>40.100000000000009</v>
      </c>
      <c r="H34" s="2">
        <f t="shared" si="1"/>
        <v>8.0200000000000014</v>
      </c>
      <c r="I34" s="28" t="s">
        <v>26</v>
      </c>
      <c r="J34" s="28" t="s">
        <v>118</v>
      </c>
      <c r="K34" t="s">
        <v>92</v>
      </c>
    </row>
    <row r="35" spans="1:11" x14ac:dyDescent="0.35">
      <c r="A35" s="25" t="s">
        <v>100</v>
      </c>
      <c r="B35" s="26">
        <v>1034</v>
      </c>
      <c r="C35">
        <v>2877</v>
      </c>
      <c r="D35" t="s">
        <v>91</v>
      </c>
      <c r="E35" s="2">
        <v>11.4</v>
      </c>
      <c r="F35" s="2">
        <v>16.3</v>
      </c>
      <c r="G35" s="2">
        <f t="shared" si="0"/>
        <v>4.9000000000000004</v>
      </c>
      <c r="H35" s="2">
        <f t="shared" si="1"/>
        <v>0.49000000000000005</v>
      </c>
      <c r="I35" s="28" t="s">
        <v>26</v>
      </c>
      <c r="J35" s="28" t="s">
        <v>118</v>
      </c>
      <c r="K35" t="s">
        <v>97</v>
      </c>
    </row>
    <row r="36" spans="1:11" x14ac:dyDescent="0.35">
      <c r="A36" s="25" t="s">
        <v>105</v>
      </c>
      <c r="B36" s="26">
        <v>1035</v>
      </c>
      <c r="C36">
        <v>2499</v>
      </c>
      <c r="D36" t="s">
        <v>93</v>
      </c>
      <c r="E36" s="2">
        <v>6.2</v>
      </c>
      <c r="F36" s="2">
        <v>9.1999999999999993</v>
      </c>
      <c r="G36" s="2">
        <f t="shared" si="0"/>
        <v>2.9999999999999991</v>
      </c>
      <c r="H36" s="2">
        <f t="shared" si="1"/>
        <v>0.29999999999999993</v>
      </c>
      <c r="I36" s="28" t="s">
        <v>121</v>
      </c>
      <c r="J36" s="28" t="s">
        <v>122</v>
      </c>
      <c r="K36" t="s">
        <v>92</v>
      </c>
    </row>
    <row r="37" spans="1:11" x14ac:dyDescent="0.35">
      <c r="A37" s="25" t="s">
        <v>105</v>
      </c>
      <c r="B37" s="26">
        <v>1036</v>
      </c>
      <c r="C37">
        <v>2499</v>
      </c>
      <c r="D37" t="s">
        <v>93</v>
      </c>
      <c r="E37" s="2">
        <v>6.2</v>
      </c>
      <c r="F37" s="2">
        <v>9.1999999999999993</v>
      </c>
      <c r="G37" s="2">
        <f t="shared" si="0"/>
        <v>2.9999999999999991</v>
      </c>
      <c r="H37" s="2">
        <f t="shared" si="1"/>
        <v>0.29999999999999993</v>
      </c>
      <c r="I37" s="28" t="s">
        <v>26</v>
      </c>
      <c r="J37" s="28" t="s">
        <v>118</v>
      </c>
      <c r="K37" t="s">
        <v>102</v>
      </c>
    </row>
    <row r="38" spans="1:11" x14ac:dyDescent="0.35">
      <c r="A38" s="25" t="s">
        <v>105</v>
      </c>
      <c r="B38" s="26">
        <v>1037</v>
      </c>
      <c r="C38">
        <v>6622</v>
      </c>
      <c r="D38" t="s">
        <v>106</v>
      </c>
      <c r="E38" s="2">
        <v>42</v>
      </c>
      <c r="F38" s="2">
        <v>77</v>
      </c>
      <c r="G38" s="2">
        <f t="shared" si="0"/>
        <v>35</v>
      </c>
      <c r="H38" s="2">
        <f t="shared" si="1"/>
        <v>7</v>
      </c>
      <c r="I38" s="28" t="s">
        <v>26</v>
      </c>
      <c r="J38" s="28" t="s">
        <v>118</v>
      </c>
      <c r="K38" t="s">
        <v>102</v>
      </c>
    </row>
    <row r="39" spans="1:11" x14ac:dyDescent="0.35">
      <c r="A39" s="25" t="s">
        <v>105</v>
      </c>
      <c r="B39" s="26">
        <v>1038</v>
      </c>
      <c r="C39">
        <v>2499</v>
      </c>
      <c r="D39" t="s">
        <v>93</v>
      </c>
      <c r="E39" s="2">
        <v>6.2</v>
      </c>
      <c r="F39" s="2">
        <v>9.1999999999999993</v>
      </c>
      <c r="G39" s="2">
        <f t="shared" si="0"/>
        <v>2.9999999999999991</v>
      </c>
      <c r="H39" s="2">
        <f t="shared" si="1"/>
        <v>0.29999999999999993</v>
      </c>
      <c r="I39" s="28" t="s">
        <v>26</v>
      </c>
      <c r="J39" s="28" t="s">
        <v>118</v>
      </c>
      <c r="K39" t="s">
        <v>102</v>
      </c>
    </row>
    <row r="40" spans="1:11" x14ac:dyDescent="0.35">
      <c r="A40" s="25" t="s">
        <v>105</v>
      </c>
      <c r="B40" s="26">
        <v>1039</v>
      </c>
      <c r="C40">
        <v>2877</v>
      </c>
      <c r="D40" t="s">
        <v>91</v>
      </c>
      <c r="E40" s="2">
        <v>11.4</v>
      </c>
      <c r="F40" s="2">
        <v>16.3</v>
      </c>
      <c r="G40" s="2">
        <f t="shared" si="0"/>
        <v>4.9000000000000004</v>
      </c>
      <c r="H40" s="2">
        <f t="shared" si="1"/>
        <v>0.49000000000000005</v>
      </c>
      <c r="I40" s="28" t="s">
        <v>26</v>
      </c>
      <c r="J40" s="28" t="s">
        <v>118</v>
      </c>
      <c r="K40" t="s">
        <v>92</v>
      </c>
    </row>
    <row r="41" spans="1:11" x14ac:dyDescent="0.35">
      <c r="A41" s="25" t="s">
        <v>105</v>
      </c>
      <c r="B41" s="26">
        <v>1040</v>
      </c>
      <c r="C41">
        <v>1109</v>
      </c>
      <c r="D41" t="s">
        <v>96</v>
      </c>
      <c r="E41" s="2">
        <v>3</v>
      </c>
      <c r="F41" s="2">
        <v>8</v>
      </c>
      <c r="G41" s="2">
        <f t="shared" si="0"/>
        <v>5</v>
      </c>
      <c r="H41" s="2">
        <f t="shared" si="1"/>
        <v>0.5</v>
      </c>
      <c r="I41" s="28" t="s">
        <v>26</v>
      </c>
      <c r="J41" s="28" t="s">
        <v>118</v>
      </c>
      <c r="K41" t="s">
        <v>94</v>
      </c>
    </row>
    <row r="42" spans="1:11" x14ac:dyDescent="0.35">
      <c r="A42" s="25" t="s">
        <v>105</v>
      </c>
      <c r="B42" s="26">
        <v>1041</v>
      </c>
      <c r="C42">
        <v>2499</v>
      </c>
      <c r="D42" t="s">
        <v>93</v>
      </c>
      <c r="E42" s="2">
        <v>6.2</v>
      </c>
      <c r="F42" s="2">
        <v>9.1999999999999993</v>
      </c>
      <c r="G42" s="2">
        <f t="shared" si="0"/>
        <v>2.9999999999999991</v>
      </c>
      <c r="H42" s="2">
        <f t="shared" si="1"/>
        <v>0.29999999999999993</v>
      </c>
      <c r="I42" s="28" t="s">
        <v>116</v>
      </c>
      <c r="J42" s="28" t="s">
        <v>117</v>
      </c>
      <c r="K42" t="s">
        <v>90</v>
      </c>
    </row>
    <row r="43" spans="1:11" x14ac:dyDescent="0.35">
      <c r="A43" s="25" t="s">
        <v>105</v>
      </c>
      <c r="B43" s="26">
        <v>1042</v>
      </c>
      <c r="C43">
        <v>8722</v>
      </c>
      <c r="D43" t="s">
        <v>95</v>
      </c>
      <c r="E43" s="2">
        <v>344</v>
      </c>
      <c r="F43" s="2">
        <v>502</v>
      </c>
      <c r="G43" s="2">
        <f t="shared" si="0"/>
        <v>158</v>
      </c>
      <c r="H43" s="2">
        <f t="shared" si="1"/>
        <v>31.6</v>
      </c>
      <c r="I43" s="28" t="s">
        <v>119</v>
      </c>
      <c r="J43" s="28" t="s">
        <v>120</v>
      </c>
      <c r="K43" t="s">
        <v>90</v>
      </c>
    </row>
    <row r="44" spans="1:11" x14ac:dyDescent="0.35">
      <c r="A44" s="25" t="s">
        <v>105</v>
      </c>
      <c r="B44" s="26">
        <v>1043</v>
      </c>
      <c r="C44">
        <v>2242</v>
      </c>
      <c r="D44" t="s">
        <v>101</v>
      </c>
      <c r="E44" s="2">
        <v>60</v>
      </c>
      <c r="F44" s="2">
        <v>124</v>
      </c>
      <c r="G44" s="2">
        <f t="shared" si="0"/>
        <v>64</v>
      </c>
      <c r="H44" s="2">
        <f t="shared" si="1"/>
        <v>12.8</v>
      </c>
      <c r="I44" s="28" t="s">
        <v>119</v>
      </c>
      <c r="J44" s="28" t="s">
        <v>120</v>
      </c>
      <c r="K44" t="s">
        <v>92</v>
      </c>
    </row>
    <row r="45" spans="1:11" x14ac:dyDescent="0.35">
      <c r="A45" s="25" t="s">
        <v>105</v>
      </c>
      <c r="B45" s="26">
        <v>1044</v>
      </c>
      <c r="C45">
        <v>2877</v>
      </c>
      <c r="D45" t="s">
        <v>91</v>
      </c>
      <c r="E45" s="2">
        <v>11.4</v>
      </c>
      <c r="F45" s="2">
        <v>16.3</v>
      </c>
      <c r="G45" s="2">
        <f t="shared" si="0"/>
        <v>4.9000000000000004</v>
      </c>
      <c r="H45" s="2">
        <f t="shared" si="1"/>
        <v>0.49000000000000005</v>
      </c>
      <c r="I45" s="28" t="s">
        <v>119</v>
      </c>
      <c r="J45" s="28" t="s">
        <v>120</v>
      </c>
      <c r="K45" t="s">
        <v>92</v>
      </c>
    </row>
    <row r="46" spans="1:11" x14ac:dyDescent="0.35">
      <c r="A46" s="25" t="s">
        <v>105</v>
      </c>
      <c r="B46" s="26">
        <v>1045</v>
      </c>
      <c r="C46">
        <v>8722</v>
      </c>
      <c r="D46" t="s">
        <v>95</v>
      </c>
      <c r="E46" s="2">
        <v>344</v>
      </c>
      <c r="F46" s="2">
        <v>502</v>
      </c>
      <c r="G46" s="2">
        <f t="shared" si="0"/>
        <v>158</v>
      </c>
      <c r="H46" s="2">
        <f t="shared" si="1"/>
        <v>31.6</v>
      </c>
      <c r="I46" s="28" t="s">
        <v>121</v>
      </c>
      <c r="J46" s="28" t="s">
        <v>122</v>
      </c>
      <c r="K46" t="s">
        <v>94</v>
      </c>
    </row>
    <row r="47" spans="1:11" x14ac:dyDescent="0.35">
      <c r="A47" s="25" t="s">
        <v>105</v>
      </c>
      <c r="B47" s="26">
        <v>1046</v>
      </c>
      <c r="C47">
        <v>6119</v>
      </c>
      <c r="D47" t="s">
        <v>104</v>
      </c>
      <c r="E47" s="2">
        <v>9</v>
      </c>
      <c r="F47" s="2">
        <v>14</v>
      </c>
      <c r="G47" s="2">
        <f t="shared" si="0"/>
        <v>5</v>
      </c>
      <c r="H47" s="2">
        <f t="shared" si="1"/>
        <v>0.5</v>
      </c>
      <c r="I47" s="28" t="s">
        <v>26</v>
      </c>
      <c r="J47" s="28" t="s">
        <v>118</v>
      </c>
      <c r="K47" t="s">
        <v>103</v>
      </c>
    </row>
    <row r="48" spans="1:11" x14ac:dyDescent="0.35">
      <c r="A48" s="25" t="s">
        <v>105</v>
      </c>
      <c r="B48" s="26">
        <v>1047</v>
      </c>
      <c r="C48">
        <v>6622</v>
      </c>
      <c r="D48" t="s">
        <v>106</v>
      </c>
      <c r="E48" s="2">
        <v>42</v>
      </c>
      <c r="F48" s="2">
        <v>77</v>
      </c>
      <c r="G48" s="2">
        <f t="shared" si="0"/>
        <v>35</v>
      </c>
      <c r="H48" s="2">
        <f t="shared" si="1"/>
        <v>7</v>
      </c>
      <c r="I48" s="28" t="s">
        <v>121</v>
      </c>
      <c r="J48" s="28" t="s">
        <v>122</v>
      </c>
      <c r="K48" t="s">
        <v>94</v>
      </c>
    </row>
    <row r="49" spans="1:11" x14ac:dyDescent="0.35">
      <c r="A49" s="25" t="s">
        <v>105</v>
      </c>
      <c r="B49" s="26">
        <v>1048</v>
      </c>
      <c r="C49">
        <v>8722</v>
      </c>
      <c r="D49" t="s">
        <v>95</v>
      </c>
      <c r="E49" s="2">
        <v>344</v>
      </c>
      <c r="F49" s="2">
        <v>502</v>
      </c>
      <c r="G49" s="2">
        <f t="shared" si="0"/>
        <v>158</v>
      </c>
      <c r="H49" s="2">
        <f t="shared" si="1"/>
        <v>31.6</v>
      </c>
      <c r="I49" s="28" t="s">
        <v>116</v>
      </c>
      <c r="J49" s="28" t="s">
        <v>117</v>
      </c>
      <c r="K49" t="s">
        <v>94</v>
      </c>
    </row>
    <row r="50" spans="1:11" x14ac:dyDescent="0.35">
      <c r="A50" s="25" t="s">
        <v>107</v>
      </c>
      <c r="B50" s="26">
        <v>1049</v>
      </c>
      <c r="C50">
        <v>2499</v>
      </c>
      <c r="D50" t="s">
        <v>93</v>
      </c>
      <c r="E50" s="2">
        <v>6.2</v>
      </c>
      <c r="F50" s="2">
        <v>9.1999999999999993</v>
      </c>
      <c r="G50" s="2">
        <f t="shared" si="0"/>
        <v>2.9999999999999991</v>
      </c>
      <c r="H50" s="2">
        <f t="shared" si="1"/>
        <v>0.29999999999999993</v>
      </c>
      <c r="I50" s="28" t="s">
        <v>116</v>
      </c>
      <c r="J50" s="28" t="s">
        <v>117</v>
      </c>
      <c r="K50" t="s">
        <v>97</v>
      </c>
    </row>
    <row r="51" spans="1:11" x14ac:dyDescent="0.35">
      <c r="A51" s="25" t="s">
        <v>107</v>
      </c>
      <c r="B51" s="26">
        <v>1050</v>
      </c>
      <c r="C51">
        <v>2877</v>
      </c>
      <c r="D51" t="s">
        <v>91</v>
      </c>
      <c r="E51" s="2">
        <v>11.4</v>
      </c>
      <c r="F51" s="2">
        <v>16.3</v>
      </c>
      <c r="G51" s="2">
        <f t="shared" si="0"/>
        <v>4.9000000000000004</v>
      </c>
      <c r="H51" s="2">
        <f t="shared" si="1"/>
        <v>0.49000000000000005</v>
      </c>
      <c r="I51" s="28" t="s">
        <v>116</v>
      </c>
      <c r="J51" s="28" t="s">
        <v>117</v>
      </c>
      <c r="K51" t="s">
        <v>94</v>
      </c>
    </row>
    <row r="52" spans="1:11" x14ac:dyDescent="0.35">
      <c r="A52" s="25" t="s">
        <v>107</v>
      </c>
      <c r="B52" s="26">
        <v>1051</v>
      </c>
      <c r="C52">
        <v>6119</v>
      </c>
      <c r="D52" t="s">
        <v>104</v>
      </c>
      <c r="E52" s="2">
        <v>9</v>
      </c>
      <c r="F52" s="2">
        <v>14</v>
      </c>
      <c r="G52" s="2">
        <f t="shared" si="0"/>
        <v>5</v>
      </c>
      <c r="H52" s="2">
        <f t="shared" si="1"/>
        <v>0.5</v>
      </c>
      <c r="I52" s="28" t="s">
        <v>119</v>
      </c>
      <c r="J52" s="28" t="s">
        <v>120</v>
      </c>
      <c r="K52" t="s">
        <v>103</v>
      </c>
    </row>
    <row r="53" spans="1:11" x14ac:dyDescent="0.35">
      <c r="A53" s="25" t="s">
        <v>107</v>
      </c>
      <c r="B53" s="26">
        <v>1052</v>
      </c>
      <c r="C53">
        <v>6622</v>
      </c>
      <c r="D53" t="s">
        <v>106</v>
      </c>
      <c r="E53" s="2">
        <v>42</v>
      </c>
      <c r="F53" s="2">
        <v>77</v>
      </c>
      <c r="G53" s="2">
        <f t="shared" si="0"/>
        <v>35</v>
      </c>
      <c r="H53" s="2">
        <f t="shared" si="1"/>
        <v>7</v>
      </c>
      <c r="I53" s="28" t="s">
        <v>119</v>
      </c>
      <c r="J53" s="28" t="s">
        <v>120</v>
      </c>
      <c r="K53" t="s">
        <v>94</v>
      </c>
    </row>
    <row r="54" spans="1:11" x14ac:dyDescent="0.35">
      <c r="A54" s="25" t="s">
        <v>107</v>
      </c>
      <c r="B54" s="26">
        <v>1053</v>
      </c>
      <c r="C54">
        <v>2242</v>
      </c>
      <c r="D54" t="s">
        <v>101</v>
      </c>
      <c r="E54" s="2">
        <v>60</v>
      </c>
      <c r="F54" s="2">
        <v>124</v>
      </c>
      <c r="G54" s="2">
        <f t="shared" si="0"/>
        <v>64</v>
      </c>
      <c r="H54" s="2">
        <f t="shared" si="1"/>
        <v>12.8</v>
      </c>
      <c r="I54" s="28" t="s">
        <v>116</v>
      </c>
      <c r="J54" s="28" t="s">
        <v>117</v>
      </c>
      <c r="K54" t="s">
        <v>92</v>
      </c>
    </row>
    <row r="55" spans="1:11" x14ac:dyDescent="0.35">
      <c r="A55" s="25" t="s">
        <v>107</v>
      </c>
      <c r="B55" s="26">
        <v>1054</v>
      </c>
      <c r="C55">
        <v>4421</v>
      </c>
      <c r="D55" t="s">
        <v>98</v>
      </c>
      <c r="E55" s="2">
        <v>45</v>
      </c>
      <c r="F55" s="2">
        <v>87</v>
      </c>
      <c r="G55" s="2">
        <f t="shared" si="0"/>
        <v>42</v>
      </c>
      <c r="H55" s="2">
        <f t="shared" si="1"/>
        <v>8.4</v>
      </c>
      <c r="I55" s="28" t="s">
        <v>119</v>
      </c>
      <c r="J55" s="28" t="s">
        <v>120</v>
      </c>
      <c r="K55" t="s">
        <v>102</v>
      </c>
    </row>
    <row r="56" spans="1:11" x14ac:dyDescent="0.35">
      <c r="A56" s="25" t="s">
        <v>107</v>
      </c>
      <c r="B56" s="26">
        <v>1055</v>
      </c>
      <c r="C56">
        <v>6119</v>
      </c>
      <c r="D56" t="s">
        <v>104</v>
      </c>
      <c r="E56" s="2">
        <v>9</v>
      </c>
      <c r="F56" s="2">
        <v>14</v>
      </c>
      <c r="G56" s="2">
        <f t="shared" si="0"/>
        <v>5</v>
      </c>
      <c r="H56" s="2">
        <f t="shared" si="1"/>
        <v>0.5</v>
      </c>
      <c r="I56" s="28" t="s">
        <v>26</v>
      </c>
      <c r="J56" s="28" t="s">
        <v>118</v>
      </c>
      <c r="K56" t="s">
        <v>102</v>
      </c>
    </row>
    <row r="57" spans="1:11" x14ac:dyDescent="0.35">
      <c r="A57" s="25" t="s">
        <v>107</v>
      </c>
      <c r="B57" s="26">
        <v>1056</v>
      </c>
      <c r="C57">
        <v>1109</v>
      </c>
      <c r="D57" t="s">
        <v>96</v>
      </c>
      <c r="E57" s="2">
        <v>3</v>
      </c>
      <c r="F57" s="2">
        <v>8</v>
      </c>
      <c r="G57" s="2">
        <f t="shared" si="0"/>
        <v>5</v>
      </c>
      <c r="H57" s="2">
        <f t="shared" si="1"/>
        <v>0.5</v>
      </c>
      <c r="I57" s="28" t="s">
        <v>119</v>
      </c>
      <c r="J57" s="28" t="s">
        <v>120</v>
      </c>
      <c r="K57" t="s">
        <v>92</v>
      </c>
    </row>
    <row r="58" spans="1:11" x14ac:dyDescent="0.35">
      <c r="A58" s="25" t="s">
        <v>107</v>
      </c>
      <c r="B58" s="26">
        <v>1057</v>
      </c>
      <c r="C58">
        <v>2499</v>
      </c>
      <c r="D58" t="s">
        <v>93</v>
      </c>
      <c r="E58" s="2">
        <v>6.2</v>
      </c>
      <c r="F58" s="2">
        <v>9.1999999999999993</v>
      </c>
      <c r="G58" s="2">
        <f t="shared" si="0"/>
        <v>2.9999999999999991</v>
      </c>
      <c r="H58" s="2">
        <f t="shared" si="1"/>
        <v>0.29999999999999993</v>
      </c>
      <c r="I58" s="28" t="s">
        <v>26</v>
      </c>
      <c r="J58" s="28" t="s">
        <v>118</v>
      </c>
      <c r="K58" t="s">
        <v>92</v>
      </c>
    </row>
    <row r="59" spans="1:11" x14ac:dyDescent="0.35">
      <c r="A59" s="25" t="s">
        <v>107</v>
      </c>
      <c r="B59" s="26">
        <v>1058</v>
      </c>
      <c r="C59">
        <v>6119</v>
      </c>
      <c r="D59" t="s">
        <v>104</v>
      </c>
      <c r="E59" s="2">
        <v>9</v>
      </c>
      <c r="F59" s="2">
        <v>14</v>
      </c>
      <c r="G59" s="2">
        <f t="shared" si="0"/>
        <v>5</v>
      </c>
      <c r="H59" s="2">
        <f t="shared" si="1"/>
        <v>0.5</v>
      </c>
      <c r="I59" s="28" t="s">
        <v>121</v>
      </c>
      <c r="J59" s="28" t="s">
        <v>122</v>
      </c>
      <c r="K59" t="s">
        <v>94</v>
      </c>
    </row>
    <row r="60" spans="1:11" x14ac:dyDescent="0.35">
      <c r="A60" s="25" t="s">
        <v>107</v>
      </c>
      <c r="B60" s="26">
        <v>1059</v>
      </c>
      <c r="C60">
        <v>2242</v>
      </c>
      <c r="D60" t="s">
        <v>101</v>
      </c>
      <c r="E60" s="2">
        <v>60</v>
      </c>
      <c r="F60" s="2">
        <v>124</v>
      </c>
      <c r="G60" s="2">
        <f t="shared" si="0"/>
        <v>64</v>
      </c>
      <c r="H60" s="2">
        <f t="shared" si="1"/>
        <v>12.8</v>
      </c>
      <c r="I60" s="28" t="s">
        <v>119</v>
      </c>
      <c r="J60" s="28" t="s">
        <v>120</v>
      </c>
      <c r="K60" t="s">
        <v>94</v>
      </c>
    </row>
    <row r="61" spans="1:11" x14ac:dyDescent="0.35">
      <c r="A61" s="25" t="s">
        <v>107</v>
      </c>
      <c r="B61" s="26">
        <v>1060</v>
      </c>
      <c r="C61">
        <v>6119</v>
      </c>
      <c r="D61" t="s">
        <v>104</v>
      </c>
      <c r="E61" s="2">
        <v>9</v>
      </c>
      <c r="F61" s="2">
        <v>14</v>
      </c>
      <c r="G61" s="2">
        <f t="shared" si="0"/>
        <v>5</v>
      </c>
      <c r="H61" s="2">
        <f t="shared" si="1"/>
        <v>0.5</v>
      </c>
      <c r="I61" s="28" t="s">
        <v>119</v>
      </c>
      <c r="J61" s="28" t="s">
        <v>120</v>
      </c>
      <c r="K61" t="s">
        <v>102</v>
      </c>
    </row>
    <row r="62" spans="1:11" x14ac:dyDescent="0.35">
      <c r="A62" s="25" t="s">
        <v>108</v>
      </c>
      <c r="B62" s="26">
        <v>1061</v>
      </c>
      <c r="C62">
        <v>1109</v>
      </c>
      <c r="D62" t="s">
        <v>96</v>
      </c>
      <c r="E62" s="2">
        <v>3</v>
      </c>
      <c r="F62" s="2">
        <v>8</v>
      </c>
      <c r="G62" s="2">
        <f t="shared" si="0"/>
        <v>5</v>
      </c>
      <c r="H62" s="2">
        <f t="shared" si="1"/>
        <v>0.5</v>
      </c>
      <c r="I62" s="28" t="s">
        <v>119</v>
      </c>
      <c r="J62" s="28" t="s">
        <v>120</v>
      </c>
      <c r="K62" t="s">
        <v>102</v>
      </c>
    </row>
    <row r="63" spans="1:11" x14ac:dyDescent="0.35">
      <c r="A63" s="25" t="s">
        <v>108</v>
      </c>
      <c r="B63" s="26">
        <v>1062</v>
      </c>
      <c r="C63">
        <v>2499</v>
      </c>
      <c r="D63" t="s">
        <v>93</v>
      </c>
      <c r="E63" s="2">
        <v>6.2</v>
      </c>
      <c r="F63" s="2">
        <v>9.1999999999999993</v>
      </c>
      <c r="G63" s="2">
        <f t="shared" si="0"/>
        <v>2.9999999999999991</v>
      </c>
      <c r="H63" s="2">
        <f t="shared" si="1"/>
        <v>0.29999999999999993</v>
      </c>
      <c r="I63" s="28" t="s">
        <v>116</v>
      </c>
      <c r="J63" s="28" t="s">
        <v>117</v>
      </c>
      <c r="K63" t="s">
        <v>94</v>
      </c>
    </row>
    <row r="64" spans="1:11" x14ac:dyDescent="0.35">
      <c r="A64" s="25" t="s">
        <v>108</v>
      </c>
      <c r="B64" s="26">
        <v>1063</v>
      </c>
      <c r="C64">
        <v>1109</v>
      </c>
      <c r="D64" t="s">
        <v>96</v>
      </c>
      <c r="E64" s="2">
        <v>3</v>
      </c>
      <c r="F64" s="2">
        <v>8</v>
      </c>
      <c r="G64" s="2">
        <f t="shared" si="0"/>
        <v>5</v>
      </c>
      <c r="H64" s="2">
        <f t="shared" si="1"/>
        <v>0.5</v>
      </c>
      <c r="I64" s="28" t="s">
        <v>119</v>
      </c>
      <c r="J64" s="28" t="s">
        <v>120</v>
      </c>
      <c r="K64" t="s">
        <v>92</v>
      </c>
    </row>
    <row r="65" spans="1:11" x14ac:dyDescent="0.35">
      <c r="A65" s="25" t="s">
        <v>108</v>
      </c>
      <c r="B65" s="26">
        <v>1064</v>
      </c>
      <c r="C65">
        <v>2499</v>
      </c>
      <c r="D65" t="s">
        <v>93</v>
      </c>
      <c r="E65" s="2">
        <v>6.2</v>
      </c>
      <c r="F65" s="2">
        <v>9.1999999999999993</v>
      </c>
      <c r="G65" s="2">
        <f t="shared" si="0"/>
        <v>2.9999999999999991</v>
      </c>
      <c r="H65" s="2">
        <f t="shared" si="1"/>
        <v>0.29999999999999993</v>
      </c>
      <c r="I65" s="28" t="s">
        <v>121</v>
      </c>
      <c r="J65" s="28" t="s">
        <v>122</v>
      </c>
      <c r="K65" t="s">
        <v>94</v>
      </c>
    </row>
    <row r="66" spans="1:11" x14ac:dyDescent="0.35">
      <c r="A66" s="25" t="s">
        <v>108</v>
      </c>
      <c r="B66" s="26">
        <v>1065</v>
      </c>
      <c r="C66">
        <v>2499</v>
      </c>
      <c r="D66" t="s">
        <v>93</v>
      </c>
      <c r="E66" s="2">
        <v>6.2</v>
      </c>
      <c r="F66" s="2">
        <v>9.1999999999999993</v>
      </c>
      <c r="G66" s="2">
        <f t="shared" si="0"/>
        <v>2.9999999999999991</v>
      </c>
      <c r="H66" s="2">
        <f t="shared" si="1"/>
        <v>0.29999999999999993</v>
      </c>
      <c r="I66" s="28" t="s">
        <v>119</v>
      </c>
      <c r="J66" s="28" t="s">
        <v>120</v>
      </c>
      <c r="K66" t="s">
        <v>90</v>
      </c>
    </row>
    <row r="67" spans="1:11" x14ac:dyDescent="0.35">
      <c r="A67" s="25" t="s">
        <v>108</v>
      </c>
      <c r="B67" s="26">
        <v>1066</v>
      </c>
      <c r="C67">
        <v>2877</v>
      </c>
      <c r="D67" t="s">
        <v>91</v>
      </c>
      <c r="E67" s="2">
        <v>11.4</v>
      </c>
      <c r="F67" s="2">
        <v>16.3</v>
      </c>
      <c r="G67" s="2">
        <f t="shared" ref="G67:G130" si="2">F67-E67</f>
        <v>4.9000000000000004</v>
      </c>
      <c r="H67" s="2">
        <f t="shared" ref="H67:H130" si="3">IF(F67&lt;50,G67*10%,G67*20%)</f>
        <v>0.49000000000000005</v>
      </c>
      <c r="I67" s="28" t="s">
        <v>119</v>
      </c>
      <c r="J67" s="28" t="s">
        <v>120</v>
      </c>
      <c r="K67" t="s">
        <v>102</v>
      </c>
    </row>
    <row r="68" spans="1:11" x14ac:dyDescent="0.35">
      <c r="A68" s="25" t="s">
        <v>108</v>
      </c>
      <c r="B68" s="26">
        <v>1067</v>
      </c>
      <c r="C68">
        <v>2877</v>
      </c>
      <c r="D68" t="s">
        <v>91</v>
      </c>
      <c r="E68" s="2">
        <v>11.4</v>
      </c>
      <c r="F68" s="2">
        <v>16.3</v>
      </c>
      <c r="G68" s="2">
        <f t="shared" si="2"/>
        <v>4.9000000000000004</v>
      </c>
      <c r="H68" s="2">
        <f t="shared" si="3"/>
        <v>0.49000000000000005</v>
      </c>
      <c r="I68" s="28" t="s">
        <v>119</v>
      </c>
      <c r="J68" s="28" t="s">
        <v>120</v>
      </c>
      <c r="K68" t="s">
        <v>103</v>
      </c>
    </row>
    <row r="69" spans="1:11" x14ac:dyDescent="0.35">
      <c r="A69" s="25" t="s">
        <v>108</v>
      </c>
      <c r="B69" s="26">
        <v>1068</v>
      </c>
      <c r="C69">
        <v>6119</v>
      </c>
      <c r="D69" t="s">
        <v>104</v>
      </c>
      <c r="E69" s="2">
        <v>9</v>
      </c>
      <c r="F69" s="2">
        <v>14</v>
      </c>
      <c r="G69" s="2">
        <f t="shared" si="2"/>
        <v>5</v>
      </c>
      <c r="H69" s="2">
        <f t="shared" si="3"/>
        <v>0.5</v>
      </c>
      <c r="I69" s="28" t="s">
        <v>26</v>
      </c>
      <c r="J69" s="28" t="s">
        <v>118</v>
      </c>
      <c r="K69" t="s">
        <v>92</v>
      </c>
    </row>
    <row r="70" spans="1:11" x14ac:dyDescent="0.35">
      <c r="A70" s="25" t="s">
        <v>108</v>
      </c>
      <c r="B70" s="26">
        <v>1069</v>
      </c>
      <c r="C70">
        <v>1109</v>
      </c>
      <c r="D70" t="s">
        <v>96</v>
      </c>
      <c r="E70" s="2">
        <v>3</v>
      </c>
      <c r="F70" s="2">
        <v>8</v>
      </c>
      <c r="G70" s="2">
        <f t="shared" si="2"/>
        <v>5</v>
      </c>
      <c r="H70" s="2">
        <f t="shared" si="3"/>
        <v>0.5</v>
      </c>
      <c r="I70" s="28" t="s">
        <v>119</v>
      </c>
      <c r="J70" s="28" t="s">
        <v>120</v>
      </c>
      <c r="K70" t="s">
        <v>94</v>
      </c>
    </row>
    <row r="71" spans="1:11" x14ac:dyDescent="0.35">
      <c r="A71" s="25" t="s">
        <v>108</v>
      </c>
      <c r="B71" s="26">
        <v>1070</v>
      </c>
      <c r="C71">
        <v>2499</v>
      </c>
      <c r="D71" t="s">
        <v>93</v>
      </c>
      <c r="E71" s="2">
        <v>6.2</v>
      </c>
      <c r="F71" s="2">
        <v>9.1999999999999993</v>
      </c>
      <c r="G71" s="2">
        <f t="shared" si="2"/>
        <v>2.9999999999999991</v>
      </c>
      <c r="H71" s="2">
        <f t="shared" si="3"/>
        <v>0.29999999999999993</v>
      </c>
      <c r="I71" s="28" t="s">
        <v>121</v>
      </c>
      <c r="J71" s="28" t="s">
        <v>122</v>
      </c>
      <c r="K71" t="s">
        <v>94</v>
      </c>
    </row>
    <row r="72" spans="1:11" x14ac:dyDescent="0.35">
      <c r="A72" s="25" t="s">
        <v>108</v>
      </c>
      <c r="B72" s="26">
        <v>1071</v>
      </c>
      <c r="C72">
        <v>1109</v>
      </c>
      <c r="D72" t="s">
        <v>96</v>
      </c>
      <c r="E72" s="2">
        <v>3</v>
      </c>
      <c r="F72" s="2">
        <v>8</v>
      </c>
      <c r="G72" s="2">
        <f t="shared" si="2"/>
        <v>5</v>
      </c>
      <c r="H72" s="2">
        <f t="shared" si="3"/>
        <v>0.5</v>
      </c>
      <c r="I72" s="28" t="s">
        <v>116</v>
      </c>
      <c r="J72" s="28" t="s">
        <v>117</v>
      </c>
      <c r="K72" t="s">
        <v>94</v>
      </c>
    </row>
    <row r="73" spans="1:11" x14ac:dyDescent="0.35">
      <c r="A73" s="25" t="s">
        <v>108</v>
      </c>
      <c r="B73" s="26">
        <v>1072</v>
      </c>
      <c r="C73">
        <v>1109</v>
      </c>
      <c r="D73" t="s">
        <v>96</v>
      </c>
      <c r="E73" s="2">
        <v>3</v>
      </c>
      <c r="F73" s="2">
        <v>8</v>
      </c>
      <c r="G73" s="2">
        <f t="shared" si="2"/>
        <v>5</v>
      </c>
      <c r="H73" s="2">
        <f t="shared" si="3"/>
        <v>0.5</v>
      </c>
      <c r="I73" s="28" t="s">
        <v>119</v>
      </c>
      <c r="J73" s="28" t="s">
        <v>120</v>
      </c>
      <c r="K73" t="s">
        <v>102</v>
      </c>
    </row>
    <row r="74" spans="1:11" x14ac:dyDescent="0.35">
      <c r="A74" s="25" t="s">
        <v>108</v>
      </c>
      <c r="B74" s="26">
        <v>1073</v>
      </c>
      <c r="C74">
        <v>6622</v>
      </c>
      <c r="D74" t="s">
        <v>106</v>
      </c>
      <c r="E74" s="2">
        <v>42</v>
      </c>
      <c r="F74" s="2">
        <v>77</v>
      </c>
      <c r="G74" s="2">
        <f t="shared" si="2"/>
        <v>35</v>
      </c>
      <c r="H74" s="2">
        <f t="shared" si="3"/>
        <v>7</v>
      </c>
      <c r="I74" s="28" t="s">
        <v>119</v>
      </c>
      <c r="J74" s="28" t="s">
        <v>120</v>
      </c>
      <c r="K74" t="s">
        <v>92</v>
      </c>
    </row>
    <row r="75" spans="1:11" x14ac:dyDescent="0.35">
      <c r="A75" s="25" t="s">
        <v>108</v>
      </c>
      <c r="B75" s="26">
        <v>1074</v>
      </c>
      <c r="C75">
        <v>2877</v>
      </c>
      <c r="D75" t="s">
        <v>91</v>
      </c>
      <c r="E75" s="2">
        <v>11.4</v>
      </c>
      <c r="F75" s="2">
        <v>16.3</v>
      </c>
      <c r="G75" s="2">
        <f t="shared" si="2"/>
        <v>4.9000000000000004</v>
      </c>
      <c r="H75" s="2">
        <f t="shared" si="3"/>
        <v>0.49000000000000005</v>
      </c>
      <c r="I75" s="28" t="s">
        <v>119</v>
      </c>
      <c r="J75" s="28" t="s">
        <v>120</v>
      </c>
      <c r="K75" t="s">
        <v>94</v>
      </c>
    </row>
    <row r="76" spans="1:11" x14ac:dyDescent="0.35">
      <c r="A76" s="25" t="s">
        <v>108</v>
      </c>
      <c r="B76" s="26">
        <v>1075</v>
      </c>
      <c r="C76">
        <v>1109</v>
      </c>
      <c r="D76" t="s">
        <v>96</v>
      </c>
      <c r="E76" s="2">
        <v>3</v>
      </c>
      <c r="F76" s="2">
        <v>8</v>
      </c>
      <c r="G76" s="2">
        <f t="shared" si="2"/>
        <v>5</v>
      </c>
      <c r="H76" s="2">
        <f t="shared" si="3"/>
        <v>0.5</v>
      </c>
      <c r="I76" s="28" t="s">
        <v>121</v>
      </c>
      <c r="J76" s="28" t="s">
        <v>122</v>
      </c>
      <c r="K76" t="s">
        <v>92</v>
      </c>
    </row>
    <row r="77" spans="1:11" x14ac:dyDescent="0.35">
      <c r="A77" s="25" t="s">
        <v>108</v>
      </c>
      <c r="B77" s="26">
        <v>1076</v>
      </c>
      <c r="C77">
        <v>1109</v>
      </c>
      <c r="D77" t="s">
        <v>96</v>
      </c>
      <c r="E77" s="2">
        <v>3</v>
      </c>
      <c r="F77" s="2">
        <v>8</v>
      </c>
      <c r="G77" s="2">
        <f t="shared" si="2"/>
        <v>5</v>
      </c>
      <c r="H77" s="2">
        <f t="shared" si="3"/>
        <v>0.5</v>
      </c>
      <c r="I77" s="28" t="s">
        <v>26</v>
      </c>
      <c r="J77" s="28" t="s">
        <v>118</v>
      </c>
      <c r="K77" t="s">
        <v>94</v>
      </c>
    </row>
    <row r="78" spans="1:11" x14ac:dyDescent="0.35">
      <c r="A78" s="25" t="s">
        <v>108</v>
      </c>
      <c r="B78" s="26">
        <v>1077</v>
      </c>
      <c r="C78">
        <v>9822</v>
      </c>
      <c r="D78" t="s">
        <v>89</v>
      </c>
      <c r="E78" s="2">
        <v>58.3</v>
      </c>
      <c r="F78" s="2">
        <v>98.4</v>
      </c>
      <c r="G78" s="2">
        <f t="shared" si="2"/>
        <v>40.100000000000009</v>
      </c>
      <c r="H78" s="2">
        <f t="shared" si="3"/>
        <v>8.0200000000000014</v>
      </c>
      <c r="I78" s="28" t="s">
        <v>121</v>
      </c>
      <c r="J78" s="28" t="s">
        <v>122</v>
      </c>
      <c r="K78" t="s">
        <v>94</v>
      </c>
    </row>
    <row r="79" spans="1:11" x14ac:dyDescent="0.35">
      <c r="A79" s="25" t="s">
        <v>108</v>
      </c>
      <c r="B79" s="26">
        <v>1078</v>
      </c>
      <c r="C79">
        <v>2877</v>
      </c>
      <c r="D79" t="s">
        <v>91</v>
      </c>
      <c r="E79" s="2">
        <v>11.4</v>
      </c>
      <c r="F79" s="2">
        <v>16.3</v>
      </c>
      <c r="G79" s="2">
        <f t="shared" si="2"/>
        <v>4.9000000000000004</v>
      </c>
      <c r="H79" s="2">
        <f t="shared" si="3"/>
        <v>0.49000000000000005</v>
      </c>
      <c r="I79" s="28" t="s">
        <v>26</v>
      </c>
      <c r="J79" s="28" t="s">
        <v>118</v>
      </c>
      <c r="K79" t="s">
        <v>102</v>
      </c>
    </row>
    <row r="80" spans="1:11" x14ac:dyDescent="0.35">
      <c r="A80" s="25" t="s">
        <v>109</v>
      </c>
      <c r="B80" s="26">
        <v>1079</v>
      </c>
      <c r="C80">
        <v>2877</v>
      </c>
      <c r="D80" t="s">
        <v>91</v>
      </c>
      <c r="E80" s="2">
        <v>11.4</v>
      </c>
      <c r="F80" s="2">
        <v>16.3</v>
      </c>
      <c r="G80" s="2">
        <f t="shared" si="2"/>
        <v>4.9000000000000004</v>
      </c>
      <c r="H80" s="2">
        <f t="shared" si="3"/>
        <v>0.49000000000000005</v>
      </c>
      <c r="I80" s="28" t="s">
        <v>26</v>
      </c>
      <c r="J80" s="28" t="s">
        <v>118</v>
      </c>
      <c r="K80" t="s">
        <v>90</v>
      </c>
    </row>
    <row r="81" spans="1:11" x14ac:dyDescent="0.35">
      <c r="A81" s="25" t="s">
        <v>109</v>
      </c>
      <c r="B81" s="26">
        <v>1080</v>
      </c>
      <c r="C81">
        <v>4421</v>
      </c>
      <c r="D81" t="s">
        <v>98</v>
      </c>
      <c r="E81" s="2">
        <v>45</v>
      </c>
      <c r="F81" s="2">
        <v>87</v>
      </c>
      <c r="G81" s="2">
        <f t="shared" si="2"/>
        <v>42</v>
      </c>
      <c r="H81" s="2">
        <f t="shared" si="3"/>
        <v>8.4</v>
      </c>
      <c r="I81" s="28" t="s">
        <v>119</v>
      </c>
      <c r="J81" s="28" t="s">
        <v>120</v>
      </c>
      <c r="K81" t="s">
        <v>92</v>
      </c>
    </row>
    <row r="82" spans="1:11" x14ac:dyDescent="0.35">
      <c r="A82" s="25" t="s">
        <v>109</v>
      </c>
      <c r="B82" s="26">
        <v>1081</v>
      </c>
      <c r="C82">
        <v>6119</v>
      </c>
      <c r="D82" t="s">
        <v>104</v>
      </c>
      <c r="E82" s="2">
        <v>9</v>
      </c>
      <c r="F82" s="2">
        <v>14</v>
      </c>
      <c r="G82" s="2">
        <f t="shared" si="2"/>
        <v>5</v>
      </c>
      <c r="H82" s="2">
        <f t="shared" si="3"/>
        <v>0.5</v>
      </c>
      <c r="I82" s="28" t="s">
        <v>119</v>
      </c>
      <c r="J82" s="28" t="s">
        <v>120</v>
      </c>
      <c r="K82" t="s">
        <v>103</v>
      </c>
    </row>
    <row r="83" spans="1:11" x14ac:dyDescent="0.35">
      <c r="A83" s="25" t="s">
        <v>109</v>
      </c>
      <c r="B83" s="26">
        <v>1082</v>
      </c>
      <c r="C83">
        <v>1109</v>
      </c>
      <c r="D83" t="s">
        <v>96</v>
      </c>
      <c r="E83" s="2">
        <v>3</v>
      </c>
      <c r="F83" s="2">
        <v>8</v>
      </c>
      <c r="G83" s="2">
        <f t="shared" si="2"/>
        <v>5</v>
      </c>
      <c r="H83" s="2">
        <f t="shared" si="3"/>
        <v>0.5</v>
      </c>
      <c r="I83" s="28" t="s">
        <v>116</v>
      </c>
      <c r="J83" s="28" t="s">
        <v>117</v>
      </c>
      <c r="K83" t="s">
        <v>92</v>
      </c>
    </row>
    <row r="84" spans="1:11" x14ac:dyDescent="0.35">
      <c r="A84" s="25" t="s">
        <v>109</v>
      </c>
      <c r="B84" s="26">
        <v>1083</v>
      </c>
      <c r="C84">
        <v>1109</v>
      </c>
      <c r="D84" t="s">
        <v>96</v>
      </c>
      <c r="E84" s="2">
        <v>3</v>
      </c>
      <c r="F84" s="2">
        <v>8</v>
      </c>
      <c r="G84" s="2">
        <f t="shared" si="2"/>
        <v>5</v>
      </c>
      <c r="H84" s="2">
        <f t="shared" si="3"/>
        <v>0.5</v>
      </c>
      <c r="I84" s="28" t="s">
        <v>116</v>
      </c>
      <c r="J84" s="28" t="s">
        <v>117</v>
      </c>
      <c r="K84" t="s">
        <v>102</v>
      </c>
    </row>
    <row r="85" spans="1:11" x14ac:dyDescent="0.35">
      <c r="A85" s="25" t="s">
        <v>109</v>
      </c>
      <c r="B85" s="26">
        <v>1084</v>
      </c>
      <c r="C85">
        <v>6119</v>
      </c>
      <c r="D85" t="s">
        <v>104</v>
      </c>
      <c r="E85" s="2">
        <v>9</v>
      </c>
      <c r="F85" s="2">
        <v>14</v>
      </c>
      <c r="G85" s="2">
        <f t="shared" si="2"/>
        <v>5</v>
      </c>
      <c r="H85" s="2">
        <f t="shared" si="3"/>
        <v>0.5</v>
      </c>
      <c r="I85" s="28" t="s">
        <v>116</v>
      </c>
      <c r="J85" s="28" t="s">
        <v>117</v>
      </c>
      <c r="K85" t="s">
        <v>94</v>
      </c>
    </row>
    <row r="86" spans="1:11" x14ac:dyDescent="0.35">
      <c r="A86" s="25" t="s">
        <v>109</v>
      </c>
      <c r="B86" s="26">
        <v>1085</v>
      </c>
      <c r="C86">
        <v>9822</v>
      </c>
      <c r="D86" t="s">
        <v>89</v>
      </c>
      <c r="E86" s="2">
        <v>58.3</v>
      </c>
      <c r="F86" s="2">
        <v>98.4</v>
      </c>
      <c r="G86" s="2">
        <f t="shared" si="2"/>
        <v>40.100000000000009</v>
      </c>
      <c r="H86" s="2">
        <f t="shared" si="3"/>
        <v>8.0200000000000014</v>
      </c>
      <c r="I86" s="28" t="s">
        <v>119</v>
      </c>
      <c r="J86" s="28" t="s">
        <v>120</v>
      </c>
      <c r="K86" t="s">
        <v>102</v>
      </c>
    </row>
    <row r="87" spans="1:11" x14ac:dyDescent="0.35">
      <c r="A87" s="25" t="s">
        <v>109</v>
      </c>
      <c r="B87" s="26">
        <v>1086</v>
      </c>
      <c r="C87">
        <v>1109</v>
      </c>
      <c r="D87" t="s">
        <v>96</v>
      </c>
      <c r="E87" s="2">
        <v>3</v>
      </c>
      <c r="F87" s="2">
        <v>8</v>
      </c>
      <c r="G87" s="2">
        <f t="shared" si="2"/>
        <v>5</v>
      </c>
      <c r="H87" s="2">
        <f t="shared" si="3"/>
        <v>0.5</v>
      </c>
      <c r="I87" s="28" t="s">
        <v>121</v>
      </c>
      <c r="J87" s="28" t="s">
        <v>122</v>
      </c>
      <c r="K87" t="s">
        <v>94</v>
      </c>
    </row>
    <row r="88" spans="1:11" x14ac:dyDescent="0.35">
      <c r="A88" s="25" t="s">
        <v>109</v>
      </c>
      <c r="B88" s="26">
        <v>1087</v>
      </c>
      <c r="C88">
        <v>2499</v>
      </c>
      <c r="D88" t="s">
        <v>93</v>
      </c>
      <c r="E88" s="2">
        <v>6.2</v>
      </c>
      <c r="F88" s="2">
        <v>9.1999999999999993</v>
      </c>
      <c r="G88" s="2">
        <f t="shared" si="2"/>
        <v>2.9999999999999991</v>
      </c>
      <c r="H88" s="2">
        <f t="shared" si="3"/>
        <v>0.29999999999999993</v>
      </c>
      <c r="I88" s="28" t="s">
        <v>116</v>
      </c>
      <c r="J88" s="28" t="s">
        <v>117</v>
      </c>
      <c r="K88" t="s">
        <v>92</v>
      </c>
    </row>
    <row r="89" spans="1:11" x14ac:dyDescent="0.35">
      <c r="A89" s="25" t="s">
        <v>109</v>
      </c>
      <c r="B89" s="26">
        <v>1088</v>
      </c>
      <c r="C89">
        <v>2499</v>
      </c>
      <c r="D89" t="s">
        <v>93</v>
      </c>
      <c r="E89" s="2">
        <v>6.2</v>
      </c>
      <c r="F89" s="2">
        <v>9.1999999999999993</v>
      </c>
      <c r="G89" s="2">
        <f t="shared" si="2"/>
        <v>2.9999999999999991</v>
      </c>
      <c r="H89" s="2">
        <f t="shared" si="3"/>
        <v>0.29999999999999993</v>
      </c>
      <c r="I89" s="28" t="s">
        <v>116</v>
      </c>
      <c r="J89" s="28" t="s">
        <v>117</v>
      </c>
      <c r="K89" t="s">
        <v>90</v>
      </c>
    </row>
    <row r="90" spans="1:11" x14ac:dyDescent="0.35">
      <c r="A90" s="25" t="s">
        <v>109</v>
      </c>
      <c r="B90" s="26">
        <v>1089</v>
      </c>
      <c r="C90">
        <v>6119</v>
      </c>
      <c r="D90" t="s">
        <v>104</v>
      </c>
      <c r="E90" s="2">
        <v>9</v>
      </c>
      <c r="F90" s="2">
        <v>14</v>
      </c>
      <c r="G90" s="2">
        <f t="shared" si="2"/>
        <v>5</v>
      </c>
      <c r="H90" s="2">
        <f t="shared" si="3"/>
        <v>0.5</v>
      </c>
      <c r="I90" s="28" t="s">
        <v>119</v>
      </c>
      <c r="J90" s="28" t="s">
        <v>120</v>
      </c>
      <c r="K90" t="s">
        <v>102</v>
      </c>
    </row>
    <row r="91" spans="1:11" x14ac:dyDescent="0.35">
      <c r="A91" s="25" t="s">
        <v>109</v>
      </c>
      <c r="B91" s="26">
        <v>1090</v>
      </c>
      <c r="C91">
        <v>2877</v>
      </c>
      <c r="D91" t="s">
        <v>91</v>
      </c>
      <c r="E91" s="2">
        <v>11.4</v>
      </c>
      <c r="F91" s="2">
        <v>16.3</v>
      </c>
      <c r="G91" s="2">
        <f t="shared" si="2"/>
        <v>4.9000000000000004</v>
      </c>
      <c r="H91" s="2">
        <f t="shared" si="3"/>
        <v>0.49000000000000005</v>
      </c>
      <c r="I91" s="28" t="s">
        <v>116</v>
      </c>
      <c r="J91" s="28" t="s">
        <v>117</v>
      </c>
      <c r="K91" t="s">
        <v>92</v>
      </c>
    </row>
    <row r="92" spans="1:11" x14ac:dyDescent="0.35">
      <c r="A92" s="25" t="s">
        <v>109</v>
      </c>
      <c r="B92" s="26">
        <v>1091</v>
      </c>
      <c r="C92">
        <v>2877</v>
      </c>
      <c r="D92" t="s">
        <v>91</v>
      </c>
      <c r="E92" s="2">
        <v>11.4</v>
      </c>
      <c r="F92" s="2">
        <v>16.3</v>
      </c>
      <c r="G92" s="2">
        <f t="shared" si="2"/>
        <v>4.9000000000000004</v>
      </c>
      <c r="H92" s="2">
        <f t="shared" si="3"/>
        <v>0.49000000000000005</v>
      </c>
      <c r="I92" s="28" t="s">
        <v>121</v>
      </c>
      <c r="J92" s="28" t="s">
        <v>122</v>
      </c>
      <c r="K92" t="s">
        <v>102</v>
      </c>
    </row>
    <row r="93" spans="1:11" x14ac:dyDescent="0.35">
      <c r="A93" s="25" t="s">
        <v>109</v>
      </c>
      <c r="B93" s="26">
        <v>1092</v>
      </c>
      <c r="C93">
        <v>2877</v>
      </c>
      <c r="D93" t="s">
        <v>91</v>
      </c>
      <c r="E93" s="2">
        <v>11.4</v>
      </c>
      <c r="F93" s="2">
        <v>16.3</v>
      </c>
      <c r="G93" s="2">
        <f t="shared" si="2"/>
        <v>4.9000000000000004</v>
      </c>
      <c r="H93" s="2">
        <f t="shared" si="3"/>
        <v>0.49000000000000005</v>
      </c>
      <c r="I93" s="28" t="s">
        <v>119</v>
      </c>
      <c r="J93" s="28" t="s">
        <v>120</v>
      </c>
      <c r="K93" t="s">
        <v>92</v>
      </c>
    </row>
    <row r="94" spans="1:11" x14ac:dyDescent="0.35">
      <c r="A94" s="25" t="s">
        <v>109</v>
      </c>
      <c r="B94" s="26">
        <v>1093</v>
      </c>
      <c r="C94">
        <v>6119</v>
      </c>
      <c r="D94" t="s">
        <v>104</v>
      </c>
      <c r="E94" s="2">
        <v>9</v>
      </c>
      <c r="F94" s="2">
        <v>14</v>
      </c>
      <c r="G94" s="2">
        <f t="shared" si="2"/>
        <v>5</v>
      </c>
      <c r="H94" s="2">
        <f t="shared" si="3"/>
        <v>0.5</v>
      </c>
      <c r="I94" s="28" t="s">
        <v>26</v>
      </c>
      <c r="J94" s="28" t="s">
        <v>118</v>
      </c>
      <c r="K94" t="s">
        <v>94</v>
      </c>
    </row>
    <row r="95" spans="1:11" x14ac:dyDescent="0.35">
      <c r="A95" s="25" t="s">
        <v>109</v>
      </c>
      <c r="B95" s="26">
        <v>1094</v>
      </c>
      <c r="C95">
        <v>6119</v>
      </c>
      <c r="D95" t="s">
        <v>104</v>
      </c>
      <c r="E95" s="2">
        <v>9</v>
      </c>
      <c r="F95" s="2">
        <v>14</v>
      </c>
      <c r="G95" s="2">
        <f t="shared" si="2"/>
        <v>5</v>
      </c>
      <c r="H95" s="2">
        <f t="shared" si="3"/>
        <v>0.5</v>
      </c>
      <c r="I95" s="28" t="s">
        <v>119</v>
      </c>
      <c r="J95" s="28" t="s">
        <v>120</v>
      </c>
      <c r="K95" t="s">
        <v>92</v>
      </c>
    </row>
    <row r="96" spans="1:11" x14ac:dyDescent="0.35">
      <c r="A96" s="25" t="s">
        <v>109</v>
      </c>
      <c r="B96" s="26">
        <v>1095</v>
      </c>
      <c r="C96">
        <v>2499</v>
      </c>
      <c r="D96" t="s">
        <v>93</v>
      </c>
      <c r="E96" s="2">
        <v>6.2</v>
      </c>
      <c r="F96" s="2">
        <v>9.1999999999999993</v>
      </c>
      <c r="G96" s="2">
        <f t="shared" si="2"/>
        <v>2.9999999999999991</v>
      </c>
      <c r="H96" s="2">
        <f t="shared" si="3"/>
        <v>0.29999999999999993</v>
      </c>
      <c r="I96" s="28" t="s">
        <v>121</v>
      </c>
      <c r="J96" s="28" t="s">
        <v>122</v>
      </c>
      <c r="K96" t="s">
        <v>94</v>
      </c>
    </row>
    <row r="97" spans="1:11" x14ac:dyDescent="0.35">
      <c r="A97" s="25" t="s">
        <v>109</v>
      </c>
      <c r="B97" s="26">
        <v>1096</v>
      </c>
      <c r="C97">
        <v>6119</v>
      </c>
      <c r="D97" t="s">
        <v>104</v>
      </c>
      <c r="E97" s="2">
        <v>9</v>
      </c>
      <c r="F97" s="2">
        <v>14</v>
      </c>
      <c r="G97" s="2">
        <f t="shared" si="2"/>
        <v>5</v>
      </c>
      <c r="H97" s="2">
        <f t="shared" si="3"/>
        <v>0.5</v>
      </c>
      <c r="I97" s="28" t="s">
        <v>119</v>
      </c>
      <c r="J97" s="28" t="s">
        <v>120</v>
      </c>
      <c r="K97" t="s">
        <v>94</v>
      </c>
    </row>
    <row r="98" spans="1:11" x14ac:dyDescent="0.35">
      <c r="A98" s="25" t="s">
        <v>109</v>
      </c>
      <c r="B98" s="26">
        <v>1097</v>
      </c>
      <c r="C98">
        <v>9212</v>
      </c>
      <c r="D98" t="s">
        <v>99</v>
      </c>
      <c r="E98" s="2">
        <v>4</v>
      </c>
      <c r="F98" s="2">
        <v>7</v>
      </c>
      <c r="G98" s="2">
        <f t="shared" si="2"/>
        <v>3</v>
      </c>
      <c r="H98" s="2">
        <f t="shared" si="3"/>
        <v>0.30000000000000004</v>
      </c>
      <c r="I98" s="28" t="s">
        <v>121</v>
      </c>
      <c r="J98" s="28" t="s">
        <v>122</v>
      </c>
      <c r="K98" t="s">
        <v>102</v>
      </c>
    </row>
    <row r="99" spans="1:11" x14ac:dyDescent="0.35">
      <c r="A99" s="25" t="s">
        <v>109</v>
      </c>
      <c r="B99" s="26">
        <v>1098</v>
      </c>
      <c r="C99">
        <v>2877</v>
      </c>
      <c r="D99" t="s">
        <v>91</v>
      </c>
      <c r="E99" s="2">
        <v>11.4</v>
      </c>
      <c r="F99" s="2">
        <v>16.3</v>
      </c>
      <c r="G99" s="2">
        <f t="shared" si="2"/>
        <v>4.9000000000000004</v>
      </c>
      <c r="H99" s="2">
        <f t="shared" si="3"/>
        <v>0.49000000000000005</v>
      </c>
      <c r="I99" s="28" t="s">
        <v>26</v>
      </c>
      <c r="J99" s="28" t="s">
        <v>118</v>
      </c>
      <c r="K99" t="s">
        <v>90</v>
      </c>
    </row>
    <row r="100" spans="1:11" x14ac:dyDescent="0.35">
      <c r="A100" s="25" t="s">
        <v>110</v>
      </c>
      <c r="B100" s="26">
        <v>1099</v>
      </c>
      <c r="C100">
        <v>2877</v>
      </c>
      <c r="D100" t="s">
        <v>91</v>
      </c>
      <c r="E100" s="2">
        <v>11.4</v>
      </c>
      <c r="F100" s="2">
        <v>16.3</v>
      </c>
      <c r="G100" s="2">
        <f t="shared" si="2"/>
        <v>4.9000000000000004</v>
      </c>
      <c r="H100" s="2">
        <f t="shared" si="3"/>
        <v>0.49000000000000005</v>
      </c>
      <c r="I100" s="28" t="s">
        <v>119</v>
      </c>
      <c r="J100" s="28" t="s">
        <v>120</v>
      </c>
      <c r="K100" t="s">
        <v>92</v>
      </c>
    </row>
    <row r="101" spans="1:11" x14ac:dyDescent="0.35">
      <c r="A101" s="25" t="s">
        <v>110</v>
      </c>
      <c r="B101" s="26">
        <v>1100</v>
      </c>
      <c r="C101">
        <v>6119</v>
      </c>
      <c r="D101" t="s">
        <v>104</v>
      </c>
      <c r="E101" s="2">
        <v>9</v>
      </c>
      <c r="F101" s="2">
        <v>14</v>
      </c>
      <c r="G101" s="2">
        <f t="shared" si="2"/>
        <v>5</v>
      </c>
      <c r="H101" s="2">
        <f t="shared" si="3"/>
        <v>0.5</v>
      </c>
      <c r="I101" s="28" t="s">
        <v>116</v>
      </c>
      <c r="J101" s="28" t="s">
        <v>117</v>
      </c>
      <c r="K101" t="s">
        <v>103</v>
      </c>
    </row>
    <row r="102" spans="1:11" x14ac:dyDescent="0.35">
      <c r="A102" s="25" t="s">
        <v>110</v>
      </c>
      <c r="B102" s="26">
        <v>1101</v>
      </c>
      <c r="C102">
        <v>2499</v>
      </c>
      <c r="D102" t="s">
        <v>93</v>
      </c>
      <c r="E102" s="2">
        <v>6.2</v>
      </c>
      <c r="F102" s="2">
        <v>9.1999999999999993</v>
      </c>
      <c r="G102" s="2">
        <f t="shared" si="2"/>
        <v>2.9999999999999991</v>
      </c>
      <c r="H102" s="2">
        <f t="shared" si="3"/>
        <v>0.29999999999999993</v>
      </c>
      <c r="I102" s="28" t="s">
        <v>119</v>
      </c>
      <c r="J102" s="28" t="s">
        <v>120</v>
      </c>
      <c r="K102" t="s">
        <v>92</v>
      </c>
    </row>
    <row r="103" spans="1:11" x14ac:dyDescent="0.35">
      <c r="A103" s="25" t="s">
        <v>110</v>
      </c>
      <c r="B103" s="26">
        <v>1102</v>
      </c>
      <c r="C103">
        <v>2242</v>
      </c>
      <c r="D103" t="s">
        <v>101</v>
      </c>
      <c r="E103" s="2">
        <v>60</v>
      </c>
      <c r="F103" s="2">
        <v>124</v>
      </c>
      <c r="G103" s="2">
        <f t="shared" si="2"/>
        <v>64</v>
      </c>
      <c r="H103" s="2">
        <f t="shared" si="3"/>
        <v>12.8</v>
      </c>
      <c r="I103" s="28" t="s">
        <v>26</v>
      </c>
      <c r="J103" s="28" t="s">
        <v>118</v>
      </c>
      <c r="K103" t="s">
        <v>102</v>
      </c>
    </row>
    <row r="104" spans="1:11" x14ac:dyDescent="0.35">
      <c r="A104" s="25" t="s">
        <v>110</v>
      </c>
      <c r="B104" s="26">
        <v>1103</v>
      </c>
      <c r="C104">
        <v>2877</v>
      </c>
      <c r="D104" t="s">
        <v>91</v>
      </c>
      <c r="E104" s="2">
        <v>11.4</v>
      </c>
      <c r="F104" s="2">
        <v>16.3</v>
      </c>
      <c r="G104" s="2">
        <f t="shared" si="2"/>
        <v>4.9000000000000004</v>
      </c>
      <c r="H104" s="2">
        <f t="shared" si="3"/>
        <v>0.49000000000000005</v>
      </c>
      <c r="I104" s="28" t="s">
        <v>26</v>
      </c>
      <c r="J104" s="28" t="s">
        <v>118</v>
      </c>
      <c r="K104" t="s">
        <v>94</v>
      </c>
    </row>
    <row r="105" spans="1:11" x14ac:dyDescent="0.35">
      <c r="A105" s="25" t="s">
        <v>110</v>
      </c>
      <c r="B105" s="26">
        <v>1104</v>
      </c>
      <c r="C105">
        <v>2877</v>
      </c>
      <c r="D105" t="s">
        <v>91</v>
      </c>
      <c r="E105" s="2">
        <v>11.4</v>
      </c>
      <c r="F105" s="2">
        <v>16.3</v>
      </c>
      <c r="G105" s="2">
        <f t="shared" si="2"/>
        <v>4.9000000000000004</v>
      </c>
      <c r="H105" s="2">
        <f t="shared" si="3"/>
        <v>0.49000000000000005</v>
      </c>
      <c r="I105" s="28" t="s">
        <v>119</v>
      </c>
      <c r="J105" s="28" t="s">
        <v>120</v>
      </c>
      <c r="K105" t="s">
        <v>102</v>
      </c>
    </row>
    <row r="106" spans="1:11" x14ac:dyDescent="0.35">
      <c r="A106" s="25" t="s">
        <v>110</v>
      </c>
      <c r="B106" s="26">
        <v>1105</v>
      </c>
      <c r="C106">
        <v>2499</v>
      </c>
      <c r="D106" t="s">
        <v>93</v>
      </c>
      <c r="E106" s="2">
        <v>6.2</v>
      </c>
      <c r="F106" s="2">
        <v>9.1999999999999993</v>
      </c>
      <c r="G106" s="2">
        <f t="shared" si="2"/>
        <v>2.9999999999999991</v>
      </c>
      <c r="H106" s="2">
        <f t="shared" si="3"/>
        <v>0.29999999999999993</v>
      </c>
      <c r="I106" s="28" t="s">
        <v>26</v>
      </c>
      <c r="J106" s="28" t="s">
        <v>118</v>
      </c>
      <c r="K106" t="s">
        <v>94</v>
      </c>
    </row>
    <row r="107" spans="1:11" x14ac:dyDescent="0.35">
      <c r="A107" s="25" t="s">
        <v>110</v>
      </c>
      <c r="B107" s="26">
        <v>1106</v>
      </c>
      <c r="C107">
        <v>9822</v>
      </c>
      <c r="D107" t="s">
        <v>89</v>
      </c>
      <c r="E107" s="2">
        <v>58.3</v>
      </c>
      <c r="F107" s="2">
        <v>98.4</v>
      </c>
      <c r="G107" s="2">
        <f t="shared" si="2"/>
        <v>40.100000000000009</v>
      </c>
      <c r="H107" s="2">
        <f t="shared" si="3"/>
        <v>8.0200000000000014</v>
      </c>
      <c r="I107" s="28" t="s">
        <v>26</v>
      </c>
      <c r="J107" s="28" t="s">
        <v>118</v>
      </c>
      <c r="K107" t="s">
        <v>92</v>
      </c>
    </row>
    <row r="108" spans="1:11" x14ac:dyDescent="0.35">
      <c r="A108" s="25" t="s">
        <v>110</v>
      </c>
      <c r="B108" s="26">
        <v>1107</v>
      </c>
      <c r="C108">
        <v>1109</v>
      </c>
      <c r="D108" t="s">
        <v>96</v>
      </c>
      <c r="E108" s="2">
        <v>3</v>
      </c>
      <c r="F108" s="2">
        <v>8</v>
      </c>
      <c r="G108" s="2">
        <f t="shared" si="2"/>
        <v>5</v>
      </c>
      <c r="H108" s="2">
        <f t="shared" si="3"/>
        <v>0.5</v>
      </c>
      <c r="I108" s="28" t="s">
        <v>121</v>
      </c>
      <c r="J108" s="28" t="s">
        <v>122</v>
      </c>
      <c r="K108" t="s">
        <v>90</v>
      </c>
    </row>
    <row r="109" spans="1:11" x14ac:dyDescent="0.35">
      <c r="A109" s="25" t="s">
        <v>110</v>
      </c>
      <c r="B109" s="26">
        <v>1108</v>
      </c>
      <c r="C109">
        <v>9822</v>
      </c>
      <c r="D109" t="s">
        <v>89</v>
      </c>
      <c r="E109" s="2">
        <v>58.3</v>
      </c>
      <c r="F109" s="2">
        <v>98.4</v>
      </c>
      <c r="G109" s="2">
        <f t="shared" si="2"/>
        <v>40.100000000000009</v>
      </c>
      <c r="H109" s="2">
        <f t="shared" si="3"/>
        <v>8.0200000000000014</v>
      </c>
      <c r="I109" s="28" t="s">
        <v>119</v>
      </c>
      <c r="J109" s="28" t="s">
        <v>120</v>
      </c>
      <c r="K109" t="s">
        <v>102</v>
      </c>
    </row>
    <row r="110" spans="1:11" x14ac:dyDescent="0.35">
      <c r="A110" s="25" t="s">
        <v>110</v>
      </c>
      <c r="B110" s="26">
        <v>1109</v>
      </c>
      <c r="C110">
        <v>8722</v>
      </c>
      <c r="D110" t="s">
        <v>95</v>
      </c>
      <c r="E110" s="2">
        <v>344</v>
      </c>
      <c r="F110" s="2">
        <v>502</v>
      </c>
      <c r="G110" s="2">
        <f t="shared" si="2"/>
        <v>158</v>
      </c>
      <c r="H110" s="2">
        <f t="shared" si="3"/>
        <v>31.6</v>
      </c>
      <c r="I110" s="28" t="s">
        <v>26</v>
      </c>
      <c r="J110" s="28" t="s">
        <v>118</v>
      </c>
      <c r="K110" t="s">
        <v>92</v>
      </c>
    </row>
    <row r="111" spans="1:11" x14ac:dyDescent="0.35">
      <c r="A111" s="25" t="s">
        <v>110</v>
      </c>
      <c r="B111" s="26">
        <v>1110</v>
      </c>
      <c r="C111">
        <v>8722</v>
      </c>
      <c r="D111" t="s">
        <v>95</v>
      </c>
      <c r="E111" s="2">
        <v>344</v>
      </c>
      <c r="F111" s="2">
        <v>502</v>
      </c>
      <c r="G111" s="2">
        <f t="shared" si="2"/>
        <v>158</v>
      </c>
      <c r="H111" s="2">
        <f t="shared" si="3"/>
        <v>31.6</v>
      </c>
      <c r="I111" s="28" t="s">
        <v>121</v>
      </c>
      <c r="J111" s="28" t="s">
        <v>122</v>
      </c>
      <c r="K111" t="s">
        <v>102</v>
      </c>
    </row>
    <row r="112" spans="1:11" x14ac:dyDescent="0.35">
      <c r="A112" s="25" t="s">
        <v>110</v>
      </c>
      <c r="B112" s="26">
        <v>1111</v>
      </c>
      <c r="C112">
        <v>6622</v>
      </c>
      <c r="D112" t="s">
        <v>106</v>
      </c>
      <c r="E112" s="2">
        <v>42</v>
      </c>
      <c r="F112" s="2">
        <v>77</v>
      </c>
      <c r="G112" s="2">
        <f t="shared" si="2"/>
        <v>35</v>
      </c>
      <c r="H112" s="2">
        <f t="shared" si="3"/>
        <v>7</v>
      </c>
      <c r="I112" s="28" t="s">
        <v>121</v>
      </c>
      <c r="J112" s="28" t="s">
        <v>122</v>
      </c>
      <c r="K112" t="s">
        <v>92</v>
      </c>
    </row>
    <row r="113" spans="1:11" x14ac:dyDescent="0.35">
      <c r="A113" s="25" t="s">
        <v>110</v>
      </c>
      <c r="B113" s="26">
        <v>1112</v>
      </c>
      <c r="C113">
        <v>6622</v>
      </c>
      <c r="D113" t="s">
        <v>106</v>
      </c>
      <c r="E113" s="2">
        <v>42</v>
      </c>
      <c r="F113" s="2">
        <v>77</v>
      </c>
      <c r="G113" s="2">
        <f t="shared" si="2"/>
        <v>35</v>
      </c>
      <c r="H113" s="2">
        <f t="shared" si="3"/>
        <v>7</v>
      </c>
      <c r="I113" s="28" t="s">
        <v>119</v>
      </c>
      <c r="J113" s="28" t="s">
        <v>120</v>
      </c>
      <c r="K113" t="s">
        <v>94</v>
      </c>
    </row>
    <row r="114" spans="1:11" x14ac:dyDescent="0.35">
      <c r="A114" s="25" t="s">
        <v>110</v>
      </c>
      <c r="B114" s="26">
        <v>1113</v>
      </c>
      <c r="C114">
        <v>9822</v>
      </c>
      <c r="D114" t="s">
        <v>89</v>
      </c>
      <c r="E114" s="2">
        <v>58.3</v>
      </c>
      <c r="F114" s="2">
        <v>98.4</v>
      </c>
      <c r="G114" s="2">
        <f t="shared" si="2"/>
        <v>40.100000000000009</v>
      </c>
      <c r="H114" s="2">
        <f t="shared" si="3"/>
        <v>8.0200000000000014</v>
      </c>
      <c r="I114" s="28" t="s">
        <v>116</v>
      </c>
      <c r="J114" s="28" t="s">
        <v>117</v>
      </c>
      <c r="K114" t="s">
        <v>92</v>
      </c>
    </row>
    <row r="115" spans="1:11" x14ac:dyDescent="0.35">
      <c r="A115" s="25" t="s">
        <v>110</v>
      </c>
      <c r="B115" s="26">
        <v>1114</v>
      </c>
      <c r="C115">
        <v>2242</v>
      </c>
      <c r="D115" t="s">
        <v>101</v>
      </c>
      <c r="E115" s="2">
        <v>60</v>
      </c>
      <c r="F115" s="2">
        <v>124</v>
      </c>
      <c r="G115" s="2">
        <f t="shared" si="2"/>
        <v>64</v>
      </c>
      <c r="H115" s="2">
        <f t="shared" si="3"/>
        <v>12.8</v>
      </c>
      <c r="I115" s="28" t="s">
        <v>26</v>
      </c>
      <c r="J115" s="28" t="s">
        <v>118</v>
      </c>
      <c r="K115" t="s">
        <v>94</v>
      </c>
    </row>
    <row r="116" spans="1:11" x14ac:dyDescent="0.35">
      <c r="A116" s="25" t="s">
        <v>110</v>
      </c>
      <c r="B116" s="26">
        <v>1115</v>
      </c>
      <c r="C116">
        <v>8722</v>
      </c>
      <c r="D116" t="s">
        <v>95</v>
      </c>
      <c r="E116" s="2">
        <v>344</v>
      </c>
      <c r="F116" s="2">
        <v>502</v>
      </c>
      <c r="G116" s="2">
        <f t="shared" si="2"/>
        <v>158</v>
      </c>
      <c r="H116" s="2">
        <f t="shared" si="3"/>
        <v>31.6</v>
      </c>
      <c r="I116" s="28" t="s">
        <v>116</v>
      </c>
      <c r="J116" s="28" t="s">
        <v>117</v>
      </c>
      <c r="K116" t="s">
        <v>94</v>
      </c>
    </row>
    <row r="117" spans="1:11" x14ac:dyDescent="0.35">
      <c r="A117" s="25" t="s">
        <v>110</v>
      </c>
      <c r="B117" s="26">
        <v>1116</v>
      </c>
      <c r="C117">
        <v>6622</v>
      </c>
      <c r="D117" t="s">
        <v>106</v>
      </c>
      <c r="E117" s="2">
        <v>42</v>
      </c>
      <c r="F117" s="2">
        <v>77</v>
      </c>
      <c r="G117" s="2">
        <f t="shared" si="2"/>
        <v>35</v>
      </c>
      <c r="H117" s="2">
        <f t="shared" si="3"/>
        <v>7</v>
      </c>
      <c r="I117" s="28" t="s">
        <v>119</v>
      </c>
      <c r="J117" s="28" t="s">
        <v>120</v>
      </c>
      <c r="K117" t="s">
        <v>102</v>
      </c>
    </row>
    <row r="118" spans="1:11" x14ac:dyDescent="0.35">
      <c r="A118" s="25" t="s">
        <v>110</v>
      </c>
      <c r="B118" s="26">
        <v>1117</v>
      </c>
      <c r="C118">
        <v>8722</v>
      </c>
      <c r="D118" t="s">
        <v>95</v>
      </c>
      <c r="E118" s="2">
        <v>344</v>
      </c>
      <c r="F118" s="2">
        <v>502</v>
      </c>
      <c r="G118" s="2">
        <f t="shared" si="2"/>
        <v>158</v>
      </c>
      <c r="H118" s="2">
        <f t="shared" si="3"/>
        <v>31.6</v>
      </c>
      <c r="I118" s="28" t="s">
        <v>121</v>
      </c>
      <c r="J118" s="28" t="s">
        <v>122</v>
      </c>
      <c r="K118" t="s">
        <v>90</v>
      </c>
    </row>
    <row r="119" spans="1:11" x14ac:dyDescent="0.35">
      <c r="A119" s="25" t="s">
        <v>110</v>
      </c>
      <c r="B119" s="26">
        <v>1118</v>
      </c>
      <c r="C119">
        <v>9822</v>
      </c>
      <c r="D119" t="s">
        <v>89</v>
      </c>
      <c r="E119" s="2">
        <v>58.3</v>
      </c>
      <c r="F119" s="2">
        <v>98.4</v>
      </c>
      <c r="G119" s="2">
        <f t="shared" si="2"/>
        <v>40.100000000000009</v>
      </c>
      <c r="H119" s="2">
        <f t="shared" si="3"/>
        <v>8.0200000000000014</v>
      </c>
      <c r="I119" s="28" t="s">
        <v>26</v>
      </c>
      <c r="J119" s="28" t="s">
        <v>118</v>
      </c>
      <c r="K119" t="s">
        <v>92</v>
      </c>
    </row>
    <row r="120" spans="1:11" x14ac:dyDescent="0.35">
      <c r="A120" s="25" t="s">
        <v>110</v>
      </c>
      <c r="B120" s="26">
        <v>1119</v>
      </c>
      <c r="C120">
        <v>2242</v>
      </c>
      <c r="D120" t="s">
        <v>101</v>
      </c>
      <c r="E120" s="2">
        <v>60</v>
      </c>
      <c r="F120" s="2">
        <v>124</v>
      </c>
      <c r="G120" s="2">
        <f t="shared" si="2"/>
        <v>64</v>
      </c>
      <c r="H120" s="2">
        <f t="shared" si="3"/>
        <v>12.8</v>
      </c>
      <c r="I120" s="28" t="s">
        <v>116</v>
      </c>
      <c r="J120" s="28" t="s">
        <v>117</v>
      </c>
      <c r="K120" t="s">
        <v>103</v>
      </c>
    </row>
    <row r="121" spans="1:11" x14ac:dyDescent="0.35">
      <c r="A121" s="25" t="s">
        <v>110</v>
      </c>
      <c r="B121" s="26">
        <v>1120</v>
      </c>
      <c r="C121">
        <v>2242</v>
      </c>
      <c r="D121" t="s">
        <v>101</v>
      </c>
      <c r="E121" s="2">
        <v>60</v>
      </c>
      <c r="F121" s="2">
        <v>124</v>
      </c>
      <c r="G121" s="2">
        <f t="shared" si="2"/>
        <v>64</v>
      </c>
      <c r="H121" s="2">
        <f t="shared" si="3"/>
        <v>12.8</v>
      </c>
      <c r="I121" s="28" t="s">
        <v>119</v>
      </c>
      <c r="J121" s="28" t="s">
        <v>120</v>
      </c>
      <c r="K121" t="s">
        <v>92</v>
      </c>
    </row>
    <row r="122" spans="1:11" x14ac:dyDescent="0.35">
      <c r="A122" s="25" t="s">
        <v>110</v>
      </c>
      <c r="B122" s="26">
        <v>1121</v>
      </c>
      <c r="C122">
        <v>4421</v>
      </c>
      <c r="D122" t="s">
        <v>98</v>
      </c>
      <c r="E122" s="2">
        <v>45</v>
      </c>
      <c r="F122" s="2">
        <v>87</v>
      </c>
      <c r="G122" s="2">
        <f t="shared" si="2"/>
        <v>42</v>
      </c>
      <c r="H122" s="2">
        <f t="shared" si="3"/>
        <v>8.4</v>
      </c>
      <c r="I122" s="28" t="s">
        <v>119</v>
      </c>
      <c r="J122" s="28" t="s">
        <v>120</v>
      </c>
      <c r="K122" t="s">
        <v>102</v>
      </c>
    </row>
    <row r="123" spans="1:11" x14ac:dyDescent="0.35">
      <c r="A123" s="25" t="s">
        <v>110</v>
      </c>
      <c r="B123" s="26">
        <v>1122</v>
      </c>
      <c r="C123">
        <v>8722</v>
      </c>
      <c r="D123" t="s">
        <v>95</v>
      </c>
      <c r="E123" s="2">
        <v>344</v>
      </c>
      <c r="F123" s="2">
        <v>502</v>
      </c>
      <c r="G123" s="2">
        <f t="shared" si="2"/>
        <v>158</v>
      </c>
      <c r="H123" s="2">
        <f t="shared" si="3"/>
        <v>31.6</v>
      </c>
      <c r="I123" s="28" t="s">
        <v>119</v>
      </c>
      <c r="J123" s="28" t="s">
        <v>120</v>
      </c>
      <c r="K123" t="s">
        <v>94</v>
      </c>
    </row>
    <row r="124" spans="1:11" x14ac:dyDescent="0.35">
      <c r="A124" s="25" t="s">
        <v>110</v>
      </c>
      <c r="B124" s="26">
        <v>1123</v>
      </c>
      <c r="C124">
        <v>9822</v>
      </c>
      <c r="D124" t="s">
        <v>89</v>
      </c>
      <c r="E124" s="2">
        <v>58.3</v>
      </c>
      <c r="F124" s="2">
        <v>98.4</v>
      </c>
      <c r="G124" s="2">
        <f t="shared" si="2"/>
        <v>40.100000000000009</v>
      </c>
      <c r="H124" s="2">
        <f t="shared" si="3"/>
        <v>8.0200000000000014</v>
      </c>
      <c r="I124" s="28" t="s">
        <v>119</v>
      </c>
      <c r="J124" s="28" t="s">
        <v>120</v>
      </c>
      <c r="K124" t="s">
        <v>102</v>
      </c>
    </row>
    <row r="125" spans="1:11" x14ac:dyDescent="0.35">
      <c r="A125" s="25" t="s">
        <v>110</v>
      </c>
      <c r="B125" s="26">
        <v>1124</v>
      </c>
      <c r="C125">
        <v>4421</v>
      </c>
      <c r="D125" t="s">
        <v>98</v>
      </c>
      <c r="E125" s="2">
        <v>45</v>
      </c>
      <c r="F125" s="2">
        <v>87</v>
      </c>
      <c r="G125" s="2">
        <f t="shared" si="2"/>
        <v>42</v>
      </c>
      <c r="H125" s="2">
        <f t="shared" si="3"/>
        <v>8.4</v>
      </c>
      <c r="I125" s="28" t="s">
        <v>119</v>
      </c>
      <c r="J125" s="28" t="s">
        <v>120</v>
      </c>
      <c r="K125" t="s">
        <v>94</v>
      </c>
    </row>
    <row r="126" spans="1:11" x14ac:dyDescent="0.35">
      <c r="A126" s="25" t="s">
        <v>111</v>
      </c>
      <c r="B126" s="26">
        <v>1125</v>
      </c>
      <c r="C126">
        <v>2242</v>
      </c>
      <c r="D126" t="s">
        <v>101</v>
      </c>
      <c r="E126" s="2">
        <v>60</v>
      </c>
      <c r="F126" s="2">
        <v>124</v>
      </c>
      <c r="G126" s="2">
        <f t="shared" si="2"/>
        <v>64</v>
      </c>
      <c r="H126" s="2">
        <f t="shared" si="3"/>
        <v>12.8</v>
      </c>
      <c r="I126" s="28" t="s">
        <v>119</v>
      </c>
      <c r="J126" s="28" t="s">
        <v>120</v>
      </c>
      <c r="K126" t="s">
        <v>92</v>
      </c>
    </row>
    <row r="127" spans="1:11" x14ac:dyDescent="0.35">
      <c r="A127" s="25" t="s">
        <v>111</v>
      </c>
      <c r="B127" s="26">
        <v>1126</v>
      </c>
      <c r="C127">
        <v>9212</v>
      </c>
      <c r="D127" t="s">
        <v>99</v>
      </c>
      <c r="E127" s="2">
        <v>4</v>
      </c>
      <c r="F127" s="2">
        <v>7</v>
      </c>
      <c r="G127" s="2">
        <f t="shared" si="2"/>
        <v>3</v>
      </c>
      <c r="H127" s="2">
        <f t="shared" si="3"/>
        <v>0.30000000000000004</v>
      </c>
      <c r="I127" s="28" t="s">
        <v>119</v>
      </c>
      <c r="J127" s="28" t="s">
        <v>120</v>
      </c>
      <c r="K127" t="s">
        <v>90</v>
      </c>
    </row>
    <row r="128" spans="1:11" x14ac:dyDescent="0.35">
      <c r="A128" s="25" t="s">
        <v>111</v>
      </c>
      <c r="B128" s="26">
        <v>1127</v>
      </c>
      <c r="C128">
        <v>8722</v>
      </c>
      <c r="D128" t="s">
        <v>95</v>
      </c>
      <c r="E128" s="2">
        <v>344</v>
      </c>
      <c r="F128" s="2">
        <v>502</v>
      </c>
      <c r="G128" s="2">
        <f t="shared" si="2"/>
        <v>158</v>
      </c>
      <c r="H128" s="2">
        <f t="shared" si="3"/>
        <v>31.6</v>
      </c>
      <c r="I128" s="28" t="s">
        <v>116</v>
      </c>
      <c r="J128" s="28" t="s">
        <v>117</v>
      </c>
      <c r="K128" t="s">
        <v>102</v>
      </c>
    </row>
    <row r="129" spans="1:11" x14ac:dyDescent="0.35">
      <c r="A129" s="25" t="s">
        <v>111</v>
      </c>
      <c r="B129" s="26">
        <v>1128</v>
      </c>
      <c r="C129">
        <v>6622</v>
      </c>
      <c r="D129" t="s">
        <v>106</v>
      </c>
      <c r="E129" s="2">
        <v>42</v>
      </c>
      <c r="F129" s="2">
        <v>77</v>
      </c>
      <c r="G129" s="2">
        <f t="shared" si="2"/>
        <v>35</v>
      </c>
      <c r="H129" s="2">
        <f t="shared" si="3"/>
        <v>7</v>
      </c>
      <c r="I129" s="28" t="s">
        <v>26</v>
      </c>
      <c r="J129" s="28" t="s">
        <v>118</v>
      </c>
      <c r="K129" t="s">
        <v>92</v>
      </c>
    </row>
    <row r="130" spans="1:11" x14ac:dyDescent="0.35">
      <c r="A130" s="25" t="s">
        <v>111</v>
      </c>
      <c r="B130" s="26">
        <v>1129</v>
      </c>
      <c r="C130">
        <v>9822</v>
      </c>
      <c r="D130" t="s">
        <v>89</v>
      </c>
      <c r="E130" s="2">
        <v>58.3</v>
      </c>
      <c r="F130" s="2">
        <v>98.4</v>
      </c>
      <c r="G130" s="2">
        <f t="shared" si="2"/>
        <v>40.100000000000009</v>
      </c>
      <c r="H130" s="2">
        <f t="shared" si="3"/>
        <v>8.0200000000000014</v>
      </c>
      <c r="I130" s="28" t="s">
        <v>121</v>
      </c>
      <c r="J130" s="28" t="s">
        <v>122</v>
      </c>
      <c r="K130" t="s">
        <v>102</v>
      </c>
    </row>
    <row r="131" spans="1:11" x14ac:dyDescent="0.35">
      <c r="A131" s="25" t="s">
        <v>111</v>
      </c>
      <c r="B131" s="26">
        <v>1130</v>
      </c>
      <c r="C131">
        <v>4421</v>
      </c>
      <c r="D131" t="s">
        <v>98</v>
      </c>
      <c r="E131" s="2">
        <v>45</v>
      </c>
      <c r="F131" s="2">
        <v>87</v>
      </c>
      <c r="G131" s="2">
        <f t="shared" ref="G131:G172" si="4">F131-E131</f>
        <v>42</v>
      </c>
      <c r="H131" s="2">
        <f t="shared" ref="H131:H172" si="5">IF(F131&lt;50,G131*10%,G131*20%)</f>
        <v>8.4</v>
      </c>
      <c r="I131" s="28" t="s">
        <v>121</v>
      </c>
      <c r="J131" s="28" t="s">
        <v>122</v>
      </c>
      <c r="K131" t="s">
        <v>92</v>
      </c>
    </row>
    <row r="132" spans="1:11" x14ac:dyDescent="0.35">
      <c r="A132" s="25" t="s">
        <v>111</v>
      </c>
      <c r="B132" s="26">
        <v>1131</v>
      </c>
      <c r="C132">
        <v>9212</v>
      </c>
      <c r="D132" t="s">
        <v>99</v>
      </c>
      <c r="E132" s="2">
        <v>4</v>
      </c>
      <c r="F132" s="2">
        <v>7</v>
      </c>
      <c r="G132" s="2">
        <f t="shared" si="4"/>
        <v>3</v>
      </c>
      <c r="H132" s="2">
        <f t="shared" si="5"/>
        <v>0.30000000000000004</v>
      </c>
      <c r="I132" s="28" t="s">
        <v>121</v>
      </c>
      <c r="J132" s="28" t="s">
        <v>122</v>
      </c>
      <c r="K132" t="s">
        <v>94</v>
      </c>
    </row>
    <row r="133" spans="1:11" x14ac:dyDescent="0.35">
      <c r="A133" s="25" t="s">
        <v>111</v>
      </c>
      <c r="B133" s="26">
        <v>1132</v>
      </c>
      <c r="C133">
        <v>9212</v>
      </c>
      <c r="D133" t="s">
        <v>99</v>
      </c>
      <c r="E133" s="2">
        <v>4</v>
      </c>
      <c r="F133" s="2">
        <v>7</v>
      </c>
      <c r="G133" s="2">
        <f t="shared" si="4"/>
        <v>3</v>
      </c>
      <c r="H133" s="2">
        <f t="shared" si="5"/>
        <v>0.30000000000000004</v>
      </c>
      <c r="I133" s="28" t="s">
        <v>121</v>
      </c>
      <c r="J133" s="28" t="s">
        <v>122</v>
      </c>
      <c r="K133" t="s">
        <v>92</v>
      </c>
    </row>
    <row r="134" spans="1:11" x14ac:dyDescent="0.35">
      <c r="A134" s="25" t="s">
        <v>111</v>
      </c>
      <c r="B134" s="26">
        <v>1133</v>
      </c>
      <c r="C134">
        <v>9822</v>
      </c>
      <c r="D134" t="s">
        <v>89</v>
      </c>
      <c r="E134" s="2">
        <v>58.3</v>
      </c>
      <c r="F134" s="2">
        <v>98.4</v>
      </c>
      <c r="G134" s="2">
        <f t="shared" si="4"/>
        <v>40.100000000000009</v>
      </c>
      <c r="H134" s="2">
        <f t="shared" si="5"/>
        <v>8.0200000000000014</v>
      </c>
      <c r="I134" s="28" t="s">
        <v>116</v>
      </c>
      <c r="J134" s="28" t="s">
        <v>117</v>
      </c>
      <c r="K134" t="s">
        <v>94</v>
      </c>
    </row>
    <row r="135" spans="1:11" x14ac:dyDescent="0.35">
      <c r="A135" s="25" t="s">
        <v>111</v>
      </c>
      <c r="B135" s="26">
        <v>1134</v>
      </c>
      <c r="C135">
        <v>9822</v>
      </c>
      <c r="D135" t="s">
        <v>89</v>
      </c>
      <c r="E135" s="2">
        <v>58.3</v>
      </c>
      <c r="F135" s="2">
        <v>98.4</v>
      </c>
      <c r="G135" s="2">
        <f t="shared" si="4"/>
        <v>40.100000000000009</v>
      </c>
      <c r="H135" s="2">
        <f t="shared" si="5"/>
        <v>8.0200000000000014</v>
      </c>
      <c r="I135" s="28" t="s">
        <v>119</v>
      </c>
      <c r="J135" s="28" t="s">
        <v>120</v>
      </c>
      <c r="K135" t="s">
        <v>94</v>
      </c>
    </row>
    <row r="136" spans="1:11" x14ac:dyDescent="0.35">
      <c r="A136" s="25" t="s">
        <v>111</v>
      </c>
      <c r="B136" s="26">
        <v>1135</v>
      </c>
      <c r="C136">
        <v>8722</v>
      </c>
      <c r="D136" t="s">
        <v>95</v>
      </c>
      <c r="E136" s="2">
        <v>344</v>
      </c>
      <c r="F136" s="2">
        <v>502</v>
      </c>
      <c r="G136" s="2">
        <f t="shared" si="4"/>
        <v>158</v>
      </c>
      <c r="H136" s="2">
        <f t="shared" si="5"/>
        <v>31.6</v>
      </c>
      <c r="I136" s="28" t="s">
        <v>116</v>
      </c>
      <c r="J136" s="28" t="s">
        <v>117</v>
      </c>
      <c r="K136" t="s">
        <v>102</v>
      </c>
    </row>
    <row r="137" spans="1:11" x14ac:dyDescent="0.35">
      <c r="A137" s="25" t="s">
        <v>111</v>
      </c>
      <c r="B137" s="26">
        <v>1136</v>
      </c>
      <c r="C137">
        <v>2242</v>
      </c>
      <c r="D137" t="s">
        <v>101</v>
      </c>
      <c r="E137" s="2">
        <v>60</v>
      </c>
      <c r="F137" s="2">
        <v>124</v>
      </c>
      <c r="G137" s="2">
        <f t="shared" si="4"/>
        <v>64</v>
      </c>
      <c r="H137" s="2">
        <f t="shared" si="5"/>
        <v>12.8</v>
      </c>
      <c r="I137" s="28" t="s">
        <v>119</v>
      </c>
      <c r="J137" s="28" t="s">
        <v>120</v>
      </c>
      <c r="K137" t="s">
        <v>90</v>
      </c>
    </row>
    <row r="138" spans="1:11" x14ac:dyDescent="0.35">
      <c r="A138" s="25" t="s">
        <v>111</v>
      </c>
      <c r="B138" s="26">
        <v>1137</v>
      </c>
      <c r="C138">
        <v>9822</v>
      </c>
      <c r="D138" t="s">
        <v>89</v>
      </c>
      <c r="E138" s="2">
        <v>58.3</v>
      </c>
      <c r="F138" s="2">
        <v>98.4</v>
      </c>
      <c r="G138" s="2">
        <f t="shared" si="4"/>
        <v>40.100000000000009</v>
      </c>
      <c r="H138" s="2">
        <f t="shared" si="5"/>
        <v>8.0200000000000014</v>
      </c>
      <c r="I138" s="28" t="s">
        <v>26</v>
      </c>
      <c r="J138" s="28" t="s">
        <v>118</v>
      </c>
      <c r="K138" t="s">
        <v>92</v>
      </c>
    </row>
    <row r="139" spans="1:11" x14ac:dyDescent="0.35">
      <c r="A139" s="25" t="s">
        <v>111</v>
      </c>
      <c r="B139" s="26">
        <v>1138</v>
      </c>
      <c r="C139">
        <v>8722</v>
      </c>
      <c r="D139" t="s">
        <v>95</v>
      </c>
      <c r="E139" s="2">
        <v>344</v>
      </c>
      <c r="F139" s="2">
        <v>502</v>
      </c>
      <c r="G139" s="2">
        <f t="shared" si="4"/>
        <v>158</v>
      </c>
      <c r="H139" s="2">
        <f t="shared" si="5"/>
        <v>31.6</v>
      </c>
      <c r="I139" s="28" t="s">
        <v>116</v>
      </c>
      <c r="J139" s="28" t="s">
        <v>117</v>
      </c>
      <c r="K139" t="s">
        <v>103</v>
      </c>
    </row>
    <row r="140" spans="1:11" x14ac:dyDescent="0.35">
      <c r="A140" s="25" t="s">
        <v>111</v>
      </c>
      <c r="B140" s="26">
        <v>1139</v>
      </c>
      <c r="C140">
        <v>4421</v>
      </c>
      <c r="D140" t="s">
        <v>98</v>
      </c>
      <c r="E140" s="2">
        <v>45</v>
      </c>
      <c r="F140" s="2">
        <v>87</v>
      </c>
      <c r="G140" s="2">
        <f t="shared" si="4"/>
        <v>42</v>
      </c>
      <c r="H140" s="2">
        <f t="shared" si="5"/>
        <v>8.4</v>
      </c>
      <c r="I140" s="28" t="s">
        <v>119</v>
      </c>
      <c r="J140" s="28" t="s">
        <v>120</v>
      </c>
      <c r="K140" t="s">
        <v>92</v>
      </c>
    </row>
    <row r="141" spans="1:11" x14ac:dyDescent="0.35">
      <c r="A141" s="25" t="s">
        <v>111</v>
      </c>
      <c r="B141" s="26">
        <v>1140</v>
      </c>
      <c r="C141">
        <v>4421</v>
      </c>
      <c r="D141" t="s">
        <v>98</v>
      </c>
      <c r="E141" s="2">
        <v>45</v>
      </c>
      <c r="F141" s="2">
        <v>87</v>
      </c>
      <c r="G141" s="2">
        <f t="shared" si="4"/>
        <v>42</v>
      </c>
      <c r="H141" s="2">
        <f t="shared" si="5"/>
        <v>8.4</v>
      </c>
      <c r="I141" s="28" t="s">
        <v>26</v>
      </c>
      <c r="J141" s="28" t="s">
        <v>118</v>
      </c>
      <c r="K141" t="s">
        <v>102</v>
      </c>
    </row>
    <row r="142" spans="1:11" x14ac:dyDescent="0.35">
      <c r="A142" s="25" t="s">
        <v>111</v>
      </c>
      <c r="B142" s="26">
        <v>1141</v>
      </c>
      <c r="C142">
        <v>9212</v>
      </c>
      <c r="D142" t="s">
        <v>99</v>
      </c>
      <c r="E142" s="2">
        <v>4</v>
      </c>
      <c r="F142" s="2">
        <v>7</v>
      </c>
      <c r="G142" s="2">
        <f t="shared" si="4"/>
        <v>3</v>
      </c>
      <c r="H142" s="2">
        <f t="shared" si="5"/>
        <v>0.30000000000000004</v>
      </c>
      <c r="I142" s="28" t="s">
        <v>26</v>
      </c>
      <c r="J142" s="28" t="s">
        <v>118</v>
      </c>
      <c r="K142" t="s">
        <v>94</v>
      </c>
    </row>
    <row r="143" spans="1:11" x14ac:dyDescent="0.35">
      <c r="A143" s="25" t="s">
        <v>112</v>
      </c>
      <c r="B143" s="26">
        <v>1142</v>
      </c>
      <c r="C143">
        <v>2242</v>
      </c>
      <c r="D143" t="s">
        <v>101</v>
      </c>
      <c r="E143" s="2">
        <v>60</v>
      </c>
      <c r="F143" s="2">
        <v>124</v>
      </c>
      <c r="G143" s="2">
        <f t="shared" si="4"/>
        <v>64</v>
      </c>
      <c r="H143" s="2">
        <f t="shared" si="5"/>
        <v>12.8</v>
      </c>
      <c r="I143" s="28" t="s">
        <v>26</v>
      </c>
      <c r="J143" s="28" t="s">
        <v>118</v>
      </c>
      <c r="K143" t="s">
        <v>102</v>
      </c>
    </row>
    <row r="144" spans="1:11" x14ac:dyDescent="0.35">
      <c r="A144" s="25" t="s">
        <v>112</v>
      </c>
      <c r="B144" s="26">
        <v>1143</v>
      </c>
      <c r="C144">
        <v>9822</v>
      </c>
      <c r="D144" t="s">
        <v>89</v>
      </c>
      <c r="E144" s="2">
        <v>58.3</v>
      </c>
      <c r="F144" s="2">
        <v>98.4</v>
      </c>
      <c r="G144" s="2">
        <f t="shared" si="4"/>
        <v>40.100000000000009</v>
      </c>
      <c r="H144" s="2">
        <f t="shared" si="5"/>
        <v>8.0200000000000014</v>
      </c>
      <c r="I144" s="28" t="s">
        <v>121</v>
      </c>
      <c r="J144" s="28" t="s">
        <v>122</v>
      </c>
      <c r="K144" t="s">
        <v>94</v>
      </c>
    </row>
    <row r="145" spans="1:11" x14ac:dyDescent="0.35">
      <c r="A145" s="25" t="s">
        <v>112</v>
      </c>
      <c r="B145" s="26">
        <v>1144</v>
      </c>
      <c r="C145">
        <v>2242</v>
      </c>
      <c r="D145" t="s">
        <v>101</v>
      </c>
      <c r="E145" s="2">
        <v>60</v>
      </c>
      <c r="F145" s="2">
        <v>124</v>
      </c>
      <c r="G145" s="2">
        <f t="shared" si="4"/>
        <v>64</v>
      </c>
      <c r="H145" s="2">
        <f t="shared" si="5"/>
        <v>12.8</v>
      </c>
      <c r="I145" s="28" t="s">
        <v>121</v>
      </c>
      <c r="J145" s="28" t="s">
        <v>122</v>
      </c>
      <c r="K145" t="s">
        <v>92</v>
      </c>
    </row>
    <row r="146" spans="1:11" x14ac:dyDescent="0.35">
      <c r="A146" s="25" t="s">
        <v>112</v>
      </c>
      <c r="B146" s="26">
        <v>1145</v>
      </c>
      <c r="C146">
        <v>4421</v>
      </c>
      <c r="D146" t="s">
        <v>98</v>
      </c>
      <c r="E146" s="2">
        <v>45</v>
      </c>
      <c r="F146" s="2">
        <v>87</v>
      </c>
      <c r="G146" s="2">
        <f t="shared" si="4"/>
        <v>42</v>
      </c>
      <c r="H146" s="2">
        <f t="shared" si="5"/>
        <v>8.4</v>
      </c>
      <c r="I146" s="28" t="s">
        <v>121</v>
      </c>
      <c r="J146" s="28" t="s">
        <v>122</v>
      </c>
      <c r="K146" t="s">
        <v>90</v>
      </c>
    </row>
    <row r="147" spans="1:11" x14ac:dyDescent="0.35">
      <c r="A147" s="25" t="s">
        <v>112</v>
      </c>
      <c r="B147" s="26">
        <v>1146</v>
      </c>
      <c r="C147">
        <v>8722</v>
      </c>
      <c r="D147" t="s">
        <v>95</v>
      </c>
      <c r="E147" s="2">
        <v>344</v>
      </c>
      <c r="F147" s="2">
        <v>502</v>
      </c>
      <c r="G147" s="2">
        <f t="shared" si="4"/>
        <v>158</v>
      </c>
      <c r="H147" s="2">
        <f t="shared" si="5"/>
        <v>31.6</v>
      </c>
      <c r="I147" s="28" t="s">
        <v>121</v>
      </c>
      <c r="J147" s="28" t="s">
        <v>122</v>
      </c>
      <c r="K147" t="s">
        <v>102</v>
      </c>
    </row>
    <row r="148" spans="1:11" x14ac:dyDescent="0.35">
      <c r="A148" s="25" t="s">
        <v>112</v>
      </c>
      <c r="B148" s="26">
        <v>1147</v>
      </c>
      <c r="C148">
        <v>9822</v>
      </c>
      <c r="D148" t="s">
        <v>89</v>
      </c>
      <c r="E148" s="2">
        <v>58.3</v>
      </c>
      <c r="F148" s="2">
        <v>98.4</v>
      </c>
      <c r="G148" s="2">
        <f t="shared" si="4"/>
        <v>40.100000000000009</v>
      </c>
      <c r="H148" s="2">
        <f t="shared" si="5"/>
        <v>8.0200000000000014</v>
      </c>
      <c r="I148" s="28" t="s">
        <v>116</v>
      </c>
      <c r="J148" s="28" t="s">
        <v>117</v>
      </c>
      <c r="K148" t="s">
        <v>92</v>
      </c>
    </row>
    <row r="149" spans="1:11" x14ac:dyDescent="0.35">
      <c r="A149" s="25" t="s">
        <v>112</v>
      </c>
      <c r="B149" s="26">
        <v>1148</v>
      </c>
      <c r="C149">
        <v>9212</v>
      </c>
      <c r="D149" t="s">
        <v>99</v>
      </c>
      <c r="E149" s="2">
        <v>4</v>
      </c>
      <c r="F149" s="2">
        <v>7</v>
      </c>
      <c r="G149" s="2">
        <f t="shared" si="4"/>
        <v>3</v>
      </c>
      <c r="H149" s="2">
        <f t="shared" si="5"/>
        <v>0.30000000000000004</v>
      </c>
      <c r="I149" s="28" t="s">
        <v>119</v>
      </c>
      <c r="J149" s="28" t="s">
        <v>120</v>
      </c>
      <c r="K149" t="s">
        <v>94</v>
      </c>
    </row>
    <row r="150" spans="1:11" x14ac:dyDescent="0.35">
      <c r="A150" s="25" t="s">
        <v>112</v>
      </c>
      <c r="B150" s="26">
        <v>1149</v>
      </c>
      <c r="C150">
        <v>8722</v>
      </c>
      <c r="D150" t="s">
        <v>95</v>
      </c>
      <c r="E150" s="2">
        <v>344</v>
      </c>
      <c r="F150" s="2">
        <v>502</v>
      </c>
      <c r="G150" s="2">
        <f t="shared" si="4"/>
        <v>158</v>
      </c>
      <c r="H150" s="2">
        <f t="shared" si="5"/>
        <v>31.6</v>
      </c>
      <c r="I150" s="28" t="s">
        <v>116</v>
      </c>
      <c r="J150" s="28" t="s">
        <v>117</v>
      </c>
      <c r="K150" t="s">
        <v>94</v>
      </c>
    </row>
    <row r="151" spans="1:11" x14ac:dyDescent="0.35">
      <c r="A151" s="25" t="s">
        <v>113</v>
      </c>
      <c r="B151" s="26">
        <v>1150</v>
      </c>
      <c r="C151">
        <v>2242</v>
      </c>
      <c r="D151" t="s">
        <v>101</v>
      </c>
      <c r="E151" s="2">
        <v>60</v>
      </c>
      <c r="F151" s="2">
        <v>124</v>
      </c>
      <c r="G151" s="2">
        <f t="shared" si="4"/>
        <v>64</v>
      </c>
      <c r="H151" s="2">
        <f t="shared" si="5"/>
        <v>12.8</v>
      </c>
      <c r="I151" s="28" t="s">
        <v>119</v>
      </c>
      <c r="J151" s="28" t="s">
        <v>120</v>
      </c>
      <c r="K151" t="s">
        <v>103</v>
      </c>
    </row>
    <row r="152" spans="1:11" x14ac:dyDescent="0.35">
      <c r="A152" s="25" t="s">
        <v>113</v>
      </c>
      <c r="B152" s="26">
        <v>1151</v>
      </c>
      <c r="C152">
        <v>2242</v>
      </c>
      <c r="D152" t="s">
        <v>101</v>
      </c>
      <c r="E152" s="2">
        <v>60</v>
      </c>
      <c r="F152" s="2">
        <v>124</v>
      </c>
      <c r="G152" s="2">
        <f t="shared" si="4"/>
        <v>64</v>
      </c>
      <c r="H152" s="2">
        <f t="shared" si="5"/>
        <v>12.8</v>
      </c>
      <c r="I152" s="28" t="s">
        <v>26</v>
      </c>
      <c r="J152" s="28" t="s">
        <v>118</v>
      </c>
      <c r="K152" t="s">
        <v>92</v>
      </c>
    </row>
    <row r="153" spans="1:11" x14ac:dyDescent="0.35">
      <c r="A153" s="25" t="s">
        <v>113</v>
      </c>
      <c r="B153" s="26">
        <v>1152</v>
      </c>
      <c r="C153">
        <v>4421</v>
      </c>
      <c r="D153" t="s">
        <v>98</v>
      </c>
      <c r="E153" s="2">
        <v>45</v>
      </c>
      <c r="F153" s="2">
        <v>87</v>
      </c>
      <c r="G153" s="2">
        <f t="shared" si="4"/>
        <v>42</v>
      </c>
      <c r="H153" s="2">
        <f t="shared" si="5"/>
        <v>8.4</v>
      </c>
      <c r="I153" s="28" t="s">
        <v>116</v>
      </c>
      <c r="J153" s="28" t="s">
        <v>117</v>
      </c>
      <c r="K153" t="s">
        <v>102</v>
      </c>
    </row>
    <row r="154" spans="1:11" x14ac:dyDescent="0.35">
      <c r="A154" s="25" t="s">
        <v>113</v>
      </c>
      <c r="B154" s="26">
        <v>1153</v>
      </c>
      <c r="C154">
        <v>8722</v>
      </c>
      <c r="D154" t="s">
        <v>95</v>
      </c>
      <c r="E154" s="2">
        <v>344</v>
      </c>
      <c r="F154" s="2">
        <v>502</v>
      </c>
      <c r="G154" s="2">
        <f t="shared" si="4"/>
        <v>158</v>
      </c>
      <c r="H154" s="2">
        <f t="shared" si="5"/>
        <v>31.6</v>
      </c>
      <c r="I154" s="28" t="s">
        <v>119</v>
      </c>
      <c r="J154" s="28" t="s">
        <v>120</v>
      </c>
      <c r="K154" t="s">
        <v>94</v>
      </c>
    </row>
    <row r="155" spans="1:11" x14ac:dyDescent="0.35">
      <c r="A155" s="25" t="s">
        <v>113</v>
      </c>
      <c r="B155" s="26">
        <v>1154</v>
      </c>
      <c r="C155">
        <v>9822</v>
      </c>
      <c r="D155" t="s">
        <v>89</v>
      </c>
      <c r="E155" s="2">
        <v>58.3</v>
      </c>
      <c r="F155" s="2">
        <v>98.4</v>
      </c>
      <c r="G155" s="2">
        <f t="shared" si="4"/>
        <v>40.100000000000009</v>
      </c>
      <c r="H155" s="2">
        <f t="shared" si="5"/>
        <v>8.0200000000000014</v>
      </c>
      <c r="I155" s="28" t="s">
        <v>26</v>
      </c>
      <c r="J155" s="28" t="s">
        <v>118</v>
      </c>
      <c r="K155" t="s">
        <v>102</v>
      </c>
    </row>
    <row r="156" spans="1:11" x14ac:dyDescent="0.35">
      <c r="A156" s="25" t="s">
        <v>113</v>
      </c>
      <c r="B156" s="26">
        <v>1155</v>
      </c>
      <c r="C156">
        <v>4421</v>
      </c>
      <c r="D156" t="s">
        <v>98</v>
      </c>
      <c r="E156" s="2">
        <v>45</v>
      </c>
      <c r="F156" s="2">
        <v>87</v>
      </c>
      <c r="G156" s="2">
        <f t="shared" si="4"/>
        <v>42</v>
      </c>
      <c r="H156" s="2">
        <f t="shared" si="5"/>
        <v>8.4</v>
      </c>
      <c r="I156" s="28" t="s">
        <v>119</v>
      </c>
      <c r="J156" s="28" t="s">
        <v>120</v>
      </c>
      <c r="K156" t="s">
        <v>94</v>
      </c>
    </row>
    <row r="157" spans="1:11" x14ac:dyDescent="0.35">
      <c r="A157" s="25" t="s">
        <v>113</v>
      </c>
      <c r="B157" s="26">
        <v>1156</v>
      </c>
      <c r="C157">
        <v>2242</v>
      </c>
      <c r="D157" t="s">
        <v>101</v>
      </c>
      <c r="E157" s="2">
        <v>60</v>
      </c>
      <c r="F157" s="2">
        <v>124</v>
      </c>
      <c r="G157" s="2">
        <f t="shared" si="4"/>
        <v>64</v>
      </c>
      <c r="H157" s="2">
        <f t="shared" si="5"/>
        <v>12.8</v>
      </c>
      <c r="I157" s="28" t="s">
        <v>119</v>
      </c>
      <c r="J157" s="28" t="s">
        <v>120</v>
      </c>
      <c r="K157" t="s">
        <v>92</v>
      </c>
    </row>
    <row r="158" spans="1:11" x14ac:dyDescent="0.35">
      <c r="A158" s="25" t="s">
        <v>113</v>
      </c>
      <c r="B158" s="26">
        <v>1157</v>
      </c>
      <c r="C158">
        <v>9212</v>
      </c>
      <c r="D158" t="s">
        <v>99</v>
      </c>
      <c r="E158" s="2">
        <v>4</v>
      </c>
      <c r="F158" s="2">
        <v>7</v>
      </c>
      <c r="G158" s="2">
        <f t="shared" si="4"/>
        <v>3</v>
      </c>
      <c r="H158" s="2">
        <f t="shared" si="5"/>
        <v>0.30000000000000004</v>
      </c>
      <c r="I158" s="28" t="s">
        <v>119</v>
      </c>
      <c r="J158" s="28" t="s">
        <v>120</v>
      </c>
      <c r="K158" t="s">
        <v>90</v>
      </c>
    </row>
    <row r="159" spans="1:11" x14ac:dyDescent="0.35">
      <c r="A159" s="25" t="s">
        <v>114</v>
      </c>
      <c r="B159" s="26">
        <v>1158</v>
      </c>
      <c r="C159">
        <v>8722</v>
      </c>
      <c r="D159" t="s">
        <v>95</v>
      </c>
      <c r="E159" s="2">
        <v>344</v>
      </c>
      <c r="F159" s="2">
        <v>502</v>
      </c>
      <c r="G159" s="2">
        <f t="shared" si="4"/>
        <v>158</v>
      </c>
      <c r="H159" s="2">
        <f t="shared" si="5"/>
        <v>31.6</v>
      </c>
      <c r="I159" s="28" t="s">
        <v>116</v>
      </c>
      <c r="J159" s="28" t="s">
        <v>117</v>
      </c>
      <c r="K159" t="s">
        <v>102</v>
      </c>
    </row>
    <row r="160" spans="1:11" x14ac:dyDescent="0.35">
      <c r="A160" s="25" t="s">
        <v>114</v>
      </c>
      <c r="B160" s="26">
        <v>1159</v>
      </c>
      <c r="C160">
        <v>6622</v>
      </c>
      <c r="D160" t="s">
        <v>106</v>
      </c>
      <c r="E160" s="2">
        <v>42</v>
      </c>
      <c r="F160" s="2">
        <v>77</v>
      </c>
      <c r="G160" s="2">
        <f t="shared" si="4"/>
        <v>35</v>
      </c>
      <c r="H160" s="2">
        <f t="shared" si="5"/>
        <v>7</v>
      </c>
      <c r="I160" s="28" t="s">
        <v>119</v>
      </c>
      <c r="J160" s="28" t="s">
        <v>120</v>
      </c>
      <c r="K160" t="s">
        <v>92</v>
      </c>
    </row>
    <row r="161" spans="1:11" x14ac:dyDescent="0.35">
      <c r="A161" s="25" t="s">
        <v>114</v>
      </c>
      <c r="B161" s="26">
        <v>1160</v>
      </c>
      <c r="C161">
        <v>9822</v>
      </c>
      <c r="D161" t="s">
        <v>89</v>
      </c>
      <c r="E161" s="2">
        <v>58.3</v>
      </c>
      <c r="F161" s="2">
        <v>98.4</v>
      </c>
      <c r="G161" s="2">
        <f t="shared" si="4"/>
        <v>40.100000000000009</v>
      </c>
      <c r="H161" s="2">
        <f t="shared" si="5"/>
        <v>8.0200000000000014</v>
      </c>
      <c r="I161" s="28" t="s">
        <v>121</v>
      </c>
      <c r="J161" s="28" t="s">
        <v>122</v>
      </c>
      <c r="K161" t="s">
        <v>102</v>
      </c>
    </row>
    <row r="162" spans="1:11" x14ac:dyDescent="0.35">
      <c r="A162" s="25" t="s">
        <v>114</v>
      </c>
      <c r="B162" s="26">
        <v>1161</v>
      </c>
      <c r="C162">
        <v>4421</v>
      </c>
      <c r="D162" t="s">
        <v>98</v>
      </c>
      <c r="E162" s="2">
        <v>45</v>
      </c>
      <c r="F162" s="2">
        <v>87</v>
      </c>
      <c r="G162" s="2">
        <f t="shared" si="4"/>
        <v>42</v>
      </c>
      <c r="H162" s="2">
        <f t="shared" si="5"/>
        <v>8.4</v>
      </c>
      <c r="I162" s="28" t="s">
        <v>26</v>
      </c>
      <c r="J162" s="28" t="s">
        <v>118</v>
      </c>
      <c r="K162" t="s">
        <v>92</v>
      </c>
    </row>
    <row r="163" spans="1:11" x14ac:dyDescent="0.35">
      <c r="A163" s="25" t="s">
        <v>114</v>
      </c>
      <c r="B163" s="26">
        <v>1162</v>
      </c>
      <c r="C163">
        <v>9212</v>
      </c>
      <c r="D163" t="s">
        <v>99</v>
      </c>
      <c r="E163" s="2">
        <v>4</v>
      </c>
      <c r="F163" s="2">
        <v>7</v>
      </c>
      <c r="G163" s="2">
        <f t="shared" si="4"/>
        <v>3</v>
      </c>
      <c r="H163" s="2">
        <f t="shared" si="5"/>
        <v>0.30000000000000004</v>
      </c>
      <c r="I163" s="28" t="s">
        <v>116</v>
      </c>
      <c r="J163" s="28" t="s">
        <v>117</v>
      </c>
      <c r="K163" t="s">
        <v>94</v>
      </c>
    </row>
    <row r="164" spans="1:11" x14ac:dyDescent="0.35">
      <c r="A164" s="25" t="s">
        <v>114</v>
      </c>
      <c r="B164" s="26">
        <v>1163</v>
      </c>
      <c r="C164">
        <v>9212</v>
      </c>
      <c r="D164" t="s">
        <v>99</v>
      </c>
      <c r="E164" s="2">
        <v>4</v>
      </c>
      <c r="F164" s="2">
        <v>7</v>
      </c>
      <c r="G164" s="2">
        <f t="shared" si="4"/>
        <v>3</v>
      </c>
      <c r="H164" s="2">
        <f t="shared" si="5"/>
        <v>0.30000000000000004</v>
      </c>
      <c r="I164" s="28" t="s">
        <v>119</v>
      </c>
      <c r="J164" s="28" t="s">
        <v>120</v>
      </c>
      <c r="K164" t="s">
        <v>92</v>
      </c>
    </row>
    <row r="165" spans="1:11" x14ac:dyDescent="0.35">
      <c r="A165" s="25" t="s">
        <v>114</v>
      </c>
      <c r="B165" s="26">
        <v>1164</v>
      </c>
      <c r="C165">
        <v>9822</v>
      </c>
      <c r="D165" t="s">
        <v>89</v>
      </c>
      <c r="E165" s="2">
        <v>58.3</v>
      </c>
      <c r="F165" s="2">
        <v>98.4</v>
      </c>
      <c r="G165" s="2">
        <f t="shared" si="4"/>
        <v>40.100000000000009</v>
      </c>
      <c r="H165" s="2">
        <f t="shared" si="5"/>
        <v>8.0200000000000014</v>
      </c>
      <c r="I165" s="28" t="s">
        <v>119</v>
      </c>
      <c r="J165" s="28" t="s">
        <v>120</v>
      </c>
      <c r="K165" t="s">
        <v>94</v>
      </c>
    </row>
    <row r="166" spans="1:11" x14ac:dyDescent="0.35">
      <c r="A166" s="25" t="s">
        <v>114</v>
      </c>
      <c r="B166" s="26">
        <v>1165</v>
      </c>
      <c r="C166">
        <v>9822</v>
      </c>
      <c r="D166" t="s">
        <v>89</v>
      </c>
      <c r="E166" s="2">
        <v>58.3</v>
      </c>
      <c r="F166" s="2">
        <v>98.4</v>
      </c>
      <c r="G166" s="2">
        <f t="shared" si="4"/>
        <v>40.100000000000009</v>
      </c>
      <c r="H166" s="2">
        <f t="shared" si="5"/>
        <v>8.0200000000000014</v>
      </c>
      <c r="I166" s="28" t="s">
        <v>119</v>
      </c>
      <c r="J166" s="28" t="s">
        <v>120</v>
      </c>
      <c r="K166" t="s">
        <v>94</v>
      </c>
    </row>
    <row r="167" spans="1:11" x14ac:dyDescent="0.35">
      <c r="A167" s="25" t="s">
        <v>114</v>
      </c>
      <c r="B167" s="26">
        <v>1166</v>
      </c>
      <c r="C167">
        <v>8722</v>
      </c>
      <c r="D167" t="s">
        <v>95</v>
      </c>
      <c r="E167" s="2">
        <v>344</v>
      </c>
      <c r="F167" s="2">
        <v>502</v>
      </c>
      <c r="G167" s="2">
        <f t="shared" si="4"/>
        <v>158</v>
      </c>
      <c r="H167" s="2">
        <f t="shared" si="5"/>
        <v>31.6</v>
      </c>
      <c r="I167" s="28" t="s">
        <v>119</v>
      </c>
      <c r="J167" s="28" t="s">
        <v>120</v>
      </c>
      <c r="K167" t="s">
        <v>102</v>
      </c>
    </row>
    <row r="168" spans="1:11" x14ac:dyDescent="0.35">
      <c r="A168" s="25" t="s">
        <v>115</v>
      </c>
      <c r="B168" s="26">
        <v>1167</v>
      </c>
      <c r="C168">
        <v>2242</v>
      </c>
      <c r="D168" t="s">
        <v>101</v>
      </c>
      <c r="E168" s="2">
        <v>60</v>
      </c>
      <c r="F168" s="2">
        <v>124</v>
      </c>
      <c r="G168" s="2">
        <f t="shared" si="4"/>
        <v>64</v>
      </c>
      <c r="H168" s="2">
        <f t="shared" si="5"/>
        <v>12.8</v>
      </c>
      <c r="I168" s="28" t="s">
        <v>119</v>
      </c>
      <c r="J168" s="28" t="s">
        <v>120</v>
      </c>
      <c r="K168" t="s">
        <v>90</v>
      </c>
    </row>
    <row r="169" spans="1:11" x14ac:dyDescent="0.35">
      <c r="A169" s="25" t="s">
        <v>115</v>
      </c>
      <c r="B169" s="26">
        <v>1168</v>
      </c>
      <c r="C169">
        <v>9822</v>
      </c>
      <c r="D169" t="s">
        <v>89</v>
      </c>
      <c r="E169" s="2">
        <v>58.3</v>
      </c>
      <c r="F169" s="2">
        <v>98.4</v>
      </c>
      <c r="G169" s="2">
        <f t="shared" si="4"/>
        <v>40.100000000000009</v>
      </c>
      <c r="H169" s="2">
        <f t="shared" si="5"/>
        <v>8.0200000000000014</v>
      </c>
      <c r="I169" s="28" t="s">
        <v>119</v>
      </c>
      <c r="J169" s="28" t="s">
        <v>120</v>
      </c>
      <c r="K169" t="s">
        <v>92</v>
      </c>
    </row>
    <row r="170" spans="1:11" x14ac:dyDescent="0.35">
      <c r="A170" s="25" t="s">
        <v>115</v>
      </c>
      <c r="B170" s="26">
        <v>1169</v>
      </c>
      <c r="C170">
        <v>8722</v>
      </c>
      <c r="D170" t="s">
        <v>95</v>
      </c>
      <c r="E170" s="2">
        <v>344</v>
      </c>
      <c r="F170" s="2">
        <v>502</v>
      </c>
      <c r="G170" s="2">
        <f t="shared" si="4"/>
        <v>158</v>
      </c>
      <c r="H170" s="2">
        <f t="shared" si="5"/>
        <v>31.6</v>
      </c>
      <c r="I170" s="28" t="s">
        <v>119</v>
      </c>
      <c r="J170" s="28" t="s">
        <v>120</v>
      </c>
      <c r="K170" t="s">
        <v>103</v>
      </c>
    </row>
    <row r="171" spans="1:11" x14ac:dyDescent="0.35">
      <c r="A171" s="25" t="s">
        <v>115</v>
      </c>
      <c r="B171" s="26">
        <v>1170</v>
      </c>
      <c r="C171">
        <v>4421</v>
      </c>
      <c r="D171" t="s">
        <v>98</v>
      </c>
      <c r="E171" s="2">
        <v>45</v>
      </c>
      <c r="F171" s="2">
        <v>87</v>
      </c>
      <c r="G171" s="2">
        <f t="shared" si="4"/>
        <v>42</v>
      </c>
      <c r="H171" s="2">
        <f t="shared" si="5"/>
        <v>8.4</v>
      </c>
      <c r="I171" s="28" t="s">
        <v>116</v>
      </c>
      <c r="J171" s="28" t="s">
        <v>117</v>
      </c>
      <c r="K171" t="s">
        <v>92</v>
      </c>
    </row>
    <row r="172" spans="1:11" x14ac:dyDescent="0.35">
      <c r="A172" s="25" t="s">
        <v>115</v>
      </c>
      <c r="B172" s="26">
        <v>1171</v>
      </c>
      <c r="C172">
        <v>4421</v>
      </c>
      <c r="D172" t="s">
        <v>98</v>
      </c>
      <c r="E172" s="2">
        <v>45</v>
      </c>
      <c r="F172" s="2">
        <v>87</v>
      </c>
      <c r="G172" s="2">
        <f t="shared" si="4"/>
        <v>42</v>
      </c>
      <c r="H172" s="2">
        <f t="shared" si="5"/>
        <v>8.4</v>
      </c>
      <c r="I172" s="28" t="s">
        <v>26</v>
      </c>
      <c r="J172" s="28" t="s">
        <v>118</v>
      </c>
      <c r="K172" t="s">
        <v>102</v>
      </c>
    </row>
    <row r="174" spans="1:11" x14ac:dyDescent="0.35">
      <c r="A174" s="30" t="s">
        <v>124</v>
      </c>
      <c r="B174" s="30"/>
      <c r="C174" s="30"/>
      <c r="F174" s="1">
        <f>SUM(F2:F172)</f>
        <v>17110.599999999995</v>
      </c>
    </row>
    <row r="175" spans="1:11" x14ac:dyDescent="0.35">
      <c r="A175" s="30" t="s">
        <v>125</v>
      </c>
      <c r="B175" s="30"/>
      <c r="C175" s="30"/>
      <c r="F175" s="2">
        <f>SUMIF(F2:F172,"&gt;$50")</f>
        <v>16088.399999999994</v>
      </c>
    </row>
    <row r="176" spans="1:11" x14ac:dyDescent="0.35">
      <c r="A176" s="29" t="s">
        <v>126</v>
      </c>
      <c r="B176" s="29"/>
      <c r="C176" s="29"/>
      <c r="F176" s="2">
        <f>SUMIF(F2:F172,"&lt;=$50")</f>
        <v>1022.1999999999997</v>
      </c>
    </row>
  </sheetData>
  <autoFilter ref="A1:K172" xr:uid="{AC429089-1C7B-4CFA-8ACE-B6EFAADEFFA3}"/>
  <mergeCells count="3">
    <mergeCell ref="A174:C174"/>
    <mergeCell ref="A175:C175"/>
    <mergeCell ref="A176:C17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D9B6-B070-4183-9BB4-482A4F1AED05}">
  <dimension ref="A3:B22"/>
  <sheetViews>
    <sheetView workbookViewId="0">
      <selection activeCell="G22" sqref="G22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31" t="s">
        <v>140</v>
      </c>
      <c r="B3" t="s">
        <v>252</v>
      </c>
    </row>
    <row r="4" spans="1:2" x14ac:dyDescent="0.35">
      <c r="A4" s="32" t="s">
        <v>120</v>
      </c>
      <c r="B4" s="3">
        <v>305432.40000000002</v>
      </c>
    </row>
    <row r="5" spans="1:2" x14ac:dyDescent="0.35">
      <c r="A5" s="32" t="s">
        <v>154</v>
      </c>
      <c r="B5" s="3">
        <v>184693.8</v>
      </c>
    </row>
    <row r="6" spans="1:2" x14ac:dyDescent="0.35">
      <c r="A6" s="32" t="s">
        <v>188</v>
      </c>
      <c r="B6" s="3">
        <v>179986</v>
      </c>
    </row>
    <row r="7" spans="1:2" x14ac:dyDescent="0.35">
      <c r="A7" s="32" t="s">
        <v>182</v>
      </c>
      <c r="B7" s="3">
        <v>177713.9</v>
      </c>
    </row>
    <row r="8" spans="1:2" x14ac:dyDescent="0.35">
      <c r="A8" s="32" t="s">
        <v>156</v>
      </c>
      <c r="B8" s="3">
        <v>154427.9</v>
      </c>
    </row>
    <row r="9" spans="1:2" x14ac:dyDescent="0.35">
      <c r="A9" s="32" t="s">
        <v>180</v>
      </c>
      <c r="B9" s="3">
        <v>150656.40000000002</v>
      </c>
    </row>
    <row r="10" spans="1:2" x14ac:dyDescent="0.35">
      <c r="A10" s="32" t="s">
        <v>171</v>
      </c>
      <c r="B10" s="3">
        <v>144647.69999999998</v>
      </c>
    </row>
    <row r="11" spans="1:2" x14ac:dyDescent="0.35">
      <c r="A11" s="32" t="s">
        <v>159</v>
      </c>
      <c r="B11" s="3">
        <v>143640.70000000001</v>
      </c>
    </row>
    <row r="12" spans="1:2" x14ac:dyDescent="0.35">
      <c r="A12" s="32" t="s">
        <v>169</v>
      </c>
      <c r="B12" s="3">
        <v>141229.4</v>
      </c>
    </row>
    <row r="13" spans="1:2" x14ac:dyDescent="0.35">
      <c r="A13" s="32" t="s">
        <v>168</v>
      </c>
      <c r="B13" s="3">
        <v>138561.5</v>
      </c>
    </row>
    <row r="14" spans="1:2" x14ac:dyDescent="0.35">
      <c r="A14" s="32" t="s">
        <v>175</v>
      </c>
      <c r="B14" s="3">
        <v>135078.20000000001</v>
      </c>
    </row>
    <row r="15" spans="1:2" x14ac:dyDescent="0.35">
      <c r="A15" s="32" t="s">
        <v>166</v>
      </c>
      <c r="B15" s="3">
        <v>130601.59999999999</v>
      </c>
    </row>
    <row r="16" spans="1:2" x14ac:dyDescent="0.35">
      <c r="A16" s="32" t="s">
        <v>152</v>
      </c>
      <c r="B16" s="3">
        <v>127731.3</v>
      </c>
    </row>
    <row r="17" spans="1:2" x14ac:dyDescent="0.35">
      <c r="A17" s="32" t="s">
        <v>149</v>
      </c>
      <c r="B17" s="3">
        <v>70964.899999999994</v>
      </c>
    </row>
    <row r="18" spans="1:2" x14ac:dyDescent="0.35">
      <c r="A18" s="32" t="s">
        <v>173</v>
      </c>
      <c r="B18" s="3">
        <v>65964.899999999994</v>
      </c>
    </row>
    <row r="19" spans="1:2" x14ac:dyDescent="0.35">
      <c r="A19" s="32" t="s">
        <v>162</v>
      </c>
      <c r="B19" s="3">
        <v>65315</v>
      </c>
    </row>
    <row r="20" spans="1:2" x14ac:dyDescent="0.35">
      <c r="A20" s="32" t="s">
        <v>164</v>
      </c>
      <c r="B20" s="3">
        <v>19341.7</v>
      </c>
    </row>
    <row r="21" spans="1:2" x14ac:dyDescent="0.35">
      <c r="A21" s="32"/>
      <c r="B21" s="3"/>
    </row>
    <row r="22" spans="1:2" x14ac:dyDescent="0.35">
      <c r="A22" s="32" t="s">
        <v>129</v>
      </c>
      <c r="B22" s="3">
        <v>2335987.2999999998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7C60F-A50B-4981-8325-7D9B33E9FFFC}">
  <dimension ref="A1:T66"/>
  <sheetViews>
    <sheetView topLeftCell="E53" zoomScaleNormal="100" workbookViewId="0">
      <selection activeCell="A2" sqref="A2:N66"/>
    </sheetView>
  </sheetViews>
  <sheetFormatPr defaultRowHeight="14.5" x14ac:dyDescent="0.35"/>
  <cols>
    <col min="1" max="1" width="13.1796875" bestFit="1" customWidth="1"/>
    <col min="2" max="2" width="7.81640625" bestFit="1" customWidth="1"/>
    <col min="3" max="3" width="17.90625" bestFit="1" customWidth="1"/>
    <col min="4" max="4" width="8.453125" bestFit="1" customWidth="1"/>
    <col min="5" max="5" width="18.54296875" bestFit="1" customWidth="1"/>
    <col min="6" max="6" width="18.26953125" bestFit="1" customWidth="1"/>
    <col min="7" max="7" width="6.1796875" bestFit="1" customWidth="1"/>
    <col min="8" max="8" width="8.81640625" bestFit="1" customWidth="1"/>
    <col min="9" max="9" width="13" bestFit="1" customWidth="1"/>
    <col min="10" max="10" width="7.54296875" bestFit="1" customWidth="1"/>
    <col min="11" max="11" width="9.08984375" bestFit="1" customWidth="1"/>
    <col min="12" max="12" width="16.453125" bestFit="1" customWidth="1"/>
    <col min="13" max="13" width="10.90625" bestFit="1" customWidth="1"/>
    <col min="14" max="14" width="16.453125" bestFit="1" customWidth="1"/>
  </cols>
  <sheetData>
    <row r="1" spans="1:20" x14ac:dyDescent="0.35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</row>
    <row r="2" spans="1:20" x14ac:dyDescent="0.35">
      <c r="A2" s="3" t="s">
        <v>202</v>
      </c>
      <c r="B2" s="3" t="str">
        <f>LEFT(car_inventory[[#This Row],[Car ID]],2)</f>
        <v>HO</v>
      </c>
      <c r="C2" s="3" t="str">
        <f>VLOOKUP(car_inventory[[#This Row],[Make]],$P$2:$Q$7,2)</f>
        <v>Honda</v>
      </c>
      <c r="D2" s="3" t="str">
        <f>MID(car_inventory[[#This Row],[Car ID]],5,3)</f>
        <v>ODY</v>
      </c>
      <c r="E2" s="3" t="str">
        <f>VLOOKUP(car_inventory[[#This Row],[Model]],$S$2:$T$12,2)</f>
        <v>Odyssey</v>
      </c>
      <c r="F2" s="3" t="str">
        <f>MID(car_inventory[[#This Row],[Car ID]],3,2)</f>
        <v>14</v>
      </c>
      <c r="G2" s="3">
        <f>IF(21-car_inventory[[#This Row],[Manufacture Year]]&lt;0,100-car_inventory[[#This Row],[Manufacture Year]]+21,21-car_inventory[[#This Row],[Manufacture Year]])</f>
        <v>7</v>
      </c>
      <c r="H2" s="19">
        <v>3708.1</v>
      </c>
      <c r="I2" s="3">
        <f>car_inventory[[#This Row],[Miles]]/car_inventory[[#This Row],[Age]]</f>
        <v>529.7285714285714</v>
      </c>
      <c r="J2" s="3" t="s">
        <v>146</v>
      </c>
      <c r="K2" s="3" t="s">
        <v>149</v>
      </c>
      <c r="L2" s="19">
        <v>100000</v>
      </c>
      <c r="M2" s="3" t="str">
        <f>IF(car_inventory[[#This Row],[Warantee Miles]]&gt;=H2,"YES","NO")</f>
        <v>YES</v>
      </c>
      <c r="N2" s="3" t="str">
        <f>CONCATENATE(car_inventory[[#This Row],[Make]],car_inventory[[#This Row],[Manufacture Year]],car_inventory[[#This Row],[Model]],UPPER(LEFT(car_inventory[[#This Row],[Color]],3)),RIGHT(car_inventory[[#This Row],[Car ID]],3))</f>
        <v>HO14ODYBLA041</v>
      </c>
      <c r="P2" s="3" t="s">
        <v>214</v>
      </c>
      <c r="Q2" s="3" t="s">
        <v>220</v>
      </c>
      <c r="S2" t="s">
        <v>227</v>
      </c>
      <c r="T2" t="s">
        <v>238</v>
      </c>
    </row>
    <row r="3" spans="1:20" x14ac:dyDescent="0.35">
      <c r="A3" s="3" t="s">
        <v>167</v>
      </c>
      <c r="B3" s="3" t="str">
        <f>LEFT(car_inventory[[#This Row],[Car ID]],2)</f>
        <v>FD</v>
      </c>
      <c r="C3" s="3" t="str">
        <f>VLOOKUP(car_inventory[[#This Row],[Make]],$P$2:$Q$7,2)</f>
        <v>Ford</v>
      </c>
      <c r="D3" s="3" t="str">
        <f>MID(car_inventory[[#This Row],[Car ID]],5,3)</f>
        <v>FCS</v>
      </c>
      <c r="E3" s="3" t="str">
        <f>VLOOKUP(car_inventory[[#This Row],[Model]],$S$2:$T$12,2)</f>
        <v>Focus</v>
      </c>
      <c r="F3" s="3" t="str">
        <f>MID(car_inventory[[#This Row],[Car ID]],3,2)</f>
        <v>13</v>
      </c>
      <c r="G3" s="3">
        <f>IF(21-car_inventory[[#This Row],[Manufacture Year]]&lt;0,100-car_inventory[[#This Row],[Manufacture Year]]+21,21-car_inventory[[#This Row],[Manufacture Year]])</f>
        <v>8</v>
      </c>
      <c r="H3" s="19">
        <v>13682.9</v>
      </c>
      <c r="I3" s="3">
        <f>car_inventory[[#This Row],[Miles]]/car_inventory[[#This Row],[Age]]</f>
        <v>1710.3625</v>
      </c>
      <c r="J3" s="3" t="s">
        <v>146</v>
      </c>
      <c r="K3" s="3" t="s">
        <v>168</v>
      </c>
      <c r="L3" s="19">
        <v>75000</v>
      </c>
      <c r="M3" s="3" t="str">
        <f>IF(car_inventory[[#This Row],[Warantee Miles]]&gt;=H3,"YES","NO")</f>
        <v>YES</v>
      </c>
      <c r="N3" s="3" t="str">
        <f>CONCATENATE(car_inventory[[#This Row],[Make]],car_inventory[[#This Row],[Manufacture Year]],car_inventory[[#This Row],[Model]],UPPER(LEFT(car_inventory[[#This Row],[Color]],3)),RIGHT(car_inventory[[#This Row],[Car ID]],3))</f>
        <v>FD13FCSBLA013</v>
      </c>
      <c r="P3" s="3" t="s">
        <v>219</v>
      </c>
      <c r="Q3" s="3" t="s">
        <v>225</v>
      </c>
      <c r="S3" t="s">
        <v>232</v>
      </c>
      <c r="T3" t="s">
        <v>241</v>
      </c>
    </row>
    <row r="4" spans="1:20" x14ac:dyDescent="0.35">
      <c r="A4" s="3" t="s">
        <v>199</v>
      </c>
      <c r="B4" s="3" t="str">
        <f>LEFT(car_inventory[[#This Row],[Car ID]],2)</f>
        <v>HO</v>
      </c>
      <c r="C4" s="3" t="str">
        <f>VLOOKUP(car_inventory[[#This Row],[Make]],$P$2:$Q$7,2)</f>
        <v>Honda</v>
      </c>
      <c r="D4" s="3" t="str">
        <f>MID(car_inventory[[#This Row],[Car ID]],5,3)</f>
        <v>CIV</v>
      </c>
      <c r="E4" s="3" t="str">
        <f>VLOOKUP(car_inventory[[#This Row],[Model]],$S$2:$T$12,2)</f>
        <v>Civic</v>
      </c>
      <c r="F4" s="3" t="str">
        <f>MID(car_inventory[[#This Row],[Car ID]],3,2)</f>
        <v>13</v>
      </c>
      <c r="G4" s="3">
        <f>IF(21-car_inventory[[#This Row],[Manufacture Year]]&lt;0,100-car_inventory[[#This Row],[Manufacture Year]]+21,21-car_inventory[[#This Row],[Manufacture Year]])</f>
        <v>8</v>
      </c>
      <c r="H4" s="19">
        <v>13867.6</v>
      </c>
      <c r="I4" s="3">
        <f>car_inventory[[#This Row],[Miles]]/car_inventory[[#This Row],[Age]]</f>
        <v>1733.45</v>
      </c>
      <c r="J4" s="3" t="s">
        <v>146</v>
      </c>
      <c r="K4" s="3" t="s">
        <v>180</v>
      </c>
      <c r="L4" s="19">
        <v>75000</v>
      </c>
      <c r="M4" s="3" t="str">
        <f>IF(car_inventory[[#This Row],[Warantee Miles]]&gt;=H4,"YES","NO")</f>
        <v>YES</v>
      </c>
      <c r="N4" s="3" t="str">
        <f>CONCATENATE(car_inventory[[#This Row],[Make]],car_inventory[[#This Row],[Manufacture Year]],car_inventory[[#This Row],[Model]],UPPER(LEFT(car_inventory[[#This Row],[Color]],3)),RIGHT(car_inventory[[#This Row],[Car ID]],3))</f>
        <v>HO13CIVBLA036</v>
      </c>
      <c r="P4" s="3" t="s">
        <v>218</v>
      </c>
      <c r="Q4" s="3" t="s">
        <v>224</v>
      </c>
      <c r="S4" t="s">
        <v>233</v>
      </c>
      <c r="T4" t="s">
        <v>242</v>
      </c>
    </row>
    <row r="5" spans="1:20" x14ac:dyDescent="0.35">
      <c r="A5" s="3" t="s">
        <v>172</v>
      </c>
      <c r="B5" s="3" t="str">
        <f>LEFT(car_inventory[[#This Row],[Car ID]],2)</f>
        <v>GM</v>
      </c>
      <c r="C5" s="3" t="str">
        <f>VLOOKUP(car_inventory[[#This Row],[Make]],$P$2:$Q$7,2)</f>
        <v>General Motors</v>
      </c>
      <c r="D5" s="3" t="str">
        <f>MID(car_inventory[[#This Row],[Car ID]],5,3)</f>
        <v>CMR</v>
      </c>
      <c r="E5" s="3" t="str">
        <f>VLOOKUP(car_inventory[[#This Row],[Model]],$S$2:$T$12,2)</f>
        <v>Camera</v>
      </c>
      <c r="F5" s="3" t="str">
        <f>MID(car_inventory[[#This Row],[Car ID]],3,2)</f>
        <v>14</v>
      </c>
      <c r="G5" s="3">
        <f>IF(21-car_inventory[[#This Row],[Manufacture Year]]&lt;0,100-car_inventory[[#This Row],[Manufacture Year]]+21,21-car_inventory[[#This Row],[Manufacture Year]])</f>
        <v>7</v>
      </c>
      <c r="H5" s="19">
        <v>14289.6</v>
      </c>
      <c r="I5" s="3">
        <f>car_inventory[[#This Row],[Miles]]/car_inventory[[#This Row],[Age]]</f>
        <v>2041.3714285714286</v>
      </c>
      <c r="J5" s="3" t="s">
        <v>148</v>
      </c>
      <c r="K5" s="3" t="s">
        <v>173</v>
      </c>
      <c r="L5" s="19">
        <v>100000</v>
      </c>
      <c r="M5" s="3" t="str">
        <f>IF(car_inventory[[#This Row],[Warantee Miles]]&gt;=H5,"YES","NO")</f>
        <v>YES</v>
      </c>
      <c r="N5" s="3" t="str">
        <f>CONCATENATE(car_inventory[[#This Row],[Make]],car_inventory[[#This Row],[Manufacture Year]],car_inventory[[#This Row],[Model]],UPPER(LEFT(car_inventory[[#This Row],[Color]],3)),RIGHT(car_inventory[[#This Row],[Car ID]],3))</f>
        <v>GM14CMRWHI016</v>
      </c>
      <c r="P5" s="3" t="s">
        <v>217</v>
      </c>
      <c r="Q5" s="3" t="s">
        <v>223</v>
      </c>
      <c r="S5" t="s">
        <v>230</v>
      </c>
      <c r="T5" t="s">
        <v>243</v>
      </c>
    </row>
    <row r="6" spans="1:20" x14ac:dyDescent="0.35">
      <c r="A6" s="3" t="s">
        <v>195</v>
      </c>
      <c r="B6" s="3" t="str">
        <f>LEFT(car_inventory[[#This Row],[Car ID]],2)</f>
        <v>HO</v>
      </c>
      <c r="C6" s="3" t="str">
        <f>VLOOKUP(car_inventory[[#This Row],[Make]],$P$2:$Q$7,2)</f>
        <v>Honda</v>
      </c>
      <c r="D6" s="3" t="str">
        <f>MID(car_inventory[[#This Row],[Car ID]],5,3)</f>
        <v>CIV</v>
      </c>
      <c r="E6" s="3" t="str">
        <f>VLOOKUP(car_inventory[[#This Row],[Model]],$S$2:$T$12,2)</f>
        <v>Civic</v>
      </c>
      <c r="F6" s="3" t="str">
        <f>MID(car_inventory[[#This Row],[Car ID]],3,2)</f>
        <v>10</v>
      </c>
      <c r="G6" s="3">
        <f>IF(21-car_inventory[[#This Row],[Manufacture Year]]&lt;0,100-car_inventory[[#This Row],[Manufacture Year]]+21,21-car_inventory[[#This Row],[Manufacture Year]])</f>
        <v>11</v>
      </c>
      <c r="H6" s="19">
        <v>22573</v>
      </c>
      <c r="I6" s="3">
        <f>car_inventory[[#This Row],[Miles]]/car_inventory[[#This Row],[Age]]</f>
        <v>2052.090909090909</v>
      </c>
      <c r="J6" s="3" t="s">
        <v>178</v>
      </c>
      <c r="K6" s="3" t="s">
        <v>173</v>
      </c>
      <c r="L6" s="19">
        <v>75000</v>
      </c>
      <c r="M6" s="3" t="str">
        <f>IF(car_inventory[[#This Row],[Warantee Miles]]&gt;=H6,"YES","NO")</f>
        <v>YES</v>
      </c>
      <c r="N6" s="3" t="str">
        <f>CONCATENATE(car_inventory[[#This Row],[Make]],car_inventory[[#This Row],[Manufacture Year]],car_inventory[[#This Row],[Model]],UPPER(LEFT(car_inventory[[#This Row],[Color]],3)),RIGHT(car_inventory[[#This Row],[Car ID]],3))</f>
        <v>HO10CIVBLU032</v>
      </c>
      <c r="P6" s="3" t="s">
        <v>215</v>
      </c>
      <c r="Q6" s="3" t="s">
        <v>221</v>
      </c>
      <c r="S6" t="s">
        <v>231</v>
      </c>
      <c r="T6" t="s">
        <v>244</v>
      </c>
    </row>
    <row r="7" spans="1:20" x14ac:dyDescent="0.35">
      <c r="A7" s="3" t="s">
        <v>163</v>
      </c>
      <c r="B7" s="3" t="str">
        <f>LEFT(car_inventory[[#This Row],[Car ID]],2)</f>
        <v>FD</v>
      </c>
      <c r="C7" s="3" t="str">
        <f>VLOOKUP(car_inventory[[#This Row],[Make]],$P$2:$Q$7,2)</f>
        <v>Ford</v>
      </c>
      <c r="D7" s="3" t="str">
        <f>MID(car_inventory[[#This Row],[Car ID]],5,3)</f>
        <v>FCS</v>
      </c>
      <c r="E7" s="3" t="str">
        <f>VLOOKUP(car_inventory[[#This Row],[Model]],$S$2:$T$12,2)</f>
        <v>Focus</v>
      </c>
      <c r="F7" s="3" t="str">
        <f>MID(car_inventory[[#This Row],[Car ID]],3,2)</f>
        <v>12</v>
      </c>
      <c r="G7" s="3">
        <f>IF(21-car_inventory[[#This Row],[Manufacture Year]]&lt;0,100-car_inventory[[#This Row],[Manufacture Year]]+21,21-car_inventory[[#This Row],[Manufacture Year]])</f>
        <v>9</v>
      </c>
      <c r="H7" s="19">
        <v>19341.7</v>
      </c>
      <c r="I7" s="3">
        <f>car_inventory[[#This Row],[Miles]]/car_inventory[[#This Row],[Age]]</f>
        <v>2149.077777777778</v>
      </c>
      <c r="J7" s="3" t="s">
        <v>148</v>
      </c>
      <c r="K7" s="3" t="s">
        <v>164</v>
      </c>
      <c r="L7" s="19">
        <v>75000</v>
      </c>
      <c r="M7" s="3" t="str">
        <f>IF(car_inventory[[#This Row],[Warantee Miles]]&gt;=H7,"YES","NO")</f>
        <v>YES</v>
      </c>
      <c r="N7" s="3" t="str">
        <f>CONCATENATE(car_inventory[[#This Row],[Make]],car_inventory[[#This Row],[Manufacture Year]],car_inventory[[#This Row],[Model]],UPPER(LEFT(car_inventory[[#This Row],[Color]],3)),RIGHT(car_inventory[[#This Row],[Car ID]],3))</f>
        <v>FD12FCSWHI011</v>
      </c>
      <c r="P7" s="3" t="s">
        <v>216</v>
      </c>
      <c r="Q7" s="3" t="s">
        <v>222</v>
      </c>
      <c r="S7" t="s">
        <v>228</v>
      </c>
      <c r="T7" t="s">
        <v>239</v>
      </c>
    </row>
    <row r="8" spans="1:20" x14ac:dyDescent="0.35">
      <c r="A8" s="3" t="s">
        <v>170</v>
      </c>
      <c r="B8" s="3" t="str">
        <f>LEFT(car_inventory[[#This Row],[Car ID]],2)</f>
        <v>GM</v>
      </c>
      <c r="C8" s="3" t="str">
        <f>VLOOKUP(car_inventory[[#This Row],[Make]],$P$2:$Q$7,2)</f>
        <v>General Motors</v>
      </c>
      <c r="D8" s="3" t="str">
        <f>MID(car_inventory[[#This Row],[Car ID]],5,3)</f>
        <v>CMR</v>
      </c>
      <c r="E8" s="3" t="str">
        <f>VLOOKUP(car_inventory[[#This Row],[Model]],$S$2:$T$12,2)</f>
        <v>Camera</v>
      </c>
      <c r="F8" s="3" t="str">
        <f>MID(car_inventory[[#This Row],[Car ID]],3,2)</f>
        <v>12</v>
      </c>
      <c r="G8" s="3">
        <f>IF(21-car_inventory[[#This Row],[Manufacture Year]]&lt;0,100-car_inventory[[#This Row],[Manufacture Year]]+21,21-car_inventory[[#This Row],[Manufacture Year]])</f>
        <v>9</v>
      </c>
      <c r="H8" s="19">
        <v>19421.099999999999</v>
      </c>
      <c r="I8" s="3">
        <f>car_inventory[[#This Row],[Miles]]/car_inventory[[#This Row],[Age]]</f>
        <v>2157.8999999999996</v>
      </c>
      <c r="J8" s="3" t="s">
        <v>146</v>
      </c>
      <c r="K8" s="3" t="s">
        <v>171</v>
      </c>
      <c r="L8" s="19">
        <v>100000</v>
      </c>
      <c r="M8" s="3" t="str">
        <f>IF(car_inventory[[#This Row],[Warantee Miles]]&gt;=H8,"YES","NO")</f>
        <v>YES</v>
      </c>
      <c r="N8" s="3" t="str">
        <f>CONCATENATE(car_inventory[[#This Row],[Make]],car_inventory[[#This Row],[Manufacture Year]],car_inventory[[#This Row],[Model]],UPPER(LEFT(car_inventory[[#This Row],[Color]],3)),RIGHT(car_inventory[[#This Row],[Car ID]],3))</f>
        <v>GM12CMRBLA015</v>
      </c>
      <c r="S8" t="s">
        <v>229</v>
      </c>
      <c r="T8" t="s">
        <v>240</v>
      </c>
    </row>
    <row r="9" spans="1:20" x14ac:dyDescent="0.35">
      <c r="A9" s="3" t="s">
        <v>250</v>
      </c>
      <c r="B9" s="3" t="str">
        <f>LEFT(car_inventory[[#This Row],[Car ID]],2)</f>
        <v>GM</v>
      </c>
      <c r="C9" s="3" t="str">
        <f>VLOOKUP(car_inventory[[#This Row],[Make]],$P$2:$Q$7,2)</f>
        <v>General Motors</v>
      </c>
      <c r="D9" s="3" t="str">
        <f>MID(car_inventory[[#This Row],[Car ID]],5,3)</f>
        <v>CMR</v>
      </c>
      <c r="E9" s="3" t="str">
        <f>VLOOKUP(car_inventory[[#This Row],[Model]],$S$2:$T$12,2)</f>
        <v>Camera</v>
      </c>
      <c r="F9" s="3" t="str">
        <f>MID(car_inventory[[#This Row],[Car ID]],3,2)</f>
        <v>09</v>
      </c>
      <c r="G9" s="3">
        <f>IF(21-car_inventory[[#This Row],[Manufacture Year]]&lt;0,100-car_inventory[[#This Row],[Manufacture Year]]+21,21-car_inventory[[#This Row],[Manufacture Year]])</f>
        <v>12</v>
      </c>
      <c r="H9" s="19">
        <v>28464.799999999999</v>
      </c>
      <c r="I9" s="3">
        <f>car_inventory[[#This Row],[Miles]]/car_inventory[[#This Row],[Age]]</f>
        <v>2372.0666666666666</v>
      </c>
      <c r="J9" s="3" t="s">
        <v>148</v>
      </c>
      <c r="K9" s="3" t="s">
        <v>169</v>
      </c>
      <c r="L9" s="19">
        <v>100000</v>
      </c>
      <c r="M9" s="3" t="str">
        <f>IF(car_inventory[[#This Row],[Warantee Miles]]&gt;=H9,"YES","NO")</f>
        <v>YES</v>
      </c>
      <c r="N9" s="3" t="str">
        <f>CONCATENATE(car_inventory[[#This Row],[Make]],car_inventory[[#This Row],[Manufacture Year]],car_inventory[[#This Row],[Model]],UPPER(LEFT(car_inventory[[#This Row],[Color]],3)),RIGHT(car_inventory[[#This Row],[Car ID]],3))</f>
        <v>GM09CMRWHI014</v>
      </c>
      <c r="S9" t="s">
        <v>234</v>
      </c>
      <c r="T9" t="s">
        <v>226</v>
      </c>
    </row>
    <row r="10" spans="1:20" x14ac:dyDescent="0.35">
      <c r="A10" s="3" t="s">
        <v>192</v>
      </c>
      <c r="B10" s="3" t="str">
        <f>LEFT(car_inventory[[#This Row],[Car ID]],2)</f>
        <v>TY</v>
      </c>
      <c r="C10" s="3" t="str">
        <f>VLOOKUP(car_inventory[[#This Row],[Make]],$P$2:$Q$7,2)</f>
        <v>Toyota</v>
      </c>
      <c r="D10" s="3" t="str">
        <f>MID(car_inventory[[#This Row],[Car ID]],5,3)</f>
        <v>CAM</v>
      </c>
      <c r="E10" s="3" t="str">
        <f>VLOOKUP(car_inventory[[#This Row],[Model]],$S$2:$T$12,2)</f>
        <v>Camry</v>
      </c>
      <c r="F10" s="3" t="str">
        <f>MID(car_inventory[[#This Row],[Car ID]],3,2)</f>
        <v>12</v>
      </c>
      <c r="G10" s="3">
        <f>IF(21-car_inventory[[#This Row],[Manufacture Year]]&lt;0,100-car_inventory[[#This Row],[Manufacture Year]]+21,21-car_inventory[[#This Row],[Manufacture Year]])</f>
        <v>9</v>
      </c>
      <c r="H10" s="19">
        <v>22128.2</v>
      </c>
      <c r="I10" s="3">
        <f>car_inventory[[#This Row],[Miles]]/car_inventory[[#This Row],[Age]]</f>
        <v>2458.6888888888889</v>
      </c>
      <c r="J10" s="3" t="s">
        <v>178</v>
      </c>
      <c r="K10" s="3" t="s">
        <v>180</v>
      </c>
      <c r="L10" s="19">
        <v>100000</v>
      </c>
      <c r="M10" s="3" t="str">
        <f>IF(car_inventory[[#This Row],[Warantee Miles]]&gt;=H10,"YES","NO")</f>
        <v>YES</v>
      </c>
      <c r="N10" s="3" t="str">
        <f>CONCATENATE(car_inventory[[#This Row],[Make]],car_inventory[[#This Row],[Manufacture Year]],car_inventory[[#This Row],[Model]],UPPER(LEFT(car_inventory[[#This Row],[Color]],3)),RIGHT(car_inventory[[#This Row],[Car ID]],3))</f>
        <v>TY12CAMBLU029</v>
      </c>
      <c r="S10" t="s">
        <v>235</v>
      </c>
      <c r="T10" t="s">
        <v>245</v>
      </c>
    </row>
    <row r="11" spans="1:20" x14ac:dyDescent="0.35">
      <c r="A11" s="3" t="s">
        <v>211</v>
      </c>
      <c r="B11" s="3" t="str">
        <f>LEFT(car_inventory[[#This Row],[Car ID]],2)</f>
        <v>HY</v>
      </c>
      <c r="C11" s="3" t="str">
        <f>VLOOKUP(car_inventory[[#This Row],[Make]],$P$2:$Q$7,2)</f>
        <v>Hyundai</v>
      </c>
      <c r="D11" s="3" t="str">
        <f>MID(car_inventory[[#This Row],[Car ID]],5,3)</f>
        <v>ELA</v>
      </c>
      <c r="E11" s="3" t="str">
        <f>VLOOKUP(car_inventory[[#This Row],[Model]],$S$2:$T$12,2)</f>
        <v>Elantra</v>
      </c>
      <c r="F11" s="3" t="str">
        <f>MID(car_inventory[[#This Row],[Car ID]],3,2)</f>
        <v>12</v>
      </c>
      <c r="G11" s="3">
        <f>IF(21-car_inventory[[#This Row],[Manufacture Year]]&lt;0,100-car_inventory[[#This Row],[Manufacture Year]]+21,21-car_inventory[[#This Row],[Manufacture Year]])</f>
        <v>9</v>
      </c>
      <c r="H11" s="19">
        <v>22282</v>
      </c>
      <c r="I11" s="3">
        <f>car_inventory[[#This Row],[Miles]]/car_inventory[[#This Row],[Age]]</f>
        <v>2475.7777777777778</v>
      </c>
      <c r="J11" s="3" t="s">
        <v>178</v>
      </c>
      <c r="K11" s="3" t="s">
        <v>149</v>
      </c>
      <c r="L11" s="19">
        <v>100000</v>
      </c>
      <c r="M11" s="3" t="str">
        <f>IF(car_inventory[[#This Row],[Warantee Miles]]&gt;=H11,"YES","NO")</f>
        <v>YES</v>
      </c>
      <c r="N11" s="3" t="str">
        <f>CONCATENATE(car_inventory[[#This Row],[Make]],car_inventory[[#This Row],[Manufacture Year]],car_inventory[[#This Row],[Model]],UPPER(LEFT(car_inventory[[#This Row],[Color]],3)),RIGHT(car_inventory[[#This Row],[Car ID]],3))</f>
        <v>HY12ELABLU050</v>
      </c>
      <c r="S11" t="s">
        <v>236</v>
      </c>
      <c r="T11" t="s">
        <v>246</v>
      </c>
    </row>
    <row r="12" spans="1:20" x14ac:dyDescent="0.35">
      <c r="A12" s="3" t="s">
        <v>190</v>
      </c>
      <c r="B12" s="3" t="str">
        <f>LEFT(car_inventory[[#This Row],[Car ID]],2)</f>
        <v>TY</v>
      </c>
      <c r="C12" s="3" t="str">
        <f>VLOOKUP(car_inventory[[#This Row],[Make]],$P$2:$Q$7,2)</f>
        <v>Toyota</v>
      </c>
      <c r="D12" s="3" t="str">
        <f>MID(car_inventory[[#This Row],[Car ID]],5,3)</f>
        <v>COR</v>
      </c>
      <c r="E12" s="3" t="str">
        <f>VLOOKUP(car_inventory[[#This Row],[Model]],$S$2:$T$12,2)</f>
        <v>Corolla</v>
      </c>
      <c r="F12" s="3" t="str">
        <f>MID(car_inventory[[#This Row],[Car ID]],3,2)</f>
        <v>14</v>
      </c>
      <c r="G12" s="3">
        <f>IF(21-car_inventory[[#This Row],[Manufacture Year]]&lt;0,100-car_inventory[[#This Row],[Manufacture Year]]+21,21-car_inventory[[#This Row],[Manufacture Year]])</f>
        <v>7</v>
      </c>
      <c r="H12" s="19">
        <v>17556.3</v>
      </c>
      <c r="I12" s="3">
        <f>car_inventory[[#This Row],[Miles]]/car_inventory[[#This Row],[Age]]</f>
        <v>2508.042857142857</v>
      </c>
      <c r="J12" s="3" t="s">
        <v>178</v>
      </c>
      <c r="K12" s="3" t="s">
        <v>162</v>
      </c>
      <c r="L12" s="19">
        <v>100000</v>
      </c>
      <c r="M12" s="3" t="str">
        <f>IF(car_inventory[[#This Row],[Warantee Miles]]&gt;=H12,"YES","NO")</f>
        <v>YES</v>
      </c>
      <c r="N12" s="3" t="str">
        <f>CONCATENATE(car_inventory[[#This Row],[Make]],car_inventory[[#This Row],[Manufacture Year]],car_inventory[[#This Row],[Model]],UPPER(LEFT(car_inventory[[#This Row],[Color]],3)),RIGHT(car_inventory[[#This Row],[Car ID]],3))</f>
        <v>TY14CORBLU027</v>
      </c>
      <c r="S12" t="s">
        <v>237</v>
      </c>
      <c r="T12" t="s">
        <v>247</v>
      </c>
    </row>
    <row r="13" spans="1:20" x14ac:dyDescent="0.35">
      <c r="A13" s="3" t="s">
        <v>212</v>
      </c>
      <c r="B13" s="3" t="str">
        <f>LEFT(car_inventory[[#This Row],[Car ID]],2)</f>
        <v>HY</v>
      </c>
      <c r="C13" s="3" t="str">
        <f>VLOOKUP(car_inventory[[#This Row],[Make]],$P$2:$Q$7,2)</f>
        <v>Hyundai</v>
      </c>
      <c r="D13" s="3" t="str">
        <f>MID(car_inventory[[#This Row],[Car ID]],5,3)</f>
        <v>ELA</v>
      </c>
      <c r="E13" s="3" t="str">
        <f>VLOOKUP(car_inventory[[#This Row],[Model]],$S$2:$T$12,2)</f>
        <v>Elantra</v>
      </c>
      <c r="F13" s="3" t="str">
        <f>MID(car_inventory[[#This Row],[Car ID]],3,2)</f>
        <v>13</v>
      </c>
      <c r="G13" s="3">
        <f>IF(21-car_inventory[[#This Row],[Manufacture Year]]&lt;0,100-car_inventory[[#This Row],[Manufacture Year]]+21,21-car_inventory[[#This Row],[Manufacture Year]])</f>
        <v>8</v>
      </c>
      <c r="H13" s="19">
        <v>20223.900000000001</v>
      </c>
      <c r="I13" s="3">
        <f>car_inventory[[#This Row],[Miles]]/car_inventory[[#This Row],[Age]]</f>
        <v>2527.9875000000002</v>
      </c>
      <c r="J13" s="3" t="s">
        <v>146</v>
      </c>
      <c r="K13" s="3" t="s">
        <v>162</v>
      </c>
      <c r="L13" s="19">
        <v>100000</v>
      </c>
      <c r="M13" s="3" t="str">
        <f>IF(car_inventory[[#This Row],[Warantee Miles]]&gt;=H13,"YES","NO")</f>
        <v>YES</v>
      </c>
      <c r="N13" s="3" t="str">
        <f>CONCATENATE(car_inventory[[#This Row],[Make]],car_inventory[[#This Row],[Manufacture Year]],car_inventory[[#This Row],[Model]],UPPER(LEFT(car_inventory[[#This Row],[Color]],3)),RIGHT(car_inventory[[#This Row],[Car ID]],3))</f>
        <v>HY13ELABLA051</v>
      </c>
    </row>
    <row r="14" spans="1:20" x14ac:dyDescent="0.35">
      <c r="A14" s="3" t="s">
        <v>144</v>
      </c>
      <c r="B14" s="3" t="str">
        <f>LEFT(car_inventory[[#This Row],[Car ID]],2)</f>
        <v>FD</v>
      </c>
      <c r="C14" s="3" t="str">
        <f>VLOOKUP(car_inventory[[#This Row],[Make]],$P$2:$Q$7,2)</f>
        <v>Ford</v>
      </c>
      <c r="D14" s="3" t="str">
        <f>MID(car_inventory[[#This Row],[Car ID]],5,3)</f>
        <v>MTG</v>
      </c>
      <c r="E14" s="3" t="str">
        <f>VLOOKUP(car_inventory[[#This Row],[Model]],$S$2:$T$12,2)</f>
        <v>Mustang</v>
      </c>
      <c r="F14" s="3" t="str">
        <f>MID(car_inventory[[#This Row],[Car ID]],3,2)</f>
        <v>06</v>
      </c>
      <c r="G14" s="3">
        <f>IF(21-car_inventory[[#This Row],[Manufacture Year]]&lt;0,100-car_inventory[[#This Row],[Manufacture Year]]+21,21-car_inventory[[#This Row],[Manufacture Year]])</f>
        <v>15</v>
      </c>
      <c r="H14" s="19">
        <v>40326.800000000003</v>
      </c>
      <c r="I14" s="3">
        <f>car_inventory[[#This Row],[Miles]]/car_inventory[[#This Row],[Age]]</f>
        <v>2688.4533333333334</v>
      </c>
      <c r="J14" s="3" t="s">
        <v>146</v>
      </c>
      <c r="K14" s="3" t="s">
        <v>120</v>
      </c>
      <c r="L14" s="19">
        <v>50000</v>
      </c>
      <c r="M14" s="3" t="str">
        <f>IF(car_inventory[[#This Row],[Warantee Miles]]&gt;=H14,"YES","NO")</f>
        <v>YES</v>
      </c>
      <c r="N14" s="3" t="str">
        <f>CONCATENATE(car_inventory[[#This Row],[Make]],car_inventory[[#This Row],[Manufacture Year]],car_inventory[[#This Row],[Model]],UPPER(LEFT(car_inventory[[#This Row],[Color]],3)),RIGHT(car_inventory[[#This Row],[Car ID]],3))</f>
        <v>FD06MTGBLA001</v>
      </c>
    </row>
    <row r="15" spans="1:20" x14ac:dyDescent="0.35">
      <c r="A15" s="3" t="s">
        <v>198</v>
      </c>
      <c r="B15" s="3" t="str">
        <f>LEFT(car_inventory[[#This Row],[Car ID]],2)</f>
        <v>HO</v>
      </c>
      <c r="C15" s="3" t="str">
        <f>VLOOKUP(car_inventory[[#This Row],[Make]],$P$2:$Q$7,2)</f>
        <v>Honda</v>
      </c>
      <c r="D15" s="3" t="str">
        <f>MID(car_inventory[[#This Row],[Car ID]],5,3)</f>
        <v>CIV</v>
      </c>
      <c r="E15" s="3" t="str">
        <f>VLOOKUP(car_inventory[[#This Row],[Model]],$S$2:$T$12,2)</f>
        <v>Civic</v>
      </c>
      <c r="F15" s="3" t="str">
        <f>MID(car_inventory[[#This Row],[Car ID]],3,2)</f>
        <v>12</v>
      </c>
      <c r="G15" s="3">
        <f>IF(21-car_inventory[[#This Row],[Manufacture Year]]&lt;0,100-car_inventory[[#This Row],[Manufacture Year]]+21,21-car_inventory[[#This Row],[Manufacture Year]])</f>
        <v>9</v>
      </c>
      <c r="H15" s="19">
        <v>24513.200000000001</v>
      </c>
      <c r="I15" s="3">
        <f>car_inventory[[#This Row],[Miles]]/car_inventory[[#This Row],[Age]]</f>
        <v>2723.6888888888889</v>
      </c>
      <c r="J15" s="3" t="s">
        <v>146</v>
      </c>
      <c r="K15" s="3" t="s">
        <v>175</v>
      </c>
      <c r="L15" s="19">
        <v>75000</v>
      </c>
      <c r="M15" s="3" t="str">
        <f>IF(car_inventory[[#This Row],[Warantee Miles]]&gt;=H15,"YES","NO")</f>
        <v>YES</v>
      </c>
      <c r="N15" s="3" t="str">
        <f>CONCATENATE(car_inventory[[#This Row],[Make]],car_inventory[[#This Row],[Manufacture Year]],car_inventory[[#This Row],[Model]],UPPER(LEFT(car_inventory[[#This Row],[Color]],3)),RIGHT(car_inventory[[#This Row],[Car ID]],3))</f>
        <v>HO12CIVBLA035</v>
      </c>
    </row>
    <row r="16" spans="1:20" x14ac:dyDescent="0.35">
      <c r="A16" s="3" t="s">
        <v>205</v>
      </c>
      <c r="B16" s="3" t="str">
        <f>LEFT(car_inventory[[#This Row],[Car ID]],2)</f>
        <v>CR</v>
      </c>
      <c r="C16" s="3" t="str">
        <f>VLOOKUP(car_inventory[[#This Row],[Make]],$P$2:$Q$7,2)</f>
        <v>Chrysler</v>
      </c>
      <c r="D16" s="3" t="str">
        <f>MID(car_inventory[[#This Row],[Car ID]],5,3)</f>
        <v>PTC</v>
      </c>
      <c r="E16" s="3" t="str">
        <f>VLOOKUP(car_inventory[[#This Row],[Model]],$S$2:$T$12,2)</f>
        <v>PT Cruiser</v>
      </c>
      <c r="F16" s="3" t="str">
        <f>MID(car_inventory[[#This Row],[Car ID]],3,2)</f>
        <v>11</v>
      </c>
      <c r="G16" s="3">
        <f>IF(21-car_inventory[[#This Row],[Manufacture Year]]&lt;0,100-car_inventory[[#This Row],[Manufacture Year]]+21,21-car_inventory[[#This Row],[Manufacture Year]])</f>
        <v>10</v>
      </c>
      <c r="H16" s="19">
        <v>27394.2</v>
      </c>
      <c r="I16" s="3">
        <f>car_inventory[[#This Row],[Miles]]/car_inventory[[#This Row],[Age]]</f>
        <v>2739.42</v>
      </c>
      <c r="J16" s="3" t="s">
        <v>146</v>
      </c>
      <c r="K16" s="3" t="s">
        <v>166</v>
      </c>
      <c r="L16" s="19">
        <v>75000</v>
      </c>
      <c r="M16" s="3" t="str">
        <f>IF(car_inventory[[#This Row],[Warantee Miles]]&gt;=H16,"YES","NO")</f>
        <v>YES</v>
      </c>
      <c r="N16" s="3" t="str">
        <f>CONCATENATE(car_inventory[[#This Row],[Make]],car_inventory[[#This Row],[Manufacture Year]],car_inventory[[#This Row],[Model]],UPPER(LEFT(car_inventory[[#This Row],[Color]],3)),RIGHT(car_inventory[[#This Row],[Car ID]],3))</f>
        <v>CR11PTCBLA044</v>
      </c>
    </row>
    <row r="17" spans="1:14" x14ac:dyDescent="0.35">
      <c r="A17" s="3" t="s">
        <v>213</v>
      </c>
      <c r="B17" s="3" t="str">
        <f>LEFT(car_inventory[[#This Row],[Car ID]],2)</f>
        <v>HY</v>
      </c>
      <c r="C17" s="3" t="str">
        <f>VLOOKUP(car_inventory[[#This Row],[Make]],$P$2:$Q$7,2)</f>
        <v>Hyundai</v>
      </c>
      <c r="D17" s="3" t="str">
        <f>MID(car_inventory[[#This Row],[Car ID]],5,3)</f>
        <v>ELA</v>
      </c>
      <c r="E17" s="3" t="str">
        <f>VLOOKUP(car_inventory[[#This Row],[Model]],$S$2:$T$12,2)</f>
        <v>Elantra</v>
      </c>
      <c r="F17" s="3" t="str">
        <f>MID(car_inventory[[#This Row],[Car ID]],3,2)</f>
        <v>13</v>
      </c>
      <c r="G17" s="3">
        <f>IF(21-car_inventory[[#This Row],[Manufacture Year]]&lt;0,100-car_inventory[[#This Row],[Manufacture Year]]+21,21-car_inventory[[#This Row],[Manufacture Year]])</f>
        <v>8</v>
      </c>
      <c r="H17" s="19">
        <v>22188.5</v>
      </c>
      <c r="I17" s="3">
        <f>car_inventory[[#This Row],[Miles]]/car_inventory[[#This Row],[Age]]</f>
        <v>2773.5625</v>
      </c>
      <c r="J17" s="3" t="s">
        <v>178</v>
      </c>
      <c r="K17" s="3" t="s">
        <v>156</v>
      </c>
      <c r="L17" s="19">
        <v>100000</v>
      </c>
      <c r="M17" s="3" t="str">
        <f>IF(car_inventory[[#This Row],[Warantee Miles]]&gt;=H17,"YES","NO")</f>
        <v>YES</v>
      </c>
      <c r="N17" s="3" t="str">
        <f>CONCATENATE(car_inventory[[#This Row],[Make]],car_inventory[[#This Row],[Manufacture Year]],car_inventory[[#This Row],[Model]],UPPER(LEFT(car_inventory[[#This Row],[Color]],3)),RIGHT(car_inventory[[#This Row],[Car ID]],3))</f>
        <v>HY13ELABLU052</v>
      </c>
    </row>
    <row r="18" spans="1:14" x14ac:dyDescent="0.35">
      <c r="A18" s="3" t="s">
        <v>155</v>
      </c>
      <c r="B18" s="3" t="str">
        <f>LEFT(car_inventory[[#This Row],[Car ID]],2)</f>
        <v>FD</v>
      </c>
      <c r="C18" s="3" t="str">
        <f>VLOOKUP(car_inventory[[#This Row],[Make]],$P$2:$Q$7,2)</f>
        <v>Ford</v>
      </c>
      <c r="D18" s="3" t="str">
        <f>MID(car_inventory[[#This Row],[Car ID]],5,3)</f>
        <v>MTG</v>
      </c>
      <c r="E18" s="3" t="str">
        <f>VLOOKUP(car_inventory[[#This Row],[Model]],$S$2:$T$12,2)</f>
        <v>Mustang</v>
      </c>
      <c r="F18" s="3" t="str">
        <f>MID(car_inventory[[#This Row],[Car ID]],3,2)</f>
        <v>08</v>
      </c>
      <c r="G18" s="3">
        <f>IF(21-car_inventory[[#This Row],[Manufacture Year]]&lt;0,100-car_inventory[[#This Row],[Manufacture Year]]+21,21-car_inventory[[#This Row],[Manufacture Year]])</f>
        <v>13</v>
      </c>
      <c r="H18" s="19">
        <v>36438.5</v>
      </c>
      <c r="I18" s="3">
        <f>car_inventory[[#This Row],[Miles]]/car_inventory[[#This Row],[Age]]</f>
        <v>2802.9615384615386</v>
      </c>
      <c r="J18" s="3" t="s">
        <v>148</v>
      </c>
      <c r="K18" s="3" t="s">
        <v>120</v>
      </c>
      <c r="L18" s="19">
        <v>50000</v>
      </c>
      <c r="M18" s="3" t="str">
        <f>IF(car_inventory[[#This Row],[Warantee Miles]]&gt;=H18,"YES","NO")</f>
        <v>YES</v>
      </c>
      <c r="N18" s="3" t="str">
        <f>CONCATENATE(car_inventory[[#This Row],[Make]],car_inventory[[#This Row],[Manufacture Year]],car_inventory[[#This Row],[Model]],UPPER(LEFT(car_inventory[[#This Row],[Color]],3)),RIGHT(car_inventory[[#This Row],[Car ID]],3))</f>
        <v>FD08MTGWHI005</v>
      </c>
    </row>
    <row r="19" spans="1:14" x14ac:dyDescent="0.35">
      <c r="A19" s="3" t="s">
        <v>165</v>
      </c>
      <c r="B19" s="3" t="str">
        <f>LEFT(car_inventory[[#This Row],[Car ID]],2)</f>
        <v>FD</v>
      </c>
      <c r="C19" s="3" t="str">
        <f>VLOOKUP(car_inventory[[#This Row],[Make]],$P$2:$Q$7,2)</f>
        <v>Ford</v>
      </c>
      <c r="D19" s="3" t="str">
        <f>MID(car_inventory[[#This Row],[Car ID]],5,3)</f>
        <v>FCS</v>
      </c>
      <c r="E19" s="3" t="str">
        <f>VLOOKUP(car_inventory[[#This Row],[Model]],$S$2:$T$12,2)</f>
        <v>Focus</v>
      </c>
      <c r="F19" s="3" t="str">
        <f>MID(car_inventory[[#This Row],[Car ID]],3,2)</f>
        <v>13</v>
      </c>
      <c r="G19" s="3">
        <f>IF(21-car_inventory[[#This Row],[Manufacture Year]]&lt;0,100-car_inventory[[#This Row],[Manufacture Year]]+21,21-car_inventory[[#This Row],[Manufacture Year]])</f>
        <v>8</v>
      </c>
      <c r="H19" s="19">
        <v>22521.599999999999</v>
      </c>
      <c r="I19" s="3">
        <f>car_inventory[[#This Row],[Miles]]/car_inventory[[#This Row],[Age]]</f>
        <v>2815.2</v>
      </c>
      <c r="J19" s="3" t="s">
        <v>146</v>
      </c>
      <c r="K19" s="3" t="s">
        <v>166</v>
      </c>
      <c r="L19" s="19">
        <v>75000</v>
      </c>
      <c r="M19" s="3" t="str">
        <f>IF(car_inventory[[#This Row],[Warantee Miles]]&gt;=H19,"YES","NO")</f>
        <v>YES</v>
      </c>
      <c r="N19" s="3" t="str">
        <f>CONCATENATE(car_inventory[[#This Row],[Make]],car_inventory[[#This Row],[Manufacture Year]],car_inventory[[#This Row],[Model]],UPPER(LEFT(car_inventory[[#This Row],[Color]],3)),RIGHT(car_inventory[[#This Row],[Car ID]],3))</f>
        <v>FD13FCSBLA012</v>
      </c>
    </row>
    <row r="20" spans="1:14" x14ac:dyDescent="0.35">
      <c r="A20" s="3" t="s">
        <v>174</v>
      </c>
      <c r="B20" s="3" t="str">
        <f>LEFT(car_inventory[[#This Row],[Car ID]],2)</f>
        <v>GM</v>
      </c>
      <c r="C20" s="3" t="str">
        <f>VLOOKUP(car_inventory[[#This Row],[Make]],$P$2:$Q$7,2)</f>
        <v>General Motors</v>
      </c>
      <c r="D20" s="3" t="str">
        <f>MID(car_inventory[[#This Row],[Car ID]],5,3)</f>
        <v>SLV</v>
      </c>
      <c r="E20" s="3" t="str">
        <f>VLOOKUP(car_inventory[[#This Row],[Model]],$S$2:$T$12,2)</f>
        <v>Silverado</v>
      </c>
      <c r="F20" s="3" t="str">
        <f>MID(car_inventory[[#This Row],[Car ID]],3,2)</f>
        <v>10</v>
      </c>
      <c r="G20" s="3">
        <f>IF(21-car_inventory[[#This Row],[Manufacture Year]]&lt;0,100-car_inventory[[#This Row],[Manufacture Year]]+21,21-car_inventory[[#This Row],[Manufacture Year]])</f>
        <v>11</v>
      </c>
      <c r="H20" s="19">
        <v>31144.400000000001</v>
      </c>
      <c r="I20" s="3">
        <f>car_inventory[[#This Row],[Miles]]/car_inventory[[#This Row],[Age]]</f>
        <v>2831.3090909090911</v>
      </c>
      <c r="J20" s="3" t="s">
        <v>146</v>
      </c>
      <c r="K20" s="3" t="s">
        <v>175</v>
      </c>
      <c r="L20" s="19">
        <v>100000</v>
      </c>
      <c r="M20" s="3" t="str">
        <f>IF(car_inventory[[#This Row],[Warantee Miles]]&gt;=H20,"YES","NO")</f>
        <v>YES</v>
      </c>
      <c r="N20" s="3" t="str">
        <f>CONCATENATE(car_inventory[[#This Row],[Make]],car_inventory[[#This Row],[Manufacture Year]],car_inventory[[#This Row],[Model]],UPPER(LEFT(car_inventory[[#This Row],[Color]],3)),RIGHT(car_inventory[[#This Row],[Car ID]],3))</f>
        <v>GM10SLVBLA017</v>
      </c>
    </row>
    <row r="21" spans="1:14" x14ac:dyDescent="0.35">
      <c r="A21" s="3" t="s">
        <v>153</v>
      </c>
      <c r="B21" s="3" t="str">
        <f>LEFT(car_inventory[[#This Row],[Car ID]],2)</f>
        <v>FD</v>
      </c>
      <c r="C21" s="3" t="str">
        <f>VLOOKUP(car_inventory[[#This Row],[Make]],$P$2:$Q$7,2)</f>
        <v>Ford</v>
      </c>
      <c r="D21" s="3" t="str">
        <f>MID(car_inventory[[#This Row],[Car ID]],5,3)</f>
        <v>MTG</v>
      </c>
      <c r="E21" s="3" t="str">
        <f>VLOOKUP(car_inventory[[#This Row],[Model]],$S$2:$T$12,2)</f>
        <v>Mustang</v>
      </c>
      <c r="F21" s="3" t="str">
        <f>MID(car_inventory[[#This Row],[Car ID]],3,2)</f>
        <v>08</v>
      </c>
      <c r="G21" s="3">
        <f>IF(21-car_inventory[[#This Row],[Manufacture Year]]&lt;0,100-car_inventory[[#This Row],[Manufacture Year]]+21,21-car_inventory[[#This Row],[Manufacture Year]])</f>
        <v>13</v>
      </c>
      <c r="H21" s="19">
        <v>37558.800000000003</v>
      </c>
      <c r="I21" s="3">
        <f>car_inventory[[#This Row],[Miles]]/car_inventory[[#This Row],[Age]]</f>
        <v>2889.1384615384618</v>
      </c>
      <c r="J21" s="3" t="s">
        <v>146</v>
      </c>
      <c r="K21" s="3" t="s">
        <v>154</v>
      </c>
      <c r="L21" s="19">
        <v>50000</v>
      </c>
      <c r="M21" s="3" t="str">
        <f>IF(car_inventory[[#This Row],[Warantee Miles]]&gt;=H21,"YES","NO")</f>
        <v>YES</v>
      </c>
      <c r="N21" s="3" t="str">
        <f>CONCATENATE(car_inventory[[#This Row],[Make]],car_inventory[[#This Row],[Manufacture Year]],car_inventory[[#This Row],[Model]],UPPER(LEFT(car_inventory[[#This Row],[Color]],3)),RIGHT(car_inventory[[#This Row],[Car ID]],3))</f>
        <v>FD08MTGBLA004</v>
      </c>
    </row>
    <row r="22" spans="1:14" x14ac:dyDescent="0.35">
      <c r="A22" s="3" t="s">
        <v>210</v>
      </c>
      <c r="B22" s="3" t="str">
        <f>LEFT(car_inventory[[#This Row],[Car ID]],2)</f>
        <v>HY</v>
      </c>
      <c r="C22" s="3" t="str">
        <f>VLOOKUP(car_inventory[[#This Row],[Make]],$P$2:$Q$7,2)</f>
        <v>Hyundai</v>
      </c>
      <c r="D22" s="3" t="str">
        <f>MID(car_inventory[[#This Row],[Car ID]],5,3)</f>
        <v>ELA</v>
      </c>
      <c r="E22" s="3" t="str">
        <f>VLOOKUP(car_inventory[[#This Row],[Model]],$S$2:$T$12,2)</f>
        <v>Elantra</v>
      </c>
      <c r="F22" s="3" t="str">
        <f>MID(car_inventory[[#This Row],[Car ID]],3,2)</f>
        <v>11</v>
      </c>
      <c r="G22" s="3">
        <f>IF(21-car_inventory[[#This Row],[Manufacture Year]]&lt;0,100-car_inventory[[#This Row],[Manufacture Year]]+21,21-car_inventory[[#This Row],[Manufacture Year]])</f>
        <v>10</v>
      </c>
      <c r="H22" s="19">
        <v>29102.3</v>
      </c>
      <c r="I22" s="3">
        <f>car_inventory[[#This Row],[Miles]]/car_inventory[[#This Row],[Age]]</f>
        <v>2910.23</v>
      </c>
      <c r="J22" s="3" t="s">
        <v>146</v>
      </c>
      <c r="K22" s="3" t="s">
        <v>173</v>
      </c>
      <c r="L22" s="19">
        <v>100000</v>
      </c>
      <c r="M22" s="3" t="str">
        <f>IF(car_inventory[[#This Row],[Warantee Miles]]&gt;=H22,"YES","NO")</f>
        <v>YES</v>
      </c>
      <c r="N22" s="3" t="str">
        <f>CONCATENATE(car_inventory[[#This Row],[Make]],car_inventory[[#This Row],[Manufacture Year]],car_inventory[[#This Row],[Model]],UPPER(LEFT(car_inventory[[#This Row],[Color]],3)),RIGHT(car_inventory[[#This Row],[Car ID]],3))</f>
        <v>HY11ELABLA049</v>
      </c>
    </row>
    <row r="23" spans="1:14" x14ac:dyDescent="0.35">
      <c r="A23" s="3" t="s">
        <v>158</v>
      </c>
      <c r="B23" s="3" t="str">
        <f>LEFT(car_inventory[[#This Row],[Car ID]],2)</f>
        <v>FD</v>
      </c>
      <c r="C23" s="3" t="str">
        <f>VLOOKUP(car_inventory[[#This Row],[Make]],$P$2:$Q$7,2)</f>
        <v>Ford</v>
      </c>
      <c r="D23" s="3" t="str">
        <f>MID(car_inventory[[#This Row],[Car ID]],5,3)</f>
        <v>FCS</v>
      </c>
      <c r="E23" s="3" t="str">
        <f>VLOOKUP(car_inventory[[#This Row],[Model]],$S$2:$T$12,2)</f>
        <v>Focus</v>
      </c>
      <c r="F23" s="3" t="str">
        <f>MID(car_inventory[[#This Row],[Car ID]],3,2)</f>
        <v>09</v>
      </c>
      <c r="G23" s="3">
        <f>IF(21-car_inventory[[#This Row],[Manufacture Year]]&lt;0,100-car_inventory[[#This Row],[Manufacture Year]]+21,21-car_inventory[[#This Row],[Manufacture Year]])</f>
        <v>12</v>
      </c>
      <c r="H23" s="19">
        <v>35137</v>
      </c>
      <c r="I23" s="3">
        <f>car_inventory[[#This Row],[Miles]]/car_inventory[[#This Row],[Age]]</f>
        <v>2928.0833333333335</v>
      </c>
      <c r="J23" s="3" t="s">
        <v>146</v>
      </c>
      <c r="K23" s="3" t="s">
        <v>159</v>
      </c>
      <c r="L23" s="19">
        <v>75000</v>
      </c>
      <c r="M23" s="3" t="str">
        <f>IF(car_inventory[[#This Row],[Warantee Miles]]&gt;=H23,"YES","NO")</f>
        <v>YES</v>
      </c>
      <c r="N23" s="3" t="str">
        <f>CONCATENATE(car_inventory[[#This Row],[Make]],car_inventory[[#This Row],[Manufacture Year]],car_inventory[[#This Row],[Model]],UPPER(LEFT(car_inventory[[#This Row],[Color]],3)),RIGHT(car_inventory[[#This Row],[Car ID]],3))</f>
        <v>FD09FCSBLA008</v>
      </c>
    </row>
    <row r="24" spans="1:14" x14ac:dyDescent="0.35">
      <c r="A24" s="3" t="s">
        <v>147</v>
      </c>
      <c r="B24" s="3" t="str">
        <f>LEFT(car_inventory[[#This Row],[Car ID]],2)</f>
        <v>FD</v>
      </c>
      <c r="C24" s="3" t="str">
        <f>VLOOKUP(car_inventory[[#This Row],[Make]],$P$2:$Q$7,2)</f>
        <v>Ford</v>
      </c>
      <c r="D24" s="3" t="str">
        <f>MID(car_inventory[[#This Row],[Car ID]],5,3)</f>
        <v>MTG</v>
      </c>
      <c r="E24" s="3" t="str">
        <f>VLOOKUP(car_inventory[[#This Row],[Model]],$S$2:$T$12,2)</f>
        <v>Mustang</v>
      </c>
      <c r="F24" s="3" t="str">
        <f>MID(car_inventory[[#This Row],[Car ID]],3,2)</f>
        <v>06</v>
      </c>
      <c r="G24" s="3">
        <f>IF(21-car_inventory[[#This Row],[Manufacture Year]]&lt;0,100-car_inventory[[#This Row],[Manufacture Year]]+21,21-car_inventory[[#This Row],[Manufacture Year]])</f>
        <v>15</v>
      </c>
      <c r="H24" s="19">
        <v>44974.8</v>
      </c>
      <c r="I24" s="3">
        <f>car_inventory[[#This Row],[Miles]]/car_inventory[[#This Row],[Age]]</f>
        <v>2998.32</v>
      </c>
      <c r="J24" s="3" t="s">
        <v>148</v>
      </c>
      <c r="K24" s="3" t="s">
        <v>149</v>
      </c>
      <c r="L24" s="19">
        <v>50000</v>
      </c>
      <c r="M24" s="3" t="str">
        <f>IF(car_inventory[[#This Row],[Warantee Miles]]&gt;=H24,"YES","NO")</f>
        <v>YES</v>
      </c>
      <c r="N24" s="3" t="str">
        <f>CONCATENATE(car_inventory[[#This Row],[Make]],car_inventory[[#This Row],[Manufacture Year]],car_inventory[[#This Row],[Model]],UPPER(LEFT(car_inventory[[#This Row],[Color]],3)),RIGHT(car_inventory[[#This Row],[Car ID]],3))</f>
        <v>FD06MTGWHI002</v>
      </c>
    </row>
    <row r="25" spans="1:14" x14ac:dyDescent="0.35">
      <c r="A25" s="3" t="s">
        <v>204</v>
      </c>
      <c r="B25" s="3" t="str">
        <f>LEFT(car_inventory[[#This Row],[Car ID]],2)</f>
        <v>CR</v>
      </c>
      <c r="C25" s="3" t="str">
        <f>VLOOKUP(car_inventory[[#This Row],[Make]],$P$2:$Q$7,2)</f>
        <v>Chrysler</v>
      </c>
      <c r="D25" s="3" t="str">
        <f>MID(car_inventory[[#This Row],[Car ID]],5,3)</f>
        <v>PTC</v>
      </c>
      <c r="E25" s="3" t="str">
        <f>VLOOKUP(car_inventory[[#This Row],[Model]],$S$2:$T$12,2)</f>
        <v>PT Cruiser</v>
      </c>
      <c r="F25" s="3" t="str">
        <f>MID(car_inventory[[#This Row],[Car ID]],3,2)</f>
        <v>07</v>
      </c>
      <c r="G25" s="3">
        <f>IF(21-car_inventory[[#This Row],[Manufacture Year]]&lt;0,100-car_inventory[[#This Row],[Manufacture Year]]+21,21-car_inventory[[#This Row],[Manufacture Year]])</f>
        <v>14</v>
      </c>
      <c r="H25" s="19">
        <v>42074.2</v>
      </c>
      <c r="I25" s="3">
        <f>car_inventory[[#This Row],[Miles]]/car_inventory[[#This Row],[Age]]</f>
        <v>3005.2999999999997</v>
      </c>
      <c r="J25" s="3" t="s">
        <v>151</v>
      </c>
      <c r="K25" s="3" t="s">
        <v>188</v>
      </c>
      <c r="L25" s="19">
        <v>75000</v>
      </c>
      <c r="M25" s="3" t="str">
        <f>IF(car_inventory[[#This Row],[Warantee Miles]]&gt;=H25,"YES","NO")</f>
        <v>YES</v>
      </c>
      <c r="N25" s="3" t="str">
        <f>CONCATENATE(car_inventory[[#This Row],[Make]],car_inventory[[#This Row],[Manufacture Year]],car_inventory[[#This Row],[Model]],UPPER(LEFT(car_inventory[[#This Row],[Color]],3)),RIGHT(car_inventory[[#This Row],[Car ID]],3))</f>
        <v>CR07PTCGRE043</v>
      </c>
    </row>
    <row r="26" spans="1:14" x14ac:dyDescent="0.35">
      <c r="A26" s="3" t="s">
        <v>196</v>
      </c>
      <c r="B26" s="3" t="str">
        <f>LEFT(car_inventory[[#This Row],[Car ID]],2)</f>
        <v>HO</v>
      </c>
      <c r="C26" s="3" t="str">
        <f>VLOOKUP(car_inventory[[#This Row],[Make]],$P$2:$Q$7,2)</f>
        <v>Honda</v>
      </c>
      <c r="D26" s="3" t="str">
        <f>MID(car_inventory[[#This Row],[Car ID]],5,3)</f>
        <v>CIV</v>
      </c>
      <c r="E26" s="3" t="str">
        <f>VLOOKUP(car_inventory[[#This Row],[Model]],$S$2:$T$12,2)</f>
        <v>Civic</v>
      </c>
      <c r="F26" s="3" t="str">
        <f>MID(car_inventory[[#This Row],[Car ID]],3,2)</f>
        <v>10</v>
      </c>
      <c r="G26" s="3">
        <f>IF(21-car_inventory[[#This Row],[Manufacture Year]]&lt;0,100-car_inventory[[#This Row],[Manufacture Year]]+21,21-car_inventory[[#This Row],[Manufacture Year]])</f>
        <v>11</v>
      </c>
      <c r="H26" s="19">
        <v>33477.199999999997</v>
      </c>
      <c r="I26" s="3">
        <f>car_inventory[[#This Row],[Miles]]/car_inventory[[#This Row],[Age]]</f>
        <v>3043.3818181818178</v>
      </c>
      <c r="J26" s="3" t="s">
        <v>146</v>
      </c>
      <c r="K26" s="3" t="s">
        <v>182</v>
      </c>
      <c r="L26" s="19">
        <v>75000</v>
      </c>
      <c r="M26" s="3" t="str">
        <f>IF(car_inventory[[#This Row],[Warantee Miles]]&gt;=H26,"YES","NO")</f>
        <v>YES</v>
      </c>
      <c r="N26" s="3" t="str">
        <f>CONCATENATE(car_inventory[[#This Row],[Make]],car_inventory[[#This Row],[Manufacture Year]],car_inventory[[#This Row],[Model]],UPPER(LEFT(car_inventory[[#This Row],[Color]],3)),RIGHT(car_inventory[[#This Row],[Car ID]],3))</f>
        <v>HO10CIVBLA033</v>
      </c>
    </row>
    <row r="27" spans="1:14" x14ac:dyDescent="0.35">
      <c r="A27" s="3" t="s">
        <v>197</v>
      </c>
      <c r="B27" s="3" t="str">
        <f>LEFT(car_inventory[[#This Row],[Car ID]],2)</f>
        <v>HO</v>
      </c>
      <c r="C27" s="3" t="str">
        <f>VLOOKUP(car_inventory[[#This Row],[Make]],$P$2:$Q$7,2)</f>
        <v>Honda</v>
      </c>
      <c r="D27" s="3" t="str">
        <f>MID(car_inventory[[#This Row],[Car ID]],5,3)</f>
        <v>CIV</v>
      </c>
      <c r="E27" s="3" t="str">
        <f>VLOOKUP(car_inventory[[#This Row],[Model]],$S$2:$T$12,2)</f>
        <v>Civic</v>
      </c>
      <c r="F27" s="3" t="str">
        <f>MID(car_inventory[[#This Row],[Car ID]],3,2)</f>
        <v>11</v>
      </c>
      <c r="G27" s="3">
        <f>IF(21-car_inventory[[#This Row],[Manufacture Year]]&lt;0,100-car_inventory[[#This Row],[Manufacture Year]]+21,21-car_inventory[[#This Row],[Manufacture Year]])</f>
        <v>10</v>
      </c>
      <c r="H27" s="19">
        <v>30555.3</v>
      </c>
      <c r="I27" s="3">
        <f>car_inventory[[#This Row],[Miles]]/car_inventory[[#This Row],[Age]]</f>
        <v>3055.5299999999997</v>
      </c>
      <c r="J27" s="3" t="s">
        <v>146</v>
      </c>
      <c r="K27" s="3" t="s">
        <v>152</v>
      </c>
      <c r="L27" s="19">
        <v>75000</v>
      </c>
      <c r="M27" s="3" t="str">
        <f>IF(car_inventory[[#This Row],[Warantee Miles]]&gt;=H27,"YES","NO")</f>
        <v>YES</v>
      </c>
      <c r="N27" s="3" t="str">
        <f>CONCATENATE(car_inventory[[#This Row],[Make]],car_inventory[[#This Row],[Manufacture Year]],car_inventory[[#This Row],[Model]],UPPER(LEFT(car_inventory[[#This Row],[Color]],3)),RIGHT(car_inventory[[#This Row],[Car ID]],3))</f>
        <v>HO11CIVBLA034</v>
      </c>
    </row>
    <row r="28" spans="1:14" x14ac:dyDescent="0.35">
      <c r="A28" s="3" t="s">
        <v>251</v>
      </c>
      <c r="B28" s="3" t="str">
        <f>LEFT(car_inventory[[#This Row],[Car ID]],2)</f>
        <v>FD</v>
      </c>
      <c r="C28" s="3" t="str">
        <f>VLOOKUP(car_inventory[[#This Row],[Make]],$P$2:$Q$7,2)</f>
        <v>Ford</v>
      </c>
      <c r="D28" s="3" t="str">
        <f>MID(car_inventory[[#This Row],[Car ID]],5,3)</f>
        <v>FCS</v>
      </c>
      <c r="E28" s="3" t="str">
        <f>VLOOKUP(car_inventory[[#This Row],[Model]],$S$2:$T$12,2)</f>
        <v>Focus</v>
      </c>
      <c r="F28" s="3" t="str">
        <f>MID(car_inventory[[#This Row],[Car ID]],3,2)</f>
        <v>06</v>
      </c>
      <c r="G28" s="3">
        <f>IF(21-car_inventory[[#This Row],[Manufacture Year]]&lt;0,100-car_inventory[[#This Row],[Manufacture Year]]+21,21-car_inventory[[#This Row],[Manufacture Year]])</f>
        <v>15</v>
      </c>
      <c r="H28" s="19">
        <v>46311.4</v>
      </c>
      <c r="I28" s="3">
        <f>car_inventory[[#This Row],[Miles]]/car_inventory[[#This Row],[Age]]</f>
        <v>3087.4266666666667</v>
      </c>
      <c r="J28" s="3" t="s">
        <v>151</v>
      </c>
      <c r="K28" s="3" t="s">
        <v>156</v>
      </c>
      <c r="L28" s="19">
        <v>75000</v>
      </c>
      <c r="M28" s="3" t="str">
        <f>IF(car_inventory[[#This Row],[Warantee Miles]]&gt;=H28,"YES","NO")</f>
        <v>YES</v>
      </c>
      <c r="N28" s="3" t="str">
        <f>CONCATENATE(car_inventory[[#This Row],[Make]],car_inventory[[#This Row],[Manufacture Year]],car_inventory[[#This Row],[Model]],UPPER(LEFT(car_inventory[[#This Row],[Color]],3)),RIGHT(car_inventory[[#This Row],[Car ID]],3))</f>
        <v>FD06FCSGRE006</v>
      </c>
    </row>
    <row r="29" spans="1:14" x14ac:dyDescent="0.35">
      <c r="A29" s="3" t="s">
        <v>209</v>
      </c>
      <c r="B29" s="3" t="str">
        <f>LEFT(car_inventory[[#This Row],[Car ID]],2)</f>
        <v>CR</v>
      </c>
      <c r="C29" s="3" t="str">
        <f>VLOOKUP(car_inventory[[#This Row],[Make]],$P$2:$Q$7,2)</f>
        <v>Chrysler</v>
      </c>
      <c r="D29" s="3" t="str">
        <f>MID(car_inventory[[#This Row],[Car ID]],5,3)</f>
        <v>CAR</v>
      </c>
      <c r="E29" s="3" t="str">
        <f>VLOOKUP(car_inventory[[#This Row],[Model]],$S$2:$T$12,2)</f>
        <v>Caravan</v>
      </c>
      <c r="F29" s="3" t="str">
        <f>MID(car_inventory[[#This Row],[Car ID]],3,2)</f>
        <v>04</v>
      </c>
      <c r="G29" s="3">
        <f>IF(21-car_inventory[[#This Row],[Manufacture Year]]&lt;0,100-car_inventory[[#This Row],[Manufacture Year]]+21,21-car_inventory[[#This Row],[Manufacture Year]])</f>
        <v>17</v>
      </c>
      <c r="H29" s="19">
        <v>52699.4</v>
      </c>
      <c r="I29" s="3">
        <f>car_inventory[[#This Row],[Miles]]/car_inventory[[#This Row],[Age]]</f>
        <v>3099.964705882353</v>
      </c>
      <c r="J29" s="3" t="s">
        <v>187</v>
      </c>
      <c r="K29" s="3" t="s">
        <v>171</v>
      </c>
      <c r="L29" s="19">
        <v>75000</v>
      </c>
      <c r="M29" s="3" t="str">
        <f>IF(car_inventory[[#This Row],[Warantee Miles]]&gt;=H29,"YES","NO")</f>
        <v>YES</v>
      </c>
      <c r="N29" s="3" t="str">
        <f>CONCATENATE(car_inventory[[#This Row],[Make]],car_inventory[[#This Row],[Manufacture Year]],car_inventory[[#This Row],[Model]],UPPER(LEFT(car_inventory[[#This Row],[Color]],3)),RIGHT(car_inventory[[#This Row],[Car ID]],3))</f>
        <v>CR04CARRED048</v>
      </c>
    </row>
    <row r="30" spans="1:14" x14ac:dyDescent="0.35">
      <c r="A30" s="3" t="s">
        <v>201</v>
      </c>
      <c r="B30" s="3" t="str">
        <f>LEFT(car_inventory[[#This Row],[Car ID]],2)</f>
        <v>HO</v>
      </c>
      <c r="C30" s="3" t="str">
        <f>VLOOKUP(car_inventory[[#This Row],[Make]],$P$2:$Q$7,2)</f>
        <v>Honda</v>
      </c>
      <c r="D30" s="3" t="str">
        <f>MID(car_inventory[[#This Row],[Car ID]],5,3)</f>
        <v>ODY</v>
      </c>
      <c r="E30" s="3" t="str">
        <f>VLOOKUP(car_inventory[[#This Row],[Model]],$S$2:$T$12,2)</f>
        <v>Odyssey</v>
      </c>
      <c r="F30" s="3" t="str">
        <f>MID(car_inventory[[#This Row],[Car ID]],3,2)</f>
        <v>08</v>
      </c>
      <c r="G30" s="3">
        <f>IF(21-car_inventory[[#This Row],[Manufacture Year]]&lt;0,100-car_inventory[[#This Row],[Manufacture Year]]+21,21-car_inventory[[#This Row],[Manufacture Year]])</f>
        <v>13</v>
      </c>
      <c r="H30" s="19">
        <v>42504.6</v>
      </c>
      <c r="I30" s="3">
        <f>car_inventory[[#This Row],[Miles]]/car_inventory[[#This Row],[Age]]</f>
        <v>3269.5846153846151</v>
      </c>
      <c r="J30" s="3" t="s">
        <v>148</v>
      </c>
      <c r="K30" s="3" t="s">
        <v>168</v>
      </c>
      <c r="L30" s="19">
        <v>100000</v>
      </c>
      <c r="M30" s="3" t="str">
        <f>IF(car_inventory[[#This Row],[Warantee Miles]]&gt;=H30,"YES","NO")</f>
        <v>YES</v>
      </c>
      <c r="N30" s="3" t="str">
        <f>CONCATENATE(car_inventory[[#This Row],[Make]],car_inventory[[#This Row],[Manufacture Year]],car_inventory[[#This Row],[Model]],UPPER(LEFT(car_inventory[[#This Row],[Color]],3)),RIGHT(car_inventory[[#This Row],[Car ID]],3))</f>
        <v>HO08ODYWHI039</v>
      </c>
    </row>
    <row r="31" spans="1:14" x14ac:dyDescent="0.35">
      <c r="A31" s="3" t="s">
        <v>191</v>
      </c>
      <c r="B31" s="3" t="str">
        <f>LEFT(car_inventory[[#This Row],[Car ID]],2)</f>
        <v>TY</v>
      </c>
      <c r="C31" s="3" t="str">
        <f>VLOOKUP(car_inventory[[#This Row],[Make]],$P$2:$Q$7,2)</f>
        <v>Toyota</v>
      </c>
      <c r="D31" s="3" t="str">
        <f>MID(car_inventory[[#This Row],[Car ID]],5,3)</f>
        <v>COR</v>
      </c>
      <c r="E31" s="3" t="str">
        <f>VLOOKUP(car_inventory[[#This Row],[Model]],$S$2:$T$12,2)</f>
        <v>Corolla</v>
      </c>
      <c r="F31" s="3" t="str">
        <f>MID(car_inventory[[#This Row],[Car ID]],3,2)</f>
        <v>12</v>
      </c>
      <c r="G31" s="3">
        <f>IF(21-car_inventory[[#This Row],[Manufacture Year]]&lt;0,100-car_inventory[[#This Row],[Manufacture Year]]+21,21-car_inventory[[#This Row],[Manufacture Year]])</f>
        <v>9</v>
      </c>
      <c r="H31" s="19">
        <v>29601.9</v>
      </c>
      <c r="I31" s="3">
        <f>car_inventory[[#This Row],[Miles]]/car_inventory[[#This Row],[Age]]</f>
        <v>3289.1000000000004</v>
      </c>
      <c r="J31" s="3" t="s">
        <v>146</v>
      </c>
      <c r="K31" s="3" t="s">
        <v>169</v>
      </c>
      <c r="L31" s="19">
        <v>100000</v>
      </c>
      <c r="M31" s="3" t="str">
        <f>IF(car_inventory[[#This Row],[Warantee Miles]]&gt;=H31,"YES","NO")</f>
        <v>YES</v>
      </c>
      <c r="N31" s="3" t="str">
        <f>CONCATENATE(car_inventory[[#This Row],[Make]],car_inventory[[#This Row],[Manufacture Year]],car_inventory[[#This Row],[Model]],UPPER(LEFT(car_inventory[[#This Row],[Color]],3)),RIGHT(car_inventory[[#This Row],[Car ID]],3))</f>
        <v>TY12CORBLA028</v>
      </c>
    </row>
    <row r="32" spans="1:14" x14ac:dyDescent="0.35">
      <c r="A32" s="3" t="s">
        <v>186</v>
      </c>
      <c r="B32" s="3" t="str">
        <f>LEFT(car_inventory[[#This Row],[Car ID]],2)</f>
        <v>TY</v>
      </c>
      <c r="C32" s="3" t="str">
        <f>VLOOKUP(car_inventory[[#This Row],[Make]],$P$2:$Q$7,2)</f>
        <v>Toyota</v>
      </c>
      <c r="D32" s="3" t="str">
        <f>MID(car_inventory[[#This Row],[Car ID]],5,3)</f>
        <v>COR</v>
      </c>
      <c r="E32" s="3" t="str">
        <f>VLOOKUP(car_inventory[[#This Row],[Model]],$S$2:$T$12,2)</f>
        <v>Corolla</v>
      </c>
      <c r="F32" s="3" t="str">
        <f>MID(car_inventory[[#This Row],[Car ID]],3,2)</f>
        <v>02</v>
      </c>
      <c r="G32" s="3">
        <f>IF(21-car_inventory[[#This Row],[Manufacture Year]]&lt;0,100-car_inventory[[#This Row],[Manufacture Year]]+21,21-car_inventory[[#This Row],[Manufacture Year]])</f>
        <v>19</v>
      </c>
      <c r="H32" s="19">
        <v>64467.4</v>
      </c>
      <c r="I32" s="3">
        <f>car_inventory[[#This Row],[Miles]]/car_inventory[[#This Row],[Age]]</f>
        <v>3393.0210526315791</v>
      </c>
      <c r="J32" s="3" t="s">
        <v>187</v>
      </c>
      <c r="K32" s="3" t="s">
        <v>188</v>
      </c>
      <c r="L32" s="19">
        <v>100000</v>
      </c>
      <c r="M32" s="3" t="str">
        <f>IF(car_inventory[[#This Row],[Warantee Miles]]&gt;=H32,"YES","NO")</f>
        <v>YES</v>
      </c>
      <c r="N32" s="3" t="str">
        <f>CONCATENATE(car_inventory[[#This Row],[Make]],car_inventory[[#This Row],[Manufacture Year]],car_inventory[[#This Row],[Model]],UPPER(LEFT(car_inventory[[#This Row],[Color]],3)),RIGHT(car_inventory[[#This Row],[Car ID]],3))</f>
        <v>TY02CORRED025</v>
      </c>
    </row>
    <row r="33" spans="1:14" x14ac:dyDescent="0.35">
      <c r="A33" s="3" t="s">
        <v>248</v>
      </c>
      <c r="B33" s="3" t="str">
        <f>LEFT(car_inventory[[#This Row],[Car ID]],2)</f>
        <v>HO</v>
      </c>
      <c r="C33" s="3" t="str">
        <f>VLOOKUP(car_inventory[[#This Row],[Make]],$P$2:$Q$7,2)</f>
        <v>Honda</v>
      </c>
      <c r="D33" s="3" t="str">
        <f>MID(car_inventory[[#This Row],[Car ID]],5,3)</f>
        <v>ODY</v>
      </c>
      <c r="E33" s="3" t="str">
        <f>VLOOKUP(car_inventory[[#This Row],[Model]],$S$2:$T$12,2)</f>
        <v>Odyssey</v>
      </c>
      <c r="F33" s="3" t="str">
        <f>MID(car_inventory[[#This Row],[Car ID]],3,2)</f>
        <v>01</v>
      </c>
      <c r="G33" s="3">
        <f>IF(21-car_inventory[[#This Row],[Manufacture Year]]&lt;0,100-car_inventory[[#This Row],[Manufacture Year]]+21,21-car_inventory[[#This Row],[Manufacture Year]])</f>
        <v>20</v>
      </c>
      <c r="H33" s="19">
        <v>68658.899999999994</v>
      </c>
      <c r="I33" s="3">
        <f>car_inventory[[#This Row],[Miles]]/car_inventory[[#This Row],[Age]]</f>
        <v>3432.9449999999997</v>
      </c>
      <c r="J33" s="3" t="s">
        <v>146</v>
      </c>
      <c r="K33" s="3" t="s">
        <v>120</v>
      </c>
      <c r="L33" s="19">
        <v>100000</v>
      </c>
      <c r="M33" s="3" t="str">
        <f>IF(car_inventory[[#This Row],[Warantee Miles]]&gt;=H33,"YES","NO")</f>
        <v>YES</v>
      </c>
      <c r="N33" s="3" t="str">
        <f>CONCATENATE(car_inventory[[#This Row],[Make]],car_inventory[[#This Row],[Manufacture Year]],car_inventory[[#This Row],[Model]],UPPER(LEFT(car_inventory[[#This Row],[Color]],3)),RIGHT(car_inventory[[#This Row],[Car ID]],3))</f>
        <v>HO01ODYBLA040</v>
      </c>
    </row>
    <row r="34" spans="1:14" x14ac:dyDescent="0.35">
      <c r="A34" s="3" t="s">
        <v>161</v>
      </c>
      <c r="B34" s="3" t="str">
        <f>LEFT(car_inventory[[#This Row],[Car ID]],2)</f>
        <v>FD</v>
      </c>
      <c r="C34" s="3" t="str">
        <f>VLOOKUP(car_inventory[[#This Row],[Make]],$P$2:$Q$7,2)</f>
        <v>Ford</v>
      </c>
      <c r="D34" s="3" t="str">
        <f>MID(car_inventory[[#This Row],[Car ID]],5,3)</f>
        <v>FCS</v>
      </c>
      <c r="E34" s="3" t="str">
        <f>VLOOKUP(car_inventory[[#This Row],[Model]],$S$2:$T$12,2)</f>
        <v>Focus</v>
      </c>
      <c r="F34" s="3" t="str">
        <f>MID(car_inventory[[#This Row],[Car ID]],3,2)</f>
        <v>13</v>
      </c>
      <c r="G34" s="3">
        <f>IF(21-car_inventory[[#This Row],[Manufacture Year]]&lt;0,100-car_inventory[[#This Row],[Manufacture Year]]+21,21-car_inventory[[#This Row],[Manufacture Year]])</f>
        <v>8</v>
      </c>
      <c r="H34" s="19">
        <v>27534.799999999999</v>
      </c>
      <c r="I34" s="3">
        <f>car_inventory[[#This Row],[Miles]]/car_inventory[[#This Row],[Age]]</f>
        <v>3441.85</v>
      </c>
      <c r="J34" s="3" t="s">
        <v>148</v>
      </c>
      <c r="K34" s="3" t="s">
        <v>162</v>
      </c>
      <c r="L34" s="19">
        <v>75000</v>
      </c>
      <c r="M34" s="3" t="str">
        <f>IF(car_inventory[[#This Row],[Warantee Miles]]&gt;=H34,"YES","NO")</f>
        <v>YES</v>
      </c>
      <c r="N34" s="3" t="str">
        <f>CONCATENATE(car_inventory[[#This Row],[Make]],car_inventory[[#This Row],[Manufacture Year]],car_inventory[[#This Row],[Model]],UPPER(LEFT(car_inventory[[#This Row],[Color]],3)),RIGHT(car_inventory[[#This Row],[Car ID]],3))</f>
        <v>FD13FCSWHI010</v>
      </c>
    </row>
    <row r="35" spans="1:14" x14ac:dyDescent="0.35">
      <c r="A35" s="3" t="s">
        <v>160</v>
      </c>
      <c r="B35" s="3" t="str">
        <f>LEFT(car_inventory[[#This Row],[Car ID]],2)</f>
        <v>FD</v>
      </c>
      <c r="C35" s="3" t="str">
        <f>VLOOKUP(car_inventory[[#This Row],[Make]],$P$2:$Q$7,2)</f>
        <v>Ford</v>
      </c>
      <c r="D35" s="3" t="str">
        <f>MID(car_inventory[[#This Row],[Car ID]],5,3)</f>
        <v>FCS</v>
      </c>
      <c r="E35" s="3" t="str">
        <f>VLOOKUP(car_inventory[[#This Row],[Model]],$S$2:$T$12,2)</f>
        <v>Focus</v>
      </c>
      <c r="F35" s="3" t="str">
        <f>MID(car_inventory[[#This Row],[Car ID]],3,2)</f>
        <v>13</v>
      </c>
      <c r="G35" s="3">
        <f>IF(21-car_inventory[[#This Row],[Manufacture Year]]&lt;0,100-car_inventory[[#This Row],[Manufacture Year]]+21,21-car_inventory[[#This Row],[Manufacture Year]])</f>
        <v>8</v>
      </c>
      <c r="H35" s="19">
        <v>27637.1</v>
      </c>
      <c r="I35" s="3">
        <f>car_inventory[[#This Row],[Miles]]/car_inventory[[#This Row],[Age]]</f>
        <v>3454.6374999999998</v>
      </c>
      <c r="J35" s="3" t="s">
        <v>146</v>
      </c>
      <c r="K35" s="3" t="s">
        <v>120</v>
      </c>
      <c r="L35" s="19">
        <v>75000</v>
      </c>
      <c r="M35" s="3" t="str">
        <f>IF(car_inventory[[#This Row],[Warantee Miles]]&gt;=H35,"YES","NO")</f>
        <v>YES</v>
      </c>
      <c r="N35" s="3" t="str">
        <f>CONCATENATE(car_inventory[[#This Row],[Make]],car_inventory[[#This Row],[Manufacture Year]],car_inventory[[#This Row],[Model]],UPPER(LEFT(car_inventory[[#This Row],[Color]],3)),RIGHT(car_inventory[[#This Row],[Car ID]],3))</f>
        <v>FD13FCSBLA009</v>
      </c>
    </row>
    <row r="36" spans="1:14" x14ac:dyDescent="0.35">
      <c r="A36" s="3" t="s">
        <v>150</v>
      </c>
      <c r="B36" s="3" t="str">
        <f>LEFT(car_inventory[[#This Row],[Car ID]],2)</f>
        <v>FD</v>
      </c>
      <c r="C36" s="3" t="str">
        <f>VLOOKUP(car_inventory[[#This Row],[Make]],$P$2:$Q$7,2)</f>
        <v>Ford</v>
      </c>
      <c r="D36" s="3" t="str">
        <f>MID(car_inventory[[#This Row],[Car ID]],5,3)</f>
        <v>MTG</v>
      </c>
      <c r="E36" s="3" t="str">
        <f>VLOOKUP(car_inventory[[#This Row],[Model]],$S$2:$T$12,2)</f>
        <v>Mustang</v>
      </c>
      <c r="F36" s="3" t="str">
        <f>MID(car_inventory[[#This Row],[Car ID]],3,2)</f>
        <v>08</v>
      </c>
      <c r="G36" s="3">
        <f>IF(21-car_inventory[[#This Row],[Manufacture Year]]&lt;0,100-car_inventory[[#This Row],[Manufacture Year]]+21,21-car_inventory[[#This Row],[Manufacture Year]])</f>
        <v>13</v>
      </c>
      <c r="H36" s="19">
        <v>44946.5</v>
      </c>
      <c r="I36" s="3">
        <f>car_inventory[[#This Row],[Miles]]/car_inventory[[#This Row],[Age]]</f>
        <v>3457.4230769230771</v>
      </c>
      <c r="J36" s="3" t="s">
        <v>151</v>
      </c>
      <c r="K36" s="3" t="s">
        <v>152</v>
      </c>
      <c r="L36" s="19">
        <v>50000</v>
      </c>
      <c r="M36" s="3" t="str">
        <f>IF(car_inventory[[#This Row],[Warantee Miles]]&gt;=H36,"YES","NO")</f>
        <v>YES</v>
      </c>
      <c r="N36" s="3" t="str">
        <f>CONCATENATE(car_inventory[[#This Row],[Make]],car_inventory[[#This Row],[Manufacture Year]],car_inventory[[#This Row],[Model]],UPPER(LEFT(car_inventory[[#This Row],[Color]],3)),RIGHT(car_inventory[[#This Row],[Car ID]],3))</f>
        <v>FD08MTGGRE003</v>
      </c>
    </row>
    <row r="37" spans="1:14" x14ac:dyDescent="0.35">
      <c r="A37" s="3" t="s">
        <v>157</v>
      </c>
      <c r="B37" s="3" t="str">
        <f>LEFT(car_inventory[[#This Row],[Car ID]],2)</f>
        <v>FD</v>
      </c>
      <c r="C37" s="3" t="str">
        <f>VLOOKUP(car_inventory[[#This Row],[Make]],$P$2:$Q$7,2)</f>
        <v>Ford</v>
      </c>
      <c r="D37" s="3" t="str">
        <f>MID(car_inventory[[#This Row],[Car ID]],5,3)</f>
        <v>FCS</v>
      </c>
      <c r="E37" s="3" t="str">
        <f>VLOOKUP(car_inventory[[#This Row],[Model]],$S$2:$T$12,2)</f>
        <v>Focus</v>
      </c>
      <c r="F37" s="3" t="str">
        <f>MID(car_inventory[[#This Row],[Car ID]],3,2)</f>
        <v>06</v>
      </c>
      <c r="G37" s="3">
        <f>IF(21-car_inventory[[#This Row],[Manufacture Year]]&lt;0,100-car_inventory[[#This Row],[Manufacture Year]]+21,21-car_inventory[[#This Row],[Manufacture Year]])</f>
        <v>15</v>
      </c>
      <c r="H37" s="19">
        <v>52229.5</v>
      </c>
      <c r="I37" s="3">
        <f>car_inventory[[#This Row],[Miles]]/car_inventory[[#This Row],[Age]]</f>
        <v>3481.9666666666667</v>
      </c>
      <c r="J37" s="3" t="s">
        <v>151</v>
      </c>
      <c r="K37" s="3" t="s">
        <v>152</v>
      </c>
      <c r="L37" s="19">
        <v>75000</v>
      </c>
      <c r="M37" s="3" t="str">
        <f>IF(car_inventory[[#This Row],[Warantee Miles]]&gt;=H37,"YES","NO")</f>
        <v>YES</v>
      </c>
      <c r="N37" s="3" t="str">
        <f>CONCATENATE(car_inventory[[#This Row],[Make]],car_inventory[[#This Row],[Manufacture Year]],car_inventory[[#This Row],[Model]],UPPER(LEFT(car_inventory[[#This Row],[Color]],3)),RIGHT(car_inventory[[#This Row],[Car ID]],3))</f>
        <v>FD06FCSGRE007</v>
      </c>
    </row>
    <row r="38" spans="1:14" x14ac:dyDescent="0.35">
      <c r="A38" s="3" t="s">
        <v>194</v>
      </c>
      <c r="B38" s="3" t="str">
        <f>LEFT(car_inventory[[#This Row],[Car ID]],2)</f>
        <v>HO</v>
      </c>
      <c r="C38" s="3" t="str">
        <f>VLOOKUP(car_inventory[[#This Row],[Make]],$P$2:$Q$7,2)</f>
        <v>Honda</v>
      </c>
      <c r="D38" s="3" t="str">
        <f>MID(car_inventory[[#This Row],[Car ID]],5,3)</f>
        <v>CIV</v>
      </c>
      <c r="E38" s="3" t="str">
        <f>VLOOKUP(car_inventory[[#This Row],[Model]],$S$2:$T$12,2)</f>
        <v>Civic</v>
      </c>
      <c r="F38" s="3" t="str">
        <f>MID(car_inventory[[#This Row],[Car ID]],3,2)</f>
        <v>01</v>
      </c>
      <c r="G38" s="3">
        <f>IF(21-car_inventory[[#This Row],[Manufacture Year]]&lt;0,100-car_inventory[[#This Row],[Manufacture Year]]+21,21-car_inventory[[#This Row],[Manufacture Year]])</f>
        <v>20</v>
      </c>
      <c r="H38" s="19">
        <v>69891.899999999994</v>
      </c>
      <c r="I38" s="3">
        <f>car_inventory[[#This Row],[Miles]]/car_inventory[[#This Row],[Age]]</f>
        <v>3494.5949999999998</v>
      </c>
      <c r="J38" s="3" t="s">
        <v>178</v>
      </c>
      <c r="K38" s="3" t="s">
        <v>154</v>
      </c>
      <c r="L38" s="19">
        <v>75000</v>
      </c>
      <c r="M38" s="3" t="str">
        <f>IF(car_inventory[[#This Row],[Warantee Miles]]&gt;=H38,"YES","NO")</f>
        <v>YES</v>
      </c>
      <c r="N38" s="3" t="str">
        <f>CONCATENATE(car_inventory[[#This Row],[Make]],car_inventory[[#This Row],[Manufacture Year]],car_inventory[[#This Row],[Model]],UPPER(LEFT(car_inventory[[#This Row],[Color]],3)),RIGHT(car_inventory[[#This Row],[Car ID]],3))</f>
        <v>HO01CIVBLU031</v>
      </c>
    </row>
    <row r="39" spans="1:14" x14ac:dyDescent="0.35">
      <c r="A39" s="3" t="s">
        <v>184</v>
      </c>
      <c r="B39" s="3" t="str">
        <f>LEFT(car_inventory[[#This Row],[Car ID]],2)</f>
        <v>TY</v>
      </c>
      <c r="C39" s="3" t="str">
        <f>VLOOKUP(car_inventory[[#This Row],[Make]],$P$2:$Q$7,2)</f>
        <v>Toyota</v>
      </c>
      <c r="D39" s="3" t="str">
        <f>MID(car_inventory[[#This Row],[Car ID]],5,3)</f>
        <v>CAM</v>
      </c>
      <c r="E39" s="3" t="str">
        <f>VLOOKUP(car_inventory[[#This Row],[Model]],$S$2:$T$12,2)</f>
        <v>Camry</v>
      </c>
      <c r="F39" s="3" t="str">
        <f>MID(car_inventory[[#This Row],[Car ID]],3,2)</f>
        <v>02</v>
      </c>
      <c r="G39" s="3">
        <f>IF(21-car_inventory[[#This Row],[Manufacture Year]]&lt;0,100-car_inventory[[#This Row],[Manufacture Year]]+21,21-car_inventory[[#This Row],[Manufacture Year]])</f>
        <v>19</v>
      </c>
      <c r="H39" s="19">
        <v>67829.100000000006</v>
      </c>
      <c r="I39" s="3">
        <f>car_inventory[[#This Row],[Miles]]/car_inventory[[#This Row],[Age]]</f>
        <v>3569.9526315789476</v>
      </c>
      <c r="J39" s="3" t="s">
        <v>146</v>
      </c>
      <c r="K39" s="3" t="s">
        <v>120</v>
      </c>
      <c r="L39" s="19">
        <v>100000</v>
      </c>
      <c r="M39" s="3" t="str">
        <f>IF(car_inventory[[#This Row],[Warantee Miles]]&gt;=H39,"YES","NO")</f>
        <v>YES</v>
      </c>
      <c r="N39" s="3" t="str">
        <f>CONCATENATE(car_inventory[[#This Row],[Make]],car_inventory[[#This Row],[Manufacture Year]],car_inventory[[#This Row],[Model]],UPPER(LEFT(car_inventory[[#This Row],[Color]],3)),RIGHT(car_inventory[[#This Row],[Car ID]],3))</f>
        <v>TY02CAMBLA023</v>
      </c>
    </row>
    <row r="40" spans="1:14" x14ac:dyDescent="0.35">
      <c r="A40" s="3" t="s">
        <v>206</v>
      </c>
      <c r="B40" s="3" t="str">
        <f>LEFT(car_inventory[[#This Row],[Car ID]],2)</f>
        <v>CR</v>
      </c>
      <c r="C40" s="3" t="str">
        <f>VLOOKUP(car_inventory[[#This Row],[Make]],$P$2:$Q$7,2)</f>
        <v>Chrysler</v>
      </c>
      <c r="D40" s="3" t="str">
        <f>MID(car_inventory[[#This Row],[Car ID]],5,3)</f>
        <v>CAR</v>
      </c>
      <c r="E40" s="3" t="str">
        <f>VLOOKUP(car_inventory[[#This Row],[Model]],$S$2:$T$12,2)</f>
        <v>Caravan</v>
      </c>
      <c r="F40" s="3" t="str">
        <f>MID(car_inventory[[#This Row],[Car ID]],3,2)</f>
        <v>99</v>
      </c>
      <c r="G40" s="3">
        <f>IF(21-car_inventory[[#This Row],[Manufacture Year]]&lt;0,100-car_inventory[[#This Row],[Manufacture Year]]+21,21-car_inventory[[#This Row],[Manufacture Year]])</f>
        <v>22</v>
      </c>
      <c r="H40" s="19">
        <v>79420.600000000006</v>
      </c>
      <c r="I40" s="3">
        <f>car_inventory[[#This Row],[Miles]]/car_inventory[[#This Row],[Age]]</f>
        <v>3610.0272727272732</v>
      </c>
      <c r="J40" s="3" t="s">
        <v>151</v>
      </c>
      <c r="K40" s="3" t="s">
        <v>175</v>
      </c>
      <c r="L40" s="19">
        <v>75000</v>
      </c>
      <c r="M40" s="3" t="str">
        <f>IF(car_inventory[[#This Row],[Warantee Miles]]&gt;=H40,"YES","NO")</f>
        <v>NO</v>
      </c>
      <c r="N40" s="3" t="str">
        <f>CONCATENATE(car_inventory[[#This Row],[Make]],car_inventory[[#This Row],[Manufacture Year]],car_inventory[[#This Row],[Model]],UPPER(LEFT(car_inventory[[#This Row],[Color]],3)),RIGHT(car_inventory[[#This Row],[Car ID]],3))</f>
        <v>CR99CARGRE045</v>
      </c>
    </row>
    <row r="41" spans="1:14" x14ac:dyDescent="0.35">
      <c r="A41" s="3" t="s">
        <v>176</v>
      </c>
      <c r="B41" s="3" t="str">
        <f>LEFT(car_inventory[[#This Row],[Car ID]],2)</f>
        <v>GM</v>
      </c>
      <c r="C41" s="3" t="str">
        <f>VLOOKUP(car_inventory[[#This Row],[Make]],$P$2:$Q$7,2)</f>
        <v>General Motors</v>
      </c>
      <c r="D41" s="3" t="str">
        <f>MID(car_inventory[[#This Row],[Car ID]],5,3)</f>
        <v>SLV</v>
      </c>
      <c r="E41" s="3" t="str">
        <f>VLOOKUP(car_inventory[[#This Row],[Model]],$S$2:$T$12,2)</f>
        <v>Silverado</v>
      </c>
      <c r="F41" s="3" t="str">
        <f>MID(car_inventory[[#This Row],[Car ID]],3,2)</f>
        <v>98</v>
      </c>
      <c r="G41" s="3">
        <f>IF(21-car_inventory[[#This Row],[Manufacture Year]]&lt;0,100-car_inventory[[#This Row],[Manufacture Year]]+21,21-car_inventory[[#This Row],[Manufacture Year]])</f>
        <v>23</v>
      </c>
      <c r="H41" s="19">
        <v>83162.7</v>
      </c>
      <c r="I41" s="3">
        <f>car_inventory[[#This Row],[Miles]]/car_inventory[[#This Row],[Age]]</f>
        <v>3615.7695652173911</v>
      </c>
      <c r="J41" s="3" t="s">
        <v>146</v>
      </c>
      <c r="K41" s="3" t="s">
        <v>169</v>
      </c>
      <c r="L41" s="19">
        <v>100000</v>
      </c>
      <c r="M41" s="3" t="str">
        <f>IF(car_inventory[[#This Row],[Warantee Miles]]&gt;=H41,"YES","NO")</f>
        <v>YES</v>
      </c>
      <c r="N41" s="3" t="str">
        <f>CONCATENATE(car_inventory[[#This Row],[Make]],car_inventory[[#This Row],[Manufacture Year]],car_inventory[[#This Row],[Model]],UPPER(LEFT(car_inventory[[#This Row],[Color]],3)),RIGHT(car_inventory[[#This Row],[Car ID]],3))</f>
        <v>GM98SLVBLA018</v>
      </c>
    </row>
    <row r="42" spans="1:14" x14ac:dyDescent="0.35">
      <c r="A42" s="3" t="s">
        <v>200</v>
      </c>
      <c r="B42" s="3" t="str">
        <f>LEFT(car_inventory[[#This Row],[Car ID]],2)</f>
        <v>HO</v>
      </c>
      <c r="C42" s="3" t="str">
        <f>VLOOKUP(car_inventory[[#This Row],[Make]],$P$2:$Q$7,2)</f>
        <v>Honda</v>
      </c>
      <c r="D42" s="3" t="str">
        <f>MID(car_inventory[[#This Row],[Car ID]],5,3)</f>
        <v>ODY</v>
      </c>
      <c r="E42" s="3" t="str">
        <f>VLOOKUP(car_inventory[[#This Row],[Model]],$S$2:$T$12,2)</f>
        <v>Odyssey</v>
      </c>
      <c r="F42" s="3" t="str">
        <f>MID(car_inventory[[#This Row],[Car ID]],3,2)</f>
        <v>07</v>
      </c>
      <c r="G42" s="3">
        <f>IF(21-car_inventory[[#This Row],[Manufacture Year]]&lt;0,100-car_inventory[[#This Row],[Manufacture Year]]+21,21-car_inventory[[#This Row],[Manufacture Year]])</f>
        <v>14</v>
      </c>
      <c r="H42" s="19">
        <v>50854.1</v>
      </c>
      <c r="I42" s="3">
        <f>car_inventory[[#This Row],[Miles]]/car_inventory[[#This Row],[Age]]</f>
        <v>3632.4357142857143</v>
      </c>
      <c r="J42" s="3" t="s">
        <v>146</v>
      </c>
      <c r="K42" s="3" t="s">
        <v>182</v>
      </c>
      <c r="L42" s="19">
        <v>100000</v>
      </c>
      <c r="M42" s="3" t="str">
        <f>IF(car_inventory[[#This Row],[Warantee Miles]]&gt;=H42,"YES","NO")</f>
        <v>YES</v>
      </c>
      <c r="N42" s="3" t="str">
        <f>CONCATENATE(car_inventory[[#This Row],[Make]],car_inventory[[#This Row],[Manufacture Year]],car_inventory[[#This Row],[Model]],UPPER(LEFT(car_inventory[[#This Row],[Color]],3)),RIGHT(car_inventory[[#This Row],[Car ID]],3))</f>
        <v>HO07ODYBLA038</v>
      </c>
    </row>
    <row r="43" spans="1:14" x14ac:dyDescent="0.35">
      <c r="A43" s="3" t="s">
        <v>207</v>
      </c>
      <c r="B43" s="3" t="str">
        <f>LEFT(car_inventory[[#This Row],[Car ID]],2)</f>
        <v>CR</v>
      </c>
      <c r="C43" s="3" t="str">
        <f>VLOOKUP(car_inventory[[#This Row],[Make]],$P$2:$Q$7,2)</f>
        <v>Chrysler</v>
      </c>
      <c r="D43" s="3" t="str">
        <f>MID(car_inventory[[#This Row],[Car ID]],5,3)</f>
        <v>CAR</v>
      </c>
      <c r="E43" s="3" t="str">
        <f>VLOOKUP(car_inventory[[#This Row],[Model]],$S$2:$T$12,2)</f>
        <v>Caravan</v>
      </c>
      <c r="F43" s="3" t="str">
        <f>MID(car_inventory[[#This Row],[Car ID]],3,2)</f>
        <v>00</v>
      </c>
      <c r="G43" s="3">
        <f>IF(21-car_inventory[[#This Row],[Manufacture Year]]&lt;0,100-car_inventory[[#This Row],[Manufacture Year]]+21,21-car_inventory[[#This Row],[Manufacture Year]])</f>
        <v>21</v>
      </c>
      <c r="H43" s="19">
        <v>77243.100000000006</v>
      </c>
      <c r="I43" s="3">
        <f>car_inventory[[#This Row],[Miles]]/car_inventory[[#This Row],[Age]]</f>
        <v>3678.2428571428572</v>
      </c>
      <c r="J43" s="3" t="s">
        <v>146</v>
      </c>
      <c r="K43" s="3" t="s">
        <v>154</v>
      </c>
      <c r="L43" s="19">
        <v>75000</v>
      </c>
      <c r="M43" s="3" t="str">
        <f>IF(car_inventory[[#This Row],[Warantee Miles]]&gt;=H43,"YES","NO")</f>
        <v>NO</v>
      </c>
      <c r="N43" s="3" t="str">
        <f>CONCATENATE(car_inventory[[#This Row],[Make]],car_inventory[[#This Row],[Manufacture Year]],car_inventory[[#This Row],[Model]],UPPER(LEFT(car_inventory[[#This Row],[Color]],3)),RIGHT(car_inventory[[#This Row],[Car ID]],3))</f>
        <v>CR00CARBLA046</v>
      </c>
    </row>
    <row r="44" spans="1:14" x14ac:dyDescent="0.35">
      <c r="A44" s="3" t="s">
        <v>193</v>
      </c>
      <c r="B44" s="3" t="str">
        <f>LEFT(car_inventory[[#This Row],[Car ID]],2)</f>
        <v>HO</v>
      </c>
      <c r="C44" s="3" t="str">
        <f>VLOOKUP(car_inventory[[#This Row],[Make]],$P$2:$Q$7,2)</f>
        <v>Honda</v>
      </c>
      <c r="D44" s="3" t="str">
        <f>MID(car_inventory[[#This Row],[Car ID]],5,3)</f>
        <v>CIV</v>
      </c>
      <c r="E44" s="3" t="str">
        <f>VLOOKUP(car_inventory[[#This Row],[Model]],$S$2:$T$12,2)</f>
        <v>Civic</v>
      </c>
      <c r="F44" s="3" t="str">
        <f>MID(car_inventory[[#This Row],[Car ID]],3,2)</f>
        <v>99</v>
      </c>
      <c r="G44" s="3">
        <f>IF(21-car_inventory[[#This Row],[Manufacture Year]]&lt;0,100-car_inventory[[#This Row],[Manufacture Year]]+21,21-car_inventory[[#This Row],[Manufacture Year]])</f>
        <v>22</v>
      </c>
      <c r="H44" s="19">
        <v>82374</v>
      </c>
      <c r="I44" s="3">
        <f>car_inventory[[#This Row],[Miles]]/car_inventory[[#This Row],[Age]]</f>
        <v>3744.2727272727275</v>
      </c>
      <c r="J44" s="3" t="s">
        <v>148</v>
      </c>
      <c r="K44" s="3" t="s">
        <v>168</v>
      </c>
      <c r="L44" s="19">
        <v>75000</v>
      </c>
      <c r="M44" s="3" t="str">
        <f>IF(car_inventory[[#This Row],[Warantee Miles]]&gt;=H44,"YES","NO")</f>
        <v>NO</v>
      </c>
      <c r="N44" s="3" t="str">
        <f>CONCATENATE(car_inventory[[#This Row],[Make]],car_inventory[[#This Row],[Manufacture Year]],car_inventory[[#This Row],[Model]],UPPER(LEFT(car_inventory[[#This Row],[Color]],3)),RIGHT(car_inventory[[#This Row],[Car ID]],3))</f>
        <v>HO99CIVWHI030</v>
      </c>
    </row>
    <row r="45" spans="1:14" x14ac:dyDescent="0.35">
      <c r="A45" s="3" t="s">
        <v>249</v>
      </c>
      <c r="B45" s="3" t="str">
        <f>LEFT(car_inventory[[#This Row],[Car ID]],2)</f>
        <v>HO</v>
      </c>
      <c r="C45" s="3" t="str">
        <f>VLOOKUP(car_inventory[[#This Row],[Make]],$P$2:$Q$7,2)</f>
        <v>Honda</v>
      </c>
      <c r="D45" s="3" t="str">
        <f>MID(car_inventory[[#This Row],[Car ID]],5,3)</f>
        <v>ODY</v>
      </c>
      <c r="E45" s="3" t="str">
        <f>VLOOKUP(car_inventory[[#This Row],[Model]],$S$2:$T$12,2)</f>
        <v>Odyssey</v>
      </c>
      <c r="F45" s="3" t="str">
        <f>MID(car_inventory[[#This Row],[Car ID]],3,2)</f>
        <v>05</v>
      </c>
      <c r="G45" s="3">
        <f>IF(21-car_inventory[[#This Row],[Manufacture Year]]&lt;0,100-car_inventory[[#This Row],[Manufacture Year]]+21,21-car_inventory[[#This Row],[Manufacture Year]])</f>
        <v>16</v>
      </c>
      <c r="H45" s="19">
        <v>60389.5</v>
      </c>
      <c r="I45" s="3">
        <f>car_inventory[[#This Row],[Miles]]/car_inventory[[#This Row],[Age]]</f>
        <v>3774.34375</v>
      </c>
      <c r="J45" s="3" t="s">
        <v>148</v>
      </c>
      <c r="K45" s="3" t="s">
        <v>159</v>
      </c>
      <c r="L45" s="19">
        <v>100000</v>
      </c>
      <c r="M45" s="3" t="str">
        <f>IF(car_inventory[[#This Row],[Warantee Miles]]&gt;=H45,"YES","NO")</f>
        <v>YES</v>
      </c>
      <c r="N45" s="3" t="str">
        <f>CONCATENATE(car_inventory[[#This Row],[Make]],car_inventory[[#This Row],[Manufacture Year]],car_inventory[[#This Row],[Model]],UPPER(LEFT(car_inventory[[#This Row],[Color]],3)),RIGHT(car_inventory[[#This Row],[Car ID]],3))</f>
        <v>HO05ODYWHI037</v>
      </c>
    </row>
    <row r="46" spans="1:14" x14ac:dyDescent="0.35">
      <c r="A46" s="3" t="s">
        <v>203</v>
      </c>
      <c r="B46" s="3" t="str">
        <f>LEFT(car_inventory[[#This Row],[Car ID]],2)</f>
        <v>CR</v>
      </c>
      <c r="C46" s="3" t="str">
        <f>VLOOKUP(car_inventory[[#This Row],[Make]],$P$2:$Q$7,2)</f>
        <v>Chrysler</v>
      </c>
      <c r="D46" s="3" t="str">
        <f>MID(car_inventory[[#This Row],[Car ID]],5,3)</f>
        <v>PTC</v>
      </c>
      <c r="E46" s="3" t="str">
        <f>VLOOKUP(car_inventory[[#This Row],[Model]],$S$2:$T$12,2)</f>
        <v>PT Cruiser</v>
      </c>
      <c r="F46" s="3" t="str">
        <f>MID(car_inventory[[#This Row],[Car ID]],3,2)</f>
        <v>04</v>
      </c>
      <c r="G46" s="3">
        <f>IF(21-car_inventory[[#This Row],[Manufacture Year]]&lt;0,100-car_inventory[[#This Row],[Manufacture Year]]+21,21-car_inventory[[#This Row],[Manufacture Year]])</f>
        <v>17</v>
      </c>
      <c r="H46" s="19">
        <v>64542</v>
      </c>
      <c r="I46" s="3">
        <f>car_inventory[[#This Row],[Miles]]/car_inventory[[#This Row],[Age]]</f>
        <v>3796.5882352941176</v>
      </c>
      <c r="J46" s="3" t="s">
        <v>178</v>
      </c>
      <c r="K46" s="3" t="s">
        <v>120</v>
      </c>
      <c r="L46" s="19">
        <v>75000</v>
      </c>
      <c r="M46" s="3" t="str">
        <f>IF(car_inventory[[#This Row],[Warantee Miles]]&gt;=H46,"YES","NO")</f>
        <v>YES</v>
      </c>
      <c r="N46" s="3" t="str">
        <f>CONCATENATE(car_inventory[[#This Row],[Make]],car_inventory[[#This Row],[Manufacture Year]],car_inventory[[#This Row],[Model]],UPPER(LEFT(car_inventory[[#This Row],[Color]],3)),RIGHT(car_inventory[[#This Row],[Car ID]],3))</f>
        <v>CR04PTCBLU042</v>
      </c>
    </row>
    <row r="47" spans="1:14" x14ac:dyDescent="0.35">
      <c r="A47" s="3" t="s">
        <v>177</v>
      </c>
      <c r="B47" s="3" t="str">
        <f>LEFT(car_inventory[[#This Row],[Car ID]],2)</f>
        <v>GM</v>
      </c>
      <c r="C47" s="3" t="str">
        <f>VLOOKUP(car_inventory[[#This Row],[Make]],$P$2:$Q$7,2)</f>
        <v>General Motors</v>
      </c>
      <c r="D47" s="3" t="str">
        <f>MID(car_inventory[[#This Row],[Car ID]],5,3)</f>
        <v>SLV</v>
      </c>
      <c r="E47" s="3" t="str">
        <f>VLOOKUP(car_inventory[[#This Row],[Model]],$S$2:$T$12,2)</f>
        <v>Silverado</v>
      </c>
      <c r="F47" s="3" t="str">
        <f>MID(car_inventory[[#This Row],[Car ID]],3,2)</f>
        <v>00</v>
      </c>
      <c r="G47" s="3">
        <f>IF(21-car_inventory[[#This Row],[Manufacture Year]]&lt;0,100-car_inventory[[#This Row],[Manufacture Year]]+21,21-car_inventory[[#This Row],[Manufacture Year]])</f>
        <v>21</v>
      </c>
      <c r="H47" s="19">
        <v>80685.8</v>
      </c>
      <c r="I47" s="3">
        <f>car_inventory[[#This Row],[Miles]]/car_inventory[[#This Row],[Age]]</f>
        <v>3842.1809523809525</v>
      </c>
      <c r="J47" s="3" t="s">
        <v>178</v>
      </c>
      <c r="K47" s="3" t="s">
        <v>166</v>
      </c>
      <c r="L47" s="19">
        <v>100000</v>
      </c>
      <c r="M47" s="3" t="str">
        <f>IF(car_inventory[[#This Row],[Warantee Miles]]&gt;=H47,"YES","NO")</f>
        <v>YES</v>
      </c>
      <c r="N47" s="3" t="str">
        <f>CONCATENATE(car_inventory[[#This Row],[Make]],car_inventory[[#This Row],[Manufacture Year]],car_inventory[[#This Row],[Model]],UPPER(LEFT(car_inventory[[#This Row],[Color]],3)),RIGHT(car_inventory[[#This Row],[Car ID]],3))</f>
        <v>GM00SLVBLU019</v>
      </c>
    </row>
    <row r="48" spans="1:14" x14ac:dyDescent="0.35">
      <c r="A48" s="3" t="s">
        <v>185</v>
      </c>
      <c r="B48" s="3" t="str">
        <f>LEFT(car_inventory[[#This Row],[Car ID]],2)</f>
        <v>TY</v>
      </c>
      <c r="C48" s="3" t="str">
        <f>VLOOKUP(car_inventory[[#This Row],[Make]],$P$2:$Q$7,2)</f>
        <v>Toyota</v>
      </c>
      <c r="D48" s="3" t="str">
        <f>MID(car_inventory[[#This Row],[Car ID]],5,3)</f>
        <v>CAM</v>
      </c>
      <c r="E48" s="3" t="str">
        <f>VLOOKUP(car_inventory[[#This Row],[Model]],$S$2:$T$12,2)</f>
        <v>Camry</v>
      </c>
      <c r="F48" s="3" t="str">
        <f>MID(car_inventory[[#This Row],[Car ID]],3,2)</f>
        <v>09</v>
      </c>
      <c r="G48" s="3">
        <f>IF(21-car_inventory[[#This Row],[Manufacture Year]]&lt;0,100-car_inventory[[#This Row],[Manufacture Year]]+21,21-car_inventory[[#This Row],[Manufacture Year]])</f>
        <v>12</v>
      </c>
      <c r="H48" s="19">
        <v>48114.2</v>
      </c>
      <c r="I48" s="3">
        <f>car_inventory[[#This Row],[Miles]]/car_inventory[[#This Row],[Age]]</f>
        <v>4009.5166666666664</v>
      </c>
      <c r="J48" s="3" t="s">
        <v>148</v>
      </c>
      <c r="K48" s="3" t="s">
        <v>159</v>
      </c>
      <c r="L48" s="19">
        <v>100000</v>
      </c>
      <c r="M48" s="3" t="str">
        <f>IF(car_inventory[[#This Row],[Warantee Miles]]&gt;=H48,"YES","NO")</f>
        <v>YES</v>
      </c>
      <c r="N48" s="3" t="str">
        <f>CONCATENATE(car_inventory[[#This Row],[Make]],car_inventory[[#This Row],[Manufacture Year]],car_inventory[[#This Row],[Model]],UPPER(LEFT(car_inventory[[#This Row],[Color]],3)),RIGHT(car_inventory[[#This Row],[Car ID]],3))</f>
        <v>TY09CAMWHI024</v>
      </c>
    </row>
    <row r="49" spans="1:14" x14ac:dyDescent="0.35">
      <c r="A49" s="3" t="s">
        <v>181</v>
      </c>
      <c r="B49" s="3" t="str">
        <f>LEFT(car_inventory[[#This Row],[Car ID]],2)</f>
        <v>TY</v>
      </c>
      <c r="C49" s="3" t="str">
        <f>VLOOKUP(car_inventory[[#This Row],[Make]],$P$2:$Q$7,2)</f>
        <v>Toyota</v>
      </c>
      <c r="D49" s="3" t="str">
        <f>MID(car_inventory[[#This Row],[Car ID]],5,3)</f>
        <v>CAM</v>
      </c>
      <c r="E49" s="3" t="str">
        <f>VLOOKUP(car_inventory[[#This Row],[Model]],$S$2:$T$12,2)</f>
        <v>Camry</v>
      </c>
      <c r="F49" s="3" t="str">
        <f>MID(car_inventory[[#This Row],[Car ID]],3,2)</f>
        <v>98</v>
      </c>
      <c r="G49" s="3">
        <f>IF(21-car_inventory[[#This Row],[Manufacture Year]]&lt;0,100-car_inventory[[#This Row],[Manufacture Year]]+21,21-car_inventory[[#This Row],[Manufacture Year]])</f>
        <v>23</v>
      </c>
      <c r="H49" s="19">
        <v>93382.6</v>
      </c>
      <c r="I49" s="3">
        <f>car_inventory[[#This Row],[Miles]]/car_inventory[[#This Row],[Age]]</f>
        <v>4060.1130434782613</v>
      </c>
      <c r="J49" s="3" t="s">
        <v>146</v>
      </c>
      <c r="K49" s="3" t="s">
        <v>182</v>
      </c>
      <c r="L49" s="19">
        <v>100000</v>
      </c>
      <c r="M49" s="3" t="str">
        <f>IF(car_inventory[[#This Row],[Warantee Miles]]&gt;=H49,"YES","NO")</f>
        <v>YES</v>
      </c>
      <c r="N49" s="3" t="str">
        <f>CONCATENATE(car_inventory[[#This Row],[Make]],car_inventory[[#This Row],[Manufacture Year]],car_inventory[[#This Row],[Model]],UPPER(LEFT(car_inventory[[#This Row],[Color]],3)),RIGHT(car_inventory[[#This Row],[Car ID]],3))</f>
        <v>TY98CAMBLA021</v>
      </c>
    </row>
    <row r="50" spans="1:14" x14ac:dyDescent="0.35">
      <c r="A50" s="3" t="s">
        <v>189</v>
      </c>
      <c r="B50" s="3" t="str">
        <f>LEFT(car_inventory[[#This Row],[Car ID]],2)</f>
        <v>TY</v>
      </c>
      <c r="C50" s="3" t="str">
        <f>VLOOKUP(car_inventory[[#This Row],[Make]],$P$2:$Q$7,2)</f>
        <v>Toyota</v>
      </c>
      <c r="D50" s="3" t="str">
        <f>MID(car_inventory[[#This Row],[Car ID]],5,3)</f>
        <v>COR</v>
      </c>
      <c r="E50" s="3" t="str">
        <f>VLOOKUP(car_inventory[[#This Row],[Model]],$S$2:$T$12,2)</f>
        <v>Corolla</v>
      </c>
      <c r="F50" s="3" t="str">
        <f>MID(car_inventory[[#This Row],[Car ID]],3,2)</f>
        <v>03</v>
      </c>
      <c r="G50" s="3">
        <f>IF(21-car_inventory[[#This Row],[Manufacture Year]]&lt;0,100-car_inventory[[#This Row],[Manufacture Year]]+21,21-car_inventory[[#This Row],[Manufacture Year]])</f>
        <v>18</v>
      </c>
      <c r="H50" s="19">
        <v>73444.399999999994</v>
      </c>
      <c r="I50" s="3">
        <f>car_inventory[[#This Row],[Miles]]/car_inventory[[#This Row],[Age]]</f>
        <v>4080.2444444444441</v>
      </c>
      <c r="J50" s="3" t="s">
        <v>146</v>
      </c>
      <c r="K50" s="3" t="s">
        <v>188</v>
      </c>
      <c r="L50" s="19">
        <v>100000</v>
      </c>
      <c r="M50" s="3" t="str">
        <f>IF(car_inventory[[#This Row],[Warantee Miles]]&gt;=H50,"YES","NO")</f>
        <v>YES</v>
      </c>
      <c r="N50" s="3" t="str">
        <f>CONCATENATE(car_inventory[[#This Row],[Make]],car_inventory[[#This Row],[Manufacture Year]],car_inventory[[#This Row],[Model]],UPPER(LEFT(car_inventory[[#This Row],[Color]],3)),RIGHT(car_inventory[[#This Row],[Car ID]],3))</f>
        <v>TY03CORBLA026</v>
      </c>
    </row>
    <row r="51" spans="1:14" x14ac:dyDescent="0.35">
      <c r="A51" s="3" t="s">
        <v>183</v>
      </c>
      <c r="B51" s="3" t="str">
        <f>LEFT(car_inventory[[#This Row],[Car ID]],2)</f>
        <v>TY</v>
      </c>
      <c r="C51" s="3" t="str">
        <f>VLOOKUP(car_inventory[[#This Row],[Make]],$P$2:$Q$7,2)</f>
        <v>Toyota</v>
      </c>
      <c r="D51" s="3" t="str">
        <f>MID(car_inventory[[#This Row],[Car ID]],5,3)</f>
        <v>CAM</v>
      </c>
      <c r="E51" s="3" t="str">
        <f>VLOOKUP(car_inventory[[#This Row],[Model]],$S$2:$T$12,2)</f>
        <v>Camry</v>
      </c>
      <c r="F51" s="3" t="str">
        <f>MID(car_inventory[[#This Row],[Car ID]],3,2)</f>
        <v>00</v>
      </c>
      <c r="G51" s="3">
        <f>IF(21-car_inventory[[#This Row],[Manufacture Year]]&lt;0,100-car_inventory[[#This Row],[Manufacture Year]]+21,21-car_inventory[[#This Row],[Manufacture Year]])</f>
        <v>21</v>
      </c>
      <c r="H51" s="19">
        <v>85928</v>
      </c>
      <c r="I51" s="3">
        <f>car_inventory[[#This Row],[Miles]]/car_inventory[[#This Row],[Age]]</f>
        <v>4091.8095238095239</v>
      </c>
      <c r="J51" s="3" t="s">
        <v>151</v>
      </c>
      <c r="K51" s="3" t="s">
        <v>156</v>
      </c>
      <c r="L51" s="19">
        <v>100000</v>
      </c>
      <c r="M51" s="3" t="str">
        <f>IF(car_inventory[[#This Row],[Warantee Miles]]&gt;=H51,"YES","NO")</f>
        <v>YES</v>
      </c>
      <c r="N51" s="3" t="str">
        <f>CONCATENATE(car_inventory[[#This Row],[Make]],car_inventory[[#This Row],[Manufacture Year]],car_inventory[[#This Row],[Model]],UPPER(LEFT(car_inventory[[#This Row],[Color]],3)),RIGHT(car_inventory[[#This Row],[Car ID]],3))</f>
        <v>TY00CAMGRE022</v>
      </c>
    </row>
    <row r="52" spans="1:14" x14ac:dyDescent="0.35">
      <c r="A52" s="3" t="s">
        <v>208</v>
      </c>
      <c r="B52" s="3" t="str">
        <f>LEFT(car_inventory[[#This Row],[Car ID]],2)</f>
        <v>CR</v>
      </c>
      <c r="C52" s="3" t="str">
        <f>VLOOKUP(car_inventory[[#This Row],[Make]],$P$2:$Q$7,2)</f>
        <v>Chrysler</v>
      </c>
      <c r="D52" s="3" t="str">
        <f>MID(car_inventory[[#This Row],[Car ID]],5,3)</f>
        <v>CAR</v>
      </c>
      <c r="E52" s="3" t="str">
        <f>VLOOKUP(car_inventory[[#This Row],[Model]],$S$2:$T$12,2)</f>
        <v>Caravan</v>
      </c>
      <c r="F52" s="3" t="str">
        <f>MID(car_inventory[[#This Row],[Car ID]],3,2)</f>
        <v>04</v>
      </c>
      <c r="G52" s="3">
        <f>IF(21-car_inventory[[#This Row],[Manufacture Year]]&lt;0,100-car_inventory[[#This Row],[Manufacture Year]]+21,21-car_inventory[[#This Row],[Manufacture Year]])</f>
        <v>17</v>
      </c>
      <c r="H52" s="19">
        <v>72527.199999999997</v>
      </c>
      <c r="I52" s="3">
        <f>car_inventory[[#This Row],[Miles]]/car_inventory[[#This Row],[Age]]</f>
        <v>4266.3058823529409</v>
      </c>
      <c r="J52" s="3" t="s">
        <v>148</v>
      </c>
      <c r="K52" s="3" t="s">
        <v>171</v>
      </c>
      <c r="L52" s="19">
        <v>75000</v>
      </c>
      <c r="M52" s="3" t="str">
        <f>IF(car_inventory[[#This Row],[Warantee Miles]]&gt;=H52,"YES","NO")</f>
        <v>YES</v>
      </c>
      <c r="N52" s="3" t="str">
        <f>CONCATENATE(car_inventory[[#This Row],[Make]],car_inventory[[#This Row],[Manufacture Year]],car_inventory[[#This Row],[Model]],UPPER(LEFT(car_inventory[[#This Row],[Color]],3)),RIGHT(car_inventory[[#This Row],[Car ID]],3))</f>
        <v>CR04CARWHI047</v>
      </c>
    </row>
    <row r="53" spans="1:14" x14ac:dyDescent="0.35">
      <c r="A53" s="3" t="s">
        <v>179</v>
      </c>
      <c r="B53" s="3" t="str">
        <f>LEFT(car_inventory[[#This Row],[Car ID]],2)</f>
        <v>TY</v>
      </c>
      <c r="C53" s="3" t="str">
        <f>VLOOKUP(car_inventory[[#This Row],[Make]],$P$2:$Q$7,2)</f>
        <v>Toyota</v>
      </c>
      <c r="D53" s="3" t="str">
        <f>MID(car_inventory[[#This Row],[Car ID]],5,3)</f>
        <v>CAM</v>
      </c>
      <c r="E53" s="3" t="str">
        <f>VLOOKUP(car_inventory[[#This Row],[Model]],$S$2:$T$12,2)</f>
        <v>Camry</v>
      </c>
      <c r="F53" s="3" t="str">
        <f>MID(car_inventory[[#This Row],[Car ID]],3,2)</f>
        <v>96</v>
      </c>
      <c r="G53" s="3">
        <f>IF(21-car_inventory[[#This Row],[Manufacture Year]]&lt;0,100-car_inventory[[#This Row],[Manufacture Year]]+21,21-car_inventory[[#This Row],[Manufacture Year]])</f>
        <v>25</v>
      </c>
      <c r="H53" s="19">
        <v>114660.6</v>
      </c>
      <c r="I53" s="3">
        <f>car_inventory[[#This Row],[Miles]]/car_inventory[[#This Row],[Age]]</f>
        <v>4586.424</v>
      </c>
      <c r="J53" s="3" t="s">
        <v>151</v>
      </c>
      <c r="K53" s="3" t="s">
        <v>180</v>
      </c>
      <c r="L53" s="19">
        <v>100000</v>
      </c>
      <c r="M53" s="3" t="str">
        <f>IF(car_inventory[[#This Row],[Warantee Miles]]&gt;=H53,"YES","NO")</f>
        <v>NO</v>
      </c>
      <c r="N53" s="3" t="str">
        <f>CONCATENATE(car_inventory[[#This Row],[Make]],car_inventory[[#This Row],[Manufacture Year]],car_inventory[[#This Row],[Model]],UPPER(LEFT(car_inventory[[#This Row],[Color]],3)),RIGHT(car_inventory[[#This Row],[Car ID]],3))</f>
        <v>TY96CAMGRE020</v>
      </c>
    </row>
    <row r="54" spans="1:14" x14ac:dyDescent="0.35">
      <c r="A54" s="3" t="s">
        <v>145</v>
      </c>
      <c r="B54" s="3" t="s">
        <v>145</v>
      </c>
      <c r="C54" s="3" t="s">
        <v>145</v>
      </c>
      <c r="D54" s="3" t="s">
        <v>145</v>
      </c>
      <c r="E54" s="3" t="s">
        <v>145</v>
      </c>
      <c r="F54" s="3" t="s">
        <v>145</v>
      </c>
      <c r="G54" s="3" t="s">
        <v>145</v>
      </c>
      <c r="H54" s="19"/>
      <c r="I54" s="3" t="s">
        <v>145</v>
      </c>
      <c r="J54" s="3" t="s">
        <v>145</v>
      </c>
      <c r="K54" s="3" t="s">
        <v>145</v>
      </c>
      <c r="L54" s="19"/>
      <c r="M54" s="3" t="s">
        <v>145</v>
      </c>
      <c r="N54" s="3" t="s">
        <v>145</v>
      </c>
    </row>
    <row r="55" spans="1:14" x14ac:dyDescent="0.35">
      <c r="A55" s="3" t="s">
        <v>145</v>
      </c>
      <c r="B55" s="3" t="s">
        <v>145</v>
      </c>
      <c r="C55" s="3" t="s">
        <v>145</v>
      </c>
      <c r="D55" s="3" t="s">
        <v>145</v>
      </c>
      <c r="E55" s="3" t="s">
        <v>145</v>
      </c>
      <c r="F55" s="3" t="s">
        <v>145</v>
      </c>
      <c r="G55" s="3" t="s">
        <v>145</v>
      </c>
      <c r="H55" s="19"/>
      <c r="I55" s="3" t="s">
        <v>145</v>
      </c>
      <c r="J55" s="3" t="s">
        <v>145</v>
      </c>
      <c r="K55" s="3" t="s">
        <v>145</v>
      </c>
      <c r="L55" s="19"/>
      <c r="M55" s="3" t="s">
        <v>145</v>
      </c>
      <c r="N55" s="3" t="s">
        <v>145</v>
      </c>
    </row>
    <row r="56" spans="1:14" x14ac:dyDescent="0.35">
      <c r="A56" s="3" t="s">
        <v>145</v>
      </c>
      <c r="B56" s="19"/>
      <c r="C56" s="19"/>
      <c r="D56" s="3" t="s">
        <v>145</v>
      </c>
      <c r="E56" s="3" t="s">
        <v>145</v>
      </c>
      <c r="F56" s="3" t="s">
        <v>145</v>
      </c>
      <c r="G56" s="3" t="s">
        <v>145</v>
      </c>
      <c r="H56" s="19"/>
      <c r="I56" s="3" t="s">
        <v>145</v>
      </c>
      <c r="J56" s="3" t="s">
        <v>145</v>
      </c>
      <c r="K56" s="3" t="s">
        <v>145</v>
      </c>
      <c r="L56" s="19"/>
      <c r="M56" s="3" t="s">
        <v>145</v>
      </c>
      <c r="N56" s="3" t="s">
        <v>145</v>
      </c>
    </row>
    <row r="57" spans="1:14" x14ac:dyDescent="0.35">
      <c r="A57" s="3" t="s">
        <v>145</v>
      </c>
      <c r="B57" s="19"/>
      <c r="C57" s="19"/>
      <c r="D57" s="3" t="s">
        <v>145</v>
      </c>
      <c r="E57" s="3" t="s">
        <v>145</v>
      </c>
      <c r="F57" s="3" t="s">
        <v>145</v>
      </c>
      <c r="G57" s="3" t="s">
        <v>145</v>
      </c>
      <c r="H57" s="19"/>
      <c r="I57" s="3" t="s">
        <v>145</v>
      </c>
      <c r="J57" s="3" t="s">
        <v>145</v>
      </c>
      <c r="K57" s="3" t="s">
        <v>145</v>
      </c>
      <c r="L57" s="19"/>
      <c r="M57" s="3" t="s">
        <v>145</v>
      </c>
      <c r="N57" s="3" t="s">
        <v>145</v>
      </c>
    </row>
    <row r="58" spans="1:14" x14ac:dyDescent="0.35">
      <c r="A58" s="3" t="s">
        <v>145</v>
      </c>
      <c r="B58" s="19"/>
      <c r="C58" s="19"/>
      <c r="D58" s="3" t="s">
        <v>145</v>
      </c>
      <c r="E58" s="3" t="s">
        <v>145</v>
      </c>
      <c r="F58" s="3" t="s">
        <v>145</v>
      </c>
      <c r="G58" s="3" t="s">
        <v>145</v>
      </c>
      <c r="H58" s="19"/>
      <c r="I58" s="3" t="s">
        <v>145</v>
      </c>
      <c r="J58" s="3" t="s">
        <v>145</v>
      </c>
      <c r="K58" s="3" t="s">
        <v>145</v>
      </c>
      <c r="L58" s="19"/>
      <c r="M58" s="3" t="s">
        <v>145</v>
      </c>
      <c r="N58" s="3" t="s">
        <v>145</v>
      </c>
    </row>
    <row r="59" spans="1:14" x14ac:dyDescent="0.35">
      <c r="A59" s="3" t="s">
        <v>145</v>
      </c>
      <c r="B59" s="19"/>
      <c r="C59" s="19"/>
      <c r="D59" s="3" t="s">
        <v>145</v>
      </c>
      <c r="E59" s="3" t="s">
        <v>145</v>
      </c>
      <c r="F59" s="3" t="s">
        <v>145</v>
      </c>
      <c r="G59" s="3" t="s">
        <v>145</v>
      </c>
      <c r="H59" s="19"/>
      <c r="I59" s="3" t="s">
        <v>145</v>
      </c>
      <c r="J59" s="3" t="s">
        <v>145</v>
      </c>
      <c r="K59" s="3" t="s">
        <v>145</v>
      </c>
      <c r="L59" s="19"/>
      <c r="M59" s="3" t="s">
        <v>145</v>
      </c>
      <c r="N59" s="3" t="s">
        <v>145</v>
      </c>
    </row>
    <row r="60" spans="1:14" x14ac:dyDescent="0.35">
      <c r="A60" s="3" t="s">
        <v>145</v>
      </c>
      <c r="B60" s="19"/>
      <c r="C60" s="19"/>
      <c r="D60" s="3" t="s">
        <v>145</v>
      </c>
      <c r="E60" s="3" t="s">
        <v>145</v>
      </c>
      <c r="F60" s="3" t="s">
        <v>145</v>
      </c>
      <c r="G60" s="3" t="s">
        <v>145</v>
      </c>
      <c r="H60" s="19"/>
      <c r="I60" s="3" t="s">
        <v>145</v>
      </c>
      <c r="J60" s="3" t="s">
        <v>145</v>
      </c>
      <c r="K60" s="3" t="s">
        <v>145</v>
      </c>
      <c r="L60" s="19"/>
      <c r="M60" s="3" t="s">
        <v>145</v>
      </c>
      <c r="N60" s="3" t="s">
        <v>145</v>
      </c>
    </row>
    <row r="61" spans="1:14" x14ac:dyDescent="0.35">
      <c r="A61" s="3" t="s">
        <v>145</v>
      </c>
      <c r="B61" s="19"/>
      <c r="C61" s="19"/>
      <c r="D61" s="3" t="s">
        <v>145</v>
      </c>
      <c r="E61" s="3" t="s">
        <v>145</v>
      </c>
      <c r="F61" s="3" t="s">
        <v>145</v>
      </c>
      <c r="G61" s="3" t="s">
        <v>145</v>
      </c>
      <c r="H61" s="19"/>
      <c r="I61" s="3" t="s">
        <v>145</v>
      </c>
      <c r="J61" s="3" t="s">
        <v>145</v>
      </c>
      <c r="K61" s="3" t="s">
        <v>145</v>
      </c>
      <c r="L61" s="19"/>
      <c r="M61" s="3" t="s">
        <v>145</v>
      </c>
      <c r="N61" s="3" t="s">
        <v>145</v>
      </c>
    </row>
    <row r="62" spans="1:14" x14ac:dyDescent="0.35">
      <c r="A62" s="3" t="s">
        <v>145</v>
      </c>
      <c r="B62" s="3" t="s">
        <v>145</v>
      </c>
      <c r="C62" s="3" t="s">
        <v>145</v>
      </c>
      <c r="D62" s="3" t="s">
        <v>145</v>
      </c>
      <c r="E62" s="3" t="s">
        <v>145</v>
      </c>
      <c r="F62" s="3" t="s">
        <v>145</v>
      </c>
      <c r="G62" s="3" t="s">
        <v>145</v>
      </c>
      <c r="H62" s="19"/>
      <c r="I62" s="3" t="s">
        <v>145</v>
      </c>
      <c r="J62" s="3" t="s">
        <v>145</v>
      </c>
      <c r="K62" s="3" t="s">
        <v>145</v>
      </c>
      <c r="L62" s="19"/>
      <c r="M62" s="3" t="s">
        <v>145</v>
      </c>
      <c r="N62" s="3" t="s">
        <v>145</v>
      </c>
    </row>
    <row r="63" spans="1:14" x14ac:dyDescent="0.35">
      <c r="A63" s="3" t="s">
        <v>145</v>
      </c>
      <c r="B63" s="3" t="s">
        <v>145</v>
      </c>
      <c r="C63" s="3" t="s">
        <v>145</v>
      </c>
      <c r="D63" s="3" t="s">
        <v>145</v>
      </c>
      <c r="E63" s="3" t="s">
        <v>145</v>
      </c>
      <c r="F63" s="3" t="s">
        <v>145</v>
      </c>
      <c r="G63" s="3" t="s">
        <v>145</v>
      </c>
      <c r="H63" s="19"/>
      <c r="I63" s="3" t="s">
        <v>145</v>
      </c>
      <c r="J63" s="3" t="s">
        <v>145</v>
      </c>
      <c r="K63" s="3" t="s">
        <v>145</v>
      </c>
      <c r="L63" s="19"/>
      <c r="M63" s="3" t="s">
        <v>145</v>
      </c>
      <c r="N63" s="3" t="s">
        <v>145</v>
      </c>
    </row>
    <row r="64" spans="1:14" x14ac:dyDescent="0.35">
      <c r="A64" s="3" t="s">
        <v>145</v>
      </c>
      <c r="B64" s="3" t="s">
        <v>145</v>
      </c>
      <c r="C64" s="3" t="s">
        <v>145</v>
      </c>
      <c r="D64" s="3" t="s">
        <v>145</v>
      </c>
      <c r="E64" s="3" t="s">
        <v>145</v>
      </c>
      <c r="F64" s="3" t="s">
        <v>145</v>
      </c>
      <c r="G64" s="3" t="s">
        <v>145</v>
      </c>
      <c r="H64" s="19"/>
      <c r="I64" s="3" t="s">
        <v>145</v>
      </c>
      <c r="J64" s="3" t="s">
        <v>145</v>
      </c>
      <c r="K64" s="3" t="s">
        <v>145</v>
      </c>
      <c r="L64" s="19"/>
      <c r="M64" s="3" t="s">
        <v>145</v>
      </c>
      <c r="N64" s="3" t="s">
        <v>145</v>
      </c>
    </row>
    <row r="65" spans="1:14" x14ac:dyDescent="0.35">
      <c r="A65" s="3" t="s">
        <v>145</v>
      </c>
      <c r="B65" s="3" t="s">
        <v>145</v>
      </c>
      <c r="C65" s="3" t="s">
        <v>145</v>
      </c>
      <c r="D65" s="3" t="s">
        <v>145</v>
      </c>
      <c r="E65" s="3" t="s">
        <v>145</v>
      </c>
      <c r="F65" s="3" t="s">
        <v>145</v>
      </c>
      <c r="G65" s="3" t="s">
        <v>145</v>
      </c>
      <c r="H65" s="19"/>
      <c r="I65" s="3" t="s">
        <v>145</v>
      </c>
      <c r="J65" s="3" t="s">
        <v>145</v>
      </c>
      <c r="K65" s="3" t="s">
        <v>145</v>
      </c>
      <c r="L65" s="19"/>
      <c r="M65" s="3" t="s">
        <v>145</v>
      </c>
      <c r="N65" s="3" t="s">
        <v>145</v>
      </c>
    </row>
    <row r="66" spans="1:14" x14ac:dyDescent="0.35">
      <c r="A66" s="3" t="s">
        <v>145</v>
      </c>
      <c r="B66" s="3" t="s">
        <v>145</v>
      </c>
      <c r="C66" s="3" t="s">
        <v>145</v>
      </c>
      <c r="D66" s="3" t="s">
        <v>145</v>
      </c>
      <c r="E66" s="3" t="s">
        <v>145</v>
      </c>
      <c r="F66" s="3" t="s">
        <v>145</v>
      </c>
      <c r="G66" s="3" t="s">
        <v>145</v>
      </c>
      <c r="H66" s="19"/>
      <c r="I66" s="3" t="s">
        <v>145</v>
      </c>
      <c r="J66" s="3" t="s">
        <v>145</v>
      </c>
      <c r="K66" s="3" t="s">
        <v>145</v>
      </c>
      <c r="L66" s="19"/>
      <c r="M66" s="3" t="s">
        <v>145</v>
      </c>
      <c r="N66" s="3" t="s">
        <v>145</v>
      </c>
    </row>
  </sheetData>
  <sortState xmlns:xlrd2="http://schemas.microsoft.com/office/spreadsheetml/2017/richdata2" ref="S2:T12">
    <sortCondition ref="S2:S12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C916-BEBC-4D7F-ABB1-C47C13A8FFB1}">
  <dimension ref="A1:G5"/>
  <sheetViews>
    <sheetView workbookViewId="0">
      <selection activeCell="I10" sqref="I10"/>
    </sheetView>
  </sheetViews>
  <sheetFormatPr defaultRowHeight="14.5" x14ac:dyDescent="0.35"/>
  <cols>
    <col min="2" max="2" width="11.08984375" bestFit="1" customWidth="1"/>
    <col min="3" max="3" width="11.453125" bestFit="1" customWidth="1"/>
    <col min="5" max="5" width="11.26953125" bestFit="1" customWidth="1"/>
    <col min="6" max="6" width="11.08984375" bestFit="1" customWidth="1"/>
    <col min="7" max="7" width="15.7265625" bestFit="1" customWidth="1"/>
  </cols>
  <sheetData>
    <row r="1" spans="1:7" x14ac:dyDescent="0.35">
      <c r="B1" t="s">
        <v>261</v>
      </c>
      <c r="C1" t="s">
        <v>253</v>
      </c>
      <c r="D1" t="s">
        <v>254</v>
      </c>
      <c r="E1" t="s">
        <v>255</v>
      </c>
      <c r="F1" t="s">
        <v>256</v>
      </c>
      <c r="G1" t="s">
        <v>262</v>
      </c>
    </row>
    <row r="2" spans="1:7" x14ac:dyDescent="0.35">
      <c r="A2" t="s">
        <v>257</v>
      </c>
      <c r="B2" s="2">
        <v>10000</v>
      </c>
      <c r="C2" s="18">
        <v>0.09</v>
      </c>
      <c r="D2">
        <v>12</v>
      </c>
      <c r="E2" s="1">
        <f>B2*C2</f>
        <v>900</v>
      </c>
      <c r="F2" s="1">
        <f>B2+E2</f>
        <v>10900</v>
      </c>
      <c r="G2" s="1">
        <f>F2/D2</f>
        <v>908.33333333333337</v>
      </c>
    </row>
    <row r="3" spans="1:7" x14ac:dyDescent="0.35">
      <c r="A3" t="s">
        <v>258</v>
      </c>
      <c r="B3" s="2">
        <v>10000</v>
      </c>
      <c r="C3" s="18">
        <v>0.08</v>
      </c>
      <c r="D3" s="19">
        <v>12</v>
      </c>
      <c r="E3" s="1">
        <f t="shared" ref="E3:E5" si="0">B3*C3</f>
        <v>800</v>
      </c>
      <c r="F3" s="1">
        <f t="shared" ref="F3:F5" si="1">B3+E3</f>
        <v>10800</v>
      </c>
      <c r="G3" s="1">
        <f t="shared" ref="G3:G5" si="2">F3/D3</f>
        <v>900</v>
      </c>
    </row>
    <row r="4" spans="1:7" x14ac:dyDescent="0.35">
      <c r="A4" s="19" t="s">
        <v>259</v>
      </c>
      <c r="B4" s="2">
        <v>10000</v>
      </c>
      <c r="C4" s="18">
        <v>7.0000000000000007E-2</v>
      </c>
      <c r="D4" s="19">
        <v>12</v>
      </c>
      <c r="E4" s="1">
        <f t="shared" si="0"/>
        <v>700.00000000000011</v>
      </c>
      <c r="F4" s="1">
        <f t="shared" si="1"/>
        <v>10700</v>
      </c>
      <c r="G4" s="1">
        <f t="shared" si="2"/>
        <v>891.66666666666663</v>
      </c>
    </row>
    <row r="5" spans="1:7" x14ac:dyDescent="0.35">
      <c r="A5" s="19" t="s">
        <v>260</v>
      </c>
      <c r="B5" s="2">
        <v>10000</v>
      </c>
      <c r="C5" s="18">
        <v>0.06</v>
      </c>
      <c r="D5" s="19">
        <v>12</v>
      </c>
      <c r="E5" s="1">
        <f t="shared" si="0"/>
        <v>600</v>
      </c>
      <c r="F5" s="1">
        <f t="shared" si="1"/>
        <v>10600</v>
      </c>
      <c r="G5" s="1">
        <f t="shared" si="2"/>
        <v>883.33333333333337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A113-3DB9-4AB6-9059-F0F23CFFB561}">
  <dimension ref="A1:G19"/>
  <sheetViews>
    <sheetView workbookViewId="0">
      <selection activeCell="Q19" sqref="Q19"/>
    </sheetView>
  </sheetViews>
  <sheetFormatPr defaultRowHeight="14.5" x14ac:dyDescent="0.35"/>
  <cols>
    <col min="1" max="1" width="16.81640625" bestFit="1" customWidth="1"/>
    <col min="3" max="3" width="10.08984375" bestFit="1" customWidth="1"/>
    <col min="4" max="4" width="10.453125" bestFit="1" customWidth="1"/>
  </cols>
  <sheetData>
    <row r="1" spans="1:7" x14ac:dyDescent="0.35">
      <c r="B1" t="s">
        <v>263</v>
      </c>
      <c r="C1" t="s">
        <v>264</v>
      </c>
      <c r="D1" t="s">
        <v>265</v>
      </c>
      <c r="F1" t="s">
        <v>281</v>
      </c>
      <c r="G1" t="s">
        <v>282</v>
      </c>
    </row>
    <row r="2" spans="1:7" x14ac:dyDescent="0.35">
      <c r="A2" t="s">
        <v>266</v>
      </c>
      <c r="B2" s="2">
        <v>0.5</v>
      </c>
      <c r="C2">
        <v>0.4</v>
      </c>
      <c r="D2">
        <v>1.4</v>
      </c>
      <c r="F2">
        <v>3</v>
      </c>
      <c r="G2">
        <v>5</v>
      </c>
    </row>
    <row r="3" spans="1:7" x14ac:dyDescent="0.35">
      <c r="A3" t="s">
        <v>267</v>
      </c>
      <c r="B3" s="2">
        <v>28</v>
      </c>
      <c r="C3">
        <v>33</v>
      </c>
      <c r="D3">
        <v>31</v>
      </c>
      <c r="F3">
        <v>1</v>
      </c>
      <c r="G3">
        <v>1</v>
      </c>
    </row>
    <row r="4" spans="1:7" x14ac:dyDescent="0.35">
      <c r="A4" t="s">
        <v>268</v>
      </c>
      <c r="B4" s="2">
        <v>1.8</v>
      </c>
      <c r="C4">
        <v>1</v>
      </c>
      <c r="D4">
        <v>2</v>
      </c>
      <c r="F4">
        <v>7</v>
      </c>
      <c r="G4">
        <v>4</v>
      </c>
    </row>
    <row r="5" spans="1:7" x14ac:dyDescent="0.35">
      <c r="A5" t="s">
        <v>269</v>
      </c>
      <c r="B5" s="2">
        <v>1.2</v>
      </c>
      <c r="C5">
        <v>0.8</v>
      </c>
      <c r="D5">
        <v>1.5</v>
      </c>
      <c r="F5">
        <v>1</v>
      </c>
      <c r="G5">
        <v>2</v>
      </c>
    </row>
    <row r="6" spans="1:7" x14ac:dyDescent="0.35">
      <c r="A6" t="s">
        <v>270</v>
      </c>
      <c r="B6" s="2">
        <v>2.4</v>
      </c>
      <c r="C6">
        <v>1.4</v>
      </c>
      <c r="D6">
        <v>2.4</v>
      </c>
      <c r="F6">
        <v>2</v>
      </c>
      <c r="G6">
        <v>2</v>
      </c>
    </row>
    <row r="7" spans="1:7" x14ac:dyDescent="0.35">
      <c r="A7" t="s">
        <v>271</v>
      </c>
      <c r="B7" s="2">
        <v>0.9</v>
      </c>
      <c r="C7">
        <v>0.2</v>
      </c>
      <c r="D7">
        <v>0.8</v>
      </c>
      <c r="F7">
        <v>2</v>
      </c>
      <c r="G7">
        <v>2</v>
      </c>
    </row>
    <row r="8" spans="1:7" x14ac:dyDescent="0.35">
      <c r="A8" t="s">
        <v>272</v>
      </c>
      <c r="B8" s="2">
        <v>0.99</v>
      </c>
      <c r="C8">
        <v>0.59</v>
      </c>
      <c r="D8">
        <v>2.59</v>
      </c>
      <c r="F8">
        <v>1</v>
      </c>
      <c r="G8">
        <v>10</v>
      </c>
    </row>
    <row r="9" spans="1:7" x14ac:dyDescent="0.35">
      <c r="A9" t="s">
        <v>273</v>
      </c>
      <c r="B9" s="2">
        <v>1.25</v>
      </c>
      <c r="C9">
        <v>3.25</v>
      </c>
      <c r="D9">
        <v>2.15</v>
      </c>
      <c r="F9">
        <v>4</v>
      </c>
      <c r="G9">
        <v>1</v>
      </c>
    </row>
    <row r="10" spans="1:7" x14ac:dyDescent="0.35">
      <c r="A10" t="s">
        <v>274</v>
      </c>
      <c r="B10" s="2">
        <v>9.5</v>
      </c>
      <c r="C10">
        <v>14</v>
      </c>
      <c r="D10">
        <v>13</v>
      </c>
      <c r="F10">
        <v>1</v>
      </c>
      <c r="G10">
        <v>1</v>
      </c>
    </row>
    <row r="11" spans="1:7" x14ac:dyDescent="0.35">
      <c r="A11" t="s">
        <v>275</v>
      </c>
      <c r="B11" s="2">
        <v>4.55</v>
      </c>
      <c r="C11">
        <v>2.5499999999999998</v>
      </c>
      <c r="D11">
        <v>6</v>
      </c>
      <c r="F11">
        <v>1</v>
      </c>
      <c r="G11">
        <v>1</v>
      </c>
    </row>
    <row r="12" spans="1:7" x14ac:dyDescent="0.35">
      <c r="A12" t="s">
        <v>276</v>
      </c>
      <c r="B12" s="2">
        <v>4.2</v>
      </c>
      <c r="C12">
        <v>2.2000000000000002</v>
      </c>
      <c r="D12">
        <v>3</v>
      </c>
      <c r="F12">
        <v>1</v>
      </c>
    </row>
    <row r="13" spans="1:7" x14ac:dyDescent="0.35">
      <c r="A13" t="s">
        <v>277</v>
      </c>
      <c r="B13" s="2">
        <v>3.9</v>
      </c>
      <c r="C13">
        <v>5</v>
      </c>
      <c r="D13">
        <v>8</v>
      </c>
      <c r="F13">
        <v>1</v>
      </c>
    </row>
    <row r="14" spans="1:7" x14ac:dyDescent="0.35">
      <c r="A14" t="s">
        <v>278</v>
      </c>
      <c r="B14" s="2">
        <v>1</v>
      </c>
      <c r="C14">
        <v>2</v>
      </c>
      <c r="D14">
        <v>1</v>
      </c>
      <c r="F14">
        <v>1</v>
      </c>
    </row>
    <row r="15" spans="1:7" x14ac:dyDescent="0.35">
      <c r="A15" t="s">
        <v>279</v>
      </c>
      <c r="B15" s="2">
        <v>1.75</v>
      </c>
      <c r="C15">
        <v>2</v>
      </c>
      <c r="D15">
        <v>1</v>
      </c>
      <c r="F15">
        <v>1</v>
      </c>
    </row>
    <row r="16" spans="1:7" x14ac:dyDescent="0.35">
      <c r="A16" t="s">
        <v>280</v>
      </c>
      <c r="B16" s="2">
        <v>2</v>
      </c>
      <c r="C16">
        <v>1</v>
      </c>
      <c r="D16">
        <v>3</v>
      </c>
      <c r="F16">
        <v>1</v>
      </c>
      <c r="G16">
        <v>2</v>
      </c>
    </row>
    <row r="18" spans="1:4" x14ac:dyDescent="0.35">
      <c r="A18" t="s">
        <v>281</v>
      </c>
      <c r="B18" s="2">
        <f>SUMPRODUCT(B2:B16,$F2:$F16)</f>
        <v>82.79</v>
      </c>
      <c r="C18" s="2">
        <f t="shared" ref="C18:D18" si="0">SUMPRODUCT(C2:C16,$F2:$F16)</f>
        <v>87.539999999999992</v>
      </c>
      <c r="D18" s="2">
        <f t="shared" si="0"/>
        <v>103.28999999999999</v>
      </c>
    </row>
    <row r="19" spans="1:4" x14ac:dyDescent="0.35">
      <c r="A19" t="s">
        <v>283</v>
      </c>
      <c r="B19" s="2">
        <f>SUMPRODUCT(B2:B16,$G2:$G16)</f>
        <v>75.899999999999991</v>
      </c>
      <c r="C19" s="2">
        <f t="shared" ref="C19:D19" si="1">SUMPRODUCT(C2:C16,$G2:$G16)</f>
        <v>71.499999999999986</v>
      </c>
      <c r="D19" s="2">
        <f t="shared" si="1"/>
        <v>108.45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8 Z Y J U / n 1 d Y m k A A A A 9 Q A A A B I A H A B D b 2 5 m a W c v U G F j a 2 F n Z S 5 4 b W w g o h g A K K A U A A A A A A A A A A A A A A A A A A A A A A A A A A A A h Y 9 N D o I w F I S v Q r q n B f y J m k e J c S u J i d G 4 b U q F R n g Y W i x 3 c + G R v I I Y R d 2 5 n P m + x c z 9 e o O k q 0 r v o h q j a 4 x J S A P i K Z R 1 p j G P S W u P / o w k H D Z C n k S u v F 5 G s + h M F p P C 2 v O C M e c c d S N a N z m L g i B k h 3 S 9 l Y W q B P n I + r / s a z R W o F S E w / 4 1 h k d 0 P q H T c T 8 J 2 N B B q v H L o 5 4 9 6 U 8 J q 7 a 0 b a O 4 Q n + 5 A z Z E Y O 8 L / A F Q S w M E F A A C A A g A 8 Z Y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W C V O W F 6 4 g a w E A A P c C A A A T A B w A R m 9 y b X V s Y X M v U 2 V j d G l v b j E u b S C i G A A o o B Q A A A A A A A A A A A A A A A A A A A A A A A A A A A B 9 k V t r w k A Q h d 8 D / o d h f Y m w p C i 2 D 5 V Q J K n U h 0 q L l l K 0 D 2 s y a u h e y l 6 8 I P 7 3 r i R i S 0 L z k u S b M 2 f P z B r M b K E k T M t 3 d 9 A K W o H Z M I 0 5 t E n G N B R y i 9 I q f S A Q A 0 f b C s A / U + V 0 h p 4 k Z h u l K n P C i 8 J R w T F K l L T + x 4 Q k u V + 8 G d R m I R h n 2 0 W q d p I r l p v F H 9 / I 7 i 3 p 0 H m K v B C F R R 0 T S i g k i j s h T d z t U 3 i U m c o L u Y 6 7 v d s e h V e n L E 7 t g W N 8 / Y w m S u J n h 5 b 5 2 u R F K + F r O T w h y 3 2 I c / w Z W 3 p h V a l 4 W I 5 C Y V 7 x I e f T z A f W J r b a / b Z M N k y u v e P s 8 I 1 X u 5 l m 0 q y U F m X i c 9 G E D e f T 4 5 E k f v B x 6 q e z X g U W 9 / Z E 4 U i e 2 R c 2 Q g h H j n O Y M I G d u k D l y J v p / 3 1 M u h X L r N M I H 8 h 0 T T B c N 6 T x V 2 s u V D q x R H 3 l c N N s 5 D e i 6 j T V x R b r + J 3 5 R V p E u B w 1 l v a u H 5 3 3 W Z n 5 L s w f a o 0 T 3 E H D Y k + d V l D I x r s b / A B Q S w E C L Q A U A A I A C A D x l g l T + f V 1 i a Q A A A D 1 A A A A E g A A A A A A A A A A A A A A A A A A A A A A Q 2 9 u Z m l n L 1 B h Y 2 t h Z 2 U u e G 1 s U E s B A i 0 A F A A C A A g A 8 Z Y J U w / K 6 a u k A A A A 6 Q A A A B M A A A A A A A A A A A A A A A A A 8 A A A A F t D b 2 5 0 Z W 5 0 X 1 R 5 c G V z X S 5 4 b W x Q S w E C L Q A U A A I A C A D x l g l T l h e u I G s B A A D 3 A g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E A A A A A A A A J c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X 2 l u d m V u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O V Q w O D o 1 N T o z N S 4 0 M D Q 0 N z I 2 W i I g L z 4 8 R W 5 0 c n k g V H l w Z T 0 i R m l s b E N v b H V t b l R 5 c G V z I i B W Y W x 1 Z T 0 i c 0 J n W U d C Z 1 l H Q m d V R 0 J n W U R C Z 1 k 9 I i A v P j x F b n R y e S B U e X B l P S J G a W x s Q 2 9 s d W 1 u T m F t Z X M i I F Z h b H V l P S J z W y Z x d W 9 0 O 0 N h c i B J R C Z x d W 9 0 O y w m c X V v d D t N Y W t l J n F 1 b 3 Q 7 L C Z x d W 9 0 O 0 1 h a 2 U g K E Z 1 b G w g T m F t Z S k m c X V v d D s s J n F 1 b 3 Q 7 T W 9 k Z W w m c X V v d D s s J n F 1 b 3 Q 7 T W 9 k Z W w g K E Z 1 b G w g T m F t Z S k m c X V v d D s s J n F 1 b 3 Q 7 T W F u d W Z h Y 3 R 1 c m U g W W V h c i Z x d W 9 0 O y w m c X V v d D t B Z 2 U m c X V v d D s s J n F 1 b 3 Q 7 T W l s Z X M m c X V v d D s s J n F 1 b 3 Q 7 T W l s Z X M g L y B Z Z W F y J n F 1 b 3 Q 7 L C Z x d W 9 0 O 0 N v b G 9 y J n F 1 b 3 Q 7 L C Z x d W 9 0 O 0 R y a X Z l c i Z x d W 9 0 O y w m c X V v d D t X Y X J h b n R l Z S B N a W x l c y Z x d W 9 0 O y w m c X V v d D t D b 3 Z l c m V k P y Z x d W 9 0 O y w m c X V v d D t O Z X c g Q 2 F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i B p b n Z l b n R v c n k v Q X V 0 b 1 J l b W 9 2 Z W R D b 2 x 1 b W 5 z M S 5 7 Q 2 F y I E l E L D B 9 J n F 1 b 3 Q 7 L C Z x d W 9 0 O 1 N l Y 3 R p b 2 4 x L 2 N h c i B p b n Z l b n R v c n k v Q X V 0 b 1 J l b W 9 2 Z W R D b 2 x 1 b W 5 z M S 5 7 T W F r Z S w x f S Z x d W 9 0 O y w m c X V v d D t T Z W N 0 a W 9 u M S 9 j Y X I g a W 5 2 Z W 5 0 b 3 J 5 L 0 F 1 d G 9 S Z W 1 v d m V k Q 2 9 s d W 1 u c z E u e 0 1 h a 2 U g K E Z 1 b G w g T m F t Z S k s M n 0 m c X V v d D s s J n F 1 b 3 Q 7 U 2 V j d G l v b j E v Y 2 F y I G l u d m V u d G 9 y e S 9 B d X R v U m V t b 3 Z l Z E N v b H V t b n M x L n t N b 2 R l b C w z f S Z x d W 9 0 O y w m c X V v d D t T Z W N 0 a W 9 u M S 9 j Y X I g a W 5 2 Z W 5 0 b 3 J 5 L 0 F 1 d G 9 S Z W 1 v d m V k Q 2 9 s d W 1 u c z E u e 0 1 v Z G V s I C h G d W x s I E 5 h b W U p L D R 9 J n F 1 b 3 Q 7 L C Z x d W 9 0 O 1 N l Y 3 R p b 2 4 x L 2 N h c i B p b n Z l b n R v c n k v Q X V 0 b 1 J l b W 9 2 Z W R D b 2 x 1 b W 5 z M S 5 7 T W F u d W Z h Y 3 R 1 c m U g W W V h c i w 1 f S Z x d W 9 0 O y w m c X V v d D t T Z W N 0 a W 9 u M S 9 j Y X I g a W 5 2 Z W 5 0 b 3 J 5 L 0 F 1 d G 9 S Z W 1 v d m V k Q 2 9 s d W 1 u c z E u e 0 F n Z S w 2 f S Z x d W 9 0 O y w m c X V v d D t T Z W N 0 a W 9 u M S 9 j Y X I g a W 5 2 Z W 5 0 b 3 J 5 L 0 F 1 d G 9 S Z W 1 v d m V k Q 2 9 s d W 1 u c z E u e 0 1 p b G V z L D d 9 J n F 1 b 3 Q 7 L C Z x d W 9 0 O 1 N l Y 3 R p b 2 4 x L 2 N h c i B p b n Z l b n R v c n k v Q X V 0 b 1 J l b W 9 2 Z W R D b 2 x 1 b W 5 z M S 5 7 T W l s Z X M g L y B Z Z W F y L D h 9 J n F 1 b 3 Q 7 L C Z x d W 9 0 O 1 N l Y 3 R p b 2 4 x L 2 N h c i B p b n Z l b n R v c n k v Q X V 0 b 1 J l b W 9 2 Z W R D b 2 x 1 b W 5 z M S 5 7 Q 2 9 s b 3 I s O X 0 m c X V v d D s s J n F 1 b 3 Q 7 U 2 V j d G l v b j E v Y 2 F y I G l u d m V u d G 9 y e S 9 B d X R v U m V t b 3 Z l Z E N v b H V t b n M x L n t E c m l 2 Z X I s M T B 9 J n F 1 b 3 Q 7 L C Z x d W 9 0 O 1 N l Y 3 R p b 2 4 x L 2 N h c i B p b n Z l b n R v c n k v Q X V 0 b 1 J l b W 9 2 Z W R D b 2 x 1 b W 5 z M S 5 7 V 2 F y Y W 5 0 Z W U g T W l s Z X M s M T F 9 J n F 1 b 3 Q 7 L C Z x d W 9 0 O 1 N l Y 3 R p b 2 4 x L 2 N h c i B p b n Z l b n R v c n k v Q X V 0 b 1 J l b W 9 2 Z W R D b 2 x 1 b W 5 z M S 5 7 Q 2 9 2 Z X J l Z D 8 s M T J 9 J n F 1 b 3 Q 7 L C Z x d W 9 0 O 1 N l Y 3 R p b 2 4 x L 2 N h c i B p b n Z l b n R v c n k v Q X V 0 b 1 J l b W 9 2 Z W R D b 2 x 1 b W 5 z M S 5 7 T m V 3 I E N h c i B J R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N h c i B p b n Z l b n R v c n k v Q X V 0 b 1 J l b W 9 2 Z W R D b 2 x 1 b W 5 z M S 5 7 Q 2 F y I E l E L D B 9 J n F 1 b 3 Q 7 L C Z x d W 9 0 O 1 N l Y 3 R p b 2 4 x L 2 N h c i B p b n Z l b n R v c n k v Q X V 0 b 1 J l b W 9 2 Z W R D b 2 x 1 b W 5 z M S 5 7 T W F r Z S w x f S Z x d W 9 0 O y w m c X V v d D t T Z W N 0 a W 9 u M S 9 j Y X I g a W 5 2 Z W 5 0 b 3 J 5 L 0 F 1 d G 9 S Z W 1 v d m V k Q 2 9 s d W 1 u c z E u e 0 1 h a 2 U g K E Z 1 b G w g T m F t Z S k s M n 0 m c X V v d D s s J n F 1 b 3 Q 7 U 2 V j d G l v b j E v Y 2 F y I G l u d m V u d G 9 y e S 9 B d X R v U m V t b 3 Z l Z E N v b H V t b n M x L n t N b 2 R l b C w z f S Z x d W 9 0 O y w m c X V v d D t T Z W N 0 a W 9 u M S 9 j Y X I g a W 5 2 Z W 5 0 b 3 J 5 L 0 F 1 d G 9 S Z W 1 v d m V k Q 2 9 s d W 1 u c z E u e 0 1 v Z G V s I C h G d W x s I E 5 h b W U p L D R 9 J n F 1 b 3 Q 7 L C Z x d W 9 0 O 1 N l Y 3 R p b 2 4 x L 2 N h c i B p b n Z l b n R v c n k v Q X V 0 b 1 J l b W 9 2 Z W R D b 2 x 1 b W 5 z M S 5 7 T W F u d W Z h Y 3 R 1 c m U g W W V h c i w 1 f S Z x d W 9 0 O y w m c X V v d D t T Z W N 0 a W 9 u M S 9 j Y X I g a W 5 2 Z W 5 0 b 3 J 5 L 0 F 1 d G 9 S Z W 1 v d m V k Q 2 9 s d W 1 u c z E u e 0 F n Z S w 2 f S Z x d W 9 0 O y w m c X V v d D t T Z W N 0 a W 9 u M S 9 j Y X I g a W 5 2 Z W 5 0 b 3 J 5 L 0 F 1 d G 9 S Z W 1 v d m V k Q 2 9 s d W 1 u c z E u e 0 1 p b G V z L D d 9 J n F 1 b 3 Q 7 L C Z x d W 9 0 O 1 N l Y 3 R p b 2 4 x L 2 N h c i B p b n Z l b n R v c n k v Q X V 0 b 1 J l b W 9 2 Z W R D b 2 x 1 b W 5 z M S 5 7 T W l s Z X M g L y B Z Z W F y L D h 9 J n F 1 b 3 Q 7 L C Z x d W 9 0 O 1 N l Y 3 R p b 2 4 x L 2 N h c i B p b n Z l b n R v c n k v Q X V 0 b 1 J l b W 9 2 Z W R D b 2 x 1 b W 5 z M S 5 7 Q 2 9 s b 3 I s O X 0 m c X V v d D s s J n F 1 b 3 Q 7 U 2 V j d G l v b j E v Y 2 F y I G l u d m V u d G 9 y e S 9 B d X R v U m V t b 3 Z l Z E N v b H V t b n M x L n t E c m l 2 Z X I s M T B 9 J n F 1 b 3 Q 7 L C Z x d W 9 0 O 1 N l Y 3 R p b 2 4 x L 2 N h c i B p b n Z l b n R v c n k v Q X V 0 b 1 J l b W 9 2 Z W R D b 2 x 1 b W 5 z M S 5 7 V 2 F y Y W 5 0 Z W U g T W l s Z X M s M T F 9 J n F 1 b 3 Q 7 L C Z x d W 9 0 O 1 N l Y 3 R p b 2 4 x L 2 N h c i B p b n Z l b n R v c n k v Q X V 0 b 1 J l b W 9 2 Z W R D b 2 x 1 b W 5 z M S 5 7 Q 2 9 2 Z X J l Z D 8 s M T J 9 J n F 1 b 3 Q 7 L C Z x d W 9 0 O 1 N l Y 3 R p b 2 4 x L 2 N h c i B p b n Z l b n R v c n k v Q X V 0 b 1 J l b W 9 2 Z W R D b 2 x 1 b W 5 z M S 5 7 T m V 3 I E N h c i B J R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i U y M G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C G K u p U R Z t B h H + o 2 0 y C 6 t 0 A A A A A A g A A A A A A E G Y A A A A B A A A g A A A A b 9 z n T E P 7 C 5 8 4 B D / m R m L 0 h / t Z O r z E g b a C 5 p A O g J V a A d 0 A A A A A D o A A A A A C A A A g A A A A V q c V + N w N n b R 7 a g 6 K E o / 6 3 C D X 3 I h P 0 K q T 2 r x Y x Q h d S 9 F Q A A A A Y g y y c M J o H 2 L P B I Q e C N B T q L 8 9 T 5 n m 4 Y P l y j Z 4 z T M U U M / T 4 3 + 3 2 I Z 4 G S 3 1 b P 7 H K D O C 1 i Z e Q N r i R 9 u X x N G 2 m g s F Y e F Z F O s m M Q 7 Y L 3 A N b v x p n D 9 A A A A A n v t 1 C V J 1 M Z D + 0 7 T 9 D 9 b 2 O 4 b 3 V s P 9 o X u O c G / m m t E l N Y Q + Y t + T o 5 U 9 R r X r l k 1 x C 5 h s v Z a G I 1 C j r x P v w p H n H Z G V 1 g = = < / D a t a M a s h u p > 
</file>

<file path=customXml/itemProps1.xml><?xml version="1.0" encoding="utf-8"?>
<ds:datastoreItem xmlns:ds="http://schemas.openxmlformats.org/officeDocument/2006/customXml" ds:itemID="{990D190E-23E7-417C-A711-4FF48E9954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Sales - pivot table</vt:lpstr>
      <vt:lpstr>Sheet4</vt:lpstr>
      <vt:lpstr>car inventory - Pivot table</vt:lpstr>
      <vt:lpstr>car inventory</vt:lpstr>
      <vt:lpstr>Loan Problem</vt:lpstr>
      <vt:lpstr>Shopping list</vt:lpstr>
      <vt:lpstr>Cat vs Dog</vt:lpstr>
      <vt:lpstr>Vacation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Malav Parikh</dc:creator>
  <cp:lastModifiedBy>Malav Parikh</cp:lastModifiedBy>
  <dcterms:created xsi:type="dcterms:W3CDTF">2021-07-27T04:41:35Z</dcterms:created>
  <dcterms:modified xsi:type="dcterms:W3CDTF">2021-08-10T04:39:25Z</dcterms:modified>
</cp:coreProperties>
</file>